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Default Extension="doc" ContentType="application/msword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-45" yWindow="60" windowWidth="9915" windowHeight="10980" activeTab="9"/>
  </bookViews>
  <sheets>
    <sheet name="manual" sheetId="1" r:id="rId1"/>
    <sheet name="uvod" sheetId="27" r:id="rId2"/>
    <sheet name="casovy plan" sheetId="26" r:id="rId3"/>
    <sheet name="startova listina" sheetId="11" r:id="rId4"/>
    <sheet name="vylosovanie" sheetId="2" r:id="rId5"/>
    <sheet name="zoznam zapasov" sheetId="6" r:id="rId6"/>
    <sheet name="zapisy k stolom" sheetId="5" r:id="rId7"/>
    <sheet name="skupiny CH" sheetId="4" r:id="rId8"/>
    <sheet name="skupiny D" sheetId="7" r:id="rId9"/>
    <sheet name="KO Chlapci" sheetId="9" r:id="rId10"/>
    <sheet name="KO dievcata" sheetId="10" r:id="rId11"/>
    <sheet name="CH4" sheetId="13" r:id="rId12"/>
    <sheet name="D4" sheetId="14" r:id="rId13"/>
    <sheet name="MIX" sheetId="17" r:id="rId14"/>
    <sheet name="konecne poradie CH" sheetId="18" r:id="rId15"/>
    <sheet name="konecne poradie D" sheetId="19" r:id="rId16"/>
    <sheet name="konecne poradie CH4" sheetId="24" r:id="rId17"/>
    <sheet name="konecne poradie D4" sheetId="23" r:id="rId18"/>
    <sheet name="konecne poradie MIX" sheetId="22" r:id="rId19"/>
    <sheet name="pomocne poradie D4" sheetId="21" r:id="rId20"/>
    <sheet name="pomocne poradie CH4" sheetId="20" r:id="rId21"/>
    <sheet name="pomocne poradie MIX" sheetId="25" r:id="rId22"/>
    <sheet name="KO KODY SPOLU" sheetId="12" r:id="rId23"/>
    <sheet name="poradie v skupinach" sheetId="8" r:id="rId24"/>
    <sheet name="formatovanie CH4" sheetId="29" r:id="rId25"/>
    <sheet name="formatovanie D4" sheetId="30" r:id="rId26"/>
    <sheet name="formatovanie MIX" sheetId="31" r:id="rId27"/>
  </sheets>
  <externalReferences>
    <externalReference r:id="rId28"/>
  </externalReferences>
  <definedNames>
    <definedName name="_xlnm.Print_Area" localSheetId="2">'casovy plan'!$A$1:$L$68</definedName>
    <definedName name="_xlnm.Print_Area" localSheetId="12">'D4'!$C$3:$J$35</definedName>
    <definedName name="_xlnm.Print_Area" localSheetId="11">'CH4'!$C$2:$J$35</definedName>
    <definedName name="_xlnm.Print_Area" localSheetId="10">'KO dievcata'!$C$2:$J$35</definedName>
    <definedName name="_xlnm.Print_Area" localSheetId="9">'KO Chlapci'!$C$2:$J$35</definedName>
    <definedName name="_xlnm.Print_Area" localSheetId="17">'konecne poradie D4'!$A$1:$D$28</definedName>
    <definedName name="_xlnm.Print_Area" localSheetId="14">'konecne poradie CH'!$A$1:$E$36</definedName>
    <definedName name="_xlnm.Print_Area" localSheetId="16">'konecne poradie CH4'!$A$1:$E$36</definedName>
    <definedName name="_xlnm.Print_Area" localSheetId="18">'konecne poradie MIX'!$A$1:$D$52</definedName>
    <definedName name="_xlnm.Print_Area" localSheetId="13">MIX!$C$2:$K$67</definedName>
    <definedName name="_xlnm.Print_Area" localSheetId="8">'skupiny D'!$E$1:$AE$73</definedName>
    <definedName name="_xlnm.Print_Area" localSheetId="7">'skupiny CH'!$E$1:$T$89</definedName>
    <definedName name="_xlnm.Print_Area" localSheetId="3">'startova listina'!$C$1:$I$190</definedName>
    <definedName name="_xlnm.Print_Area" localSheetId="1">uvod!$C$3:$Q$18</definedName>
    <definedName name="_xlnm.Print_Area" localSheetId="4">vylosovanie!$C$1:$K$191</definedName>
    <definedName name="_xlnm.Print_Area" localSheetId="6">'zapisy k stolom'!$E$4:$W$3072</definedName>
    <definedName name="_xlnm.Print_Area" localSheetId="5">'zoznam zapasov'!$B$1:$K$159</definedName>
    <definedName name="Print_Area" localSheetId="12">'D4'!$C$3:$J$35</definedName>
    <definedName name="Print_Area" localSheetId="11">'CH4'!$C$2:$J$35</definedName>
    <definedName name="Print_Area" localSheetId="10">'KO dievcata'!$D$2:$J$38</definedName>
    <definedName name="Print_Area" localSheetId="9">'KO Chlapci'!$C$2:$J$35</definedName>
    <definedName name="Print_Area" localSheetId="16">'konecne poradie CH4'!$A$1:$E$36</definedName>
    <definedName name="Print_Area" localSheetId="13">MIX!$C$2:$K$68</definedName>
    <definedName name="Print_Area" localSheetId="8">'skupiny D'!$E$1:$AG$73</definedName>
    <definedName name="Print_Area" localSheetId="7">'skupiny CH'!$E$1:$T$89</definedName>
    <definedName name="Print_Area" localSheetId="3">'startova listina'!$C$1:$I$190</definedName>
    <definedName name="Print_Area" localSheetId="4">vylosovanie!$C$1:$J$191</definedName>
    <definedName name="Print_Area" localSheetId="6">'zapisy k stolom'!$E$4:$W$3072</definedName>
    <definedName name="Print_Area" localSheetId="5">'zoznam zapasov'!$C$1:$L$160</definedName>
  </definedNames>
  <calcPr calcId="125725"/>
</workbook>
</file>

<file path=xl/calcChain.xml><?xml version="1.0" encoding="utf-8"?>
<calcChain xmlns="http://schemas.openxmlformats.org/spreadsheetml/2006/main">
  <c r="J46" i="11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45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N72" i="26"/>
  <c r="N73"/>
  <c r="N74"/>
  <c r="N75"/>
  <c r="N76"/>
  <c r="N77"/>
  <c r="N78"/>
  <c r="N79"/>
  <c r="N80"/>
  <c r="N81"/>
  <c r="N82"/>
  <c r="N83"/>
  <c r="N84"/>
  <c r="N71"/>
  <c r="N36"/>
  <c r="N37"/>
  <c r="N38"/>
  <c r="N39"/>
  <c r="N40"/>
  <c r="N41"/>
  <c r="N42"/>
  <c r="N43"/>
  <c r="N44"/>
  <c r="N45"/>
  <c r="N46"/>
  <c r="N47"/>
  <c r="N48"/>
  <c r="N35"/>
  <c r="J38" i="11" l="1"/>
  <c r="J37"/>
  <c r="J36"/>
  <c r="J35"/>
  <c r="J34"/>
  <c r="J33"/>
  <c r="J32"/>
  <c r="J31"/>
  <c r="J30"/>
  <c r="J29"/>
  <c r="J28"/>
  <c r="J27"/>
  <c r="J26"/>
  <c r="J25"/>
  <c r="J24"/>
  <c r="J23"/>
  <c r="J22"/>
  <c r="C4" i="10"/>
  <c r="C34" i="9"/>
  <c r="C4"/>
  <c r="C2" i="22" l="1"/>
  <c r="C2" i="23"/>
  <c r="C2" i="24"/>
  <c r="C2" i="19"/>
  <c r="A1" i="22"/>
  <c r="A1" i="23"/>
  <c r="A1" i="24"/>
  <c r="A1" i="19"/>
  <c r="C2" i="18"/>
  <c r="A1"/>
  <c r="E2" i="17"/>
  <c r="E3" i="14"/>
  <c r="C2" i="13"/>
  <c r="C2" i="10"/>
  <c r="C2" i="9"/>
  <c r="E1" i="7"/>
  <c r="E1" i="4"/>
  <c r="H1" i="6"/>
  <c r="F1"/>
  <c r="D1"/>
  <c r="D3" i="2"/>
  <c r="F2"/>
  <c r="C1"/>
  <c r="D16" i="27"/>
  <c r="F10"/>
  <c r="F8"/>
  <c r="D5"/>
  <c r="J9" i="11"/>
  <c r="J10"/>
  <c r="J11"/>
  <c r="J12"/>
  <c r="J13"/>
  <c r="J14"/>
  <c r="J15"/>
  <c r="J16"/>
  <c r="J17"/>
  <c r="J18"/>
  <c r="J19"/>
  <c r="J20"/>
  <c r="J21"/>
  <c r="J39"/>
  <c r="J8"/>
  <c r="F143"/>
  <c r="AX66" i="4" l="1"/>
  <c r="AX64"/>
  <c r="AX62"/>
  <c r="AX60"/>
  <c r="H190" i="11"/>
  <c r="G190"/>
  <c r="F190"/>
  <c r="H189"/>
  <c r="G189"/>
  <c r="F189"/>
  <c r="J3" i="2" l="1"/>
  <c r="E42" i="11"/>
  <c r="A21" i="19" s="1"/>
  <c r="E5" i="11"/>
  <c r="A29" i="18" s="1"/>
  <c r="B158" i="12" l="1"/>
  <c r="B111"/>
  <c r="B80"/>
  <c r="B49"/>
  <c r="B18"/>
  <c r="A18"/>
  <c r="A49"/>
  <c r="A80"/>
  <c r="A111"/>
  <c r="C9" i="11" l="1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8"/>
  <c r="AT3056" i="5"/>
  <c r="AS3056"/>
  <c r="AR3056"/>
  <c r="AL3056"/>
  <c r="AK3056"/>
  <c r="AJ3056"/>
  <c r="AI3056"/>
  <c r="AQ3056" s="1"/>
  <c r="AH3056"/>
  <c r="AP3056" s="1"/>
  <c r="AG3056"/>
  <c r="AO3056" s="1"/>
  <c r="AF3056"/>
  <c r="AN3056" s="1"/>
  <c r="AT3055"/>
  <c r="AS3055"/>
  <c r="AR3055"/>
  <c r="AL3055"/>
  <c r="AK3055"/>
  <c r="AJ3055"/>
  <c r="AI3055"/>
  <c r="AQ3055" s="1"/>
  <c r="AH3055"/>
  <c r="AP3055" s="1"/>
  <c r="AG3055"/>
  <c r="AO3055" s="1"/>
  <c r="AF3055"/>
  <c r="A3053"/>
  <c r="A3058" s="1"/>
  <c r="AT3035"/>
  <c r="AS3035"/>
  <c r="AR3035"/>
  <c r="AQ3035"/>
  <c r="AL3035"/>
  <c r="AK3035"/>
  <c r="AJ3035"/>
  <c r="AI3035"/>
  <c r="AH3035"/>
  <c r="AP3035" s="1"/>
  <c r="AG3035"/>
  <c r="AO3035" s="1"/>
  <c r="AF3035"/>
  <c r="AN3035" s="1"/>
  <c r="AT3034"/>
  <c r="AS3034"/>
  <c r="AR3034"/>
  <c r="AQ3034"/>
  <c r="AL3034"/>
  <c r="AK3034"/>
  <c r="AJ3034"/>
  <c r="AI3034"/>
  <c r="AH3034"/>
  <c r="AP3034" s="1"/>
  <c r="AG3034"/>
  <c r="AO3034" s="1"/>
  <c r="AF3034"/>
  <c r="AN3034" s="1"/>
  <c r="A3032"/>
  <c r="A3037" s="1"/>
  <c r="AT3014"/>
  <c r="AS3014"/>
  <c r="AR3014"/>
  <c r="AQ3014"/>
  <c r="AL3014"/>
  <c r="AK3014"/>
  <c r="AJ3014"/>
  <c r="AI3014"/>
  <c r="AH3014"/>
  <c r="AP3014" s="1"/>
  <c r="AG3014"/>
  <c r="AO3014" s="1"/>
  <c r="AF3014"/>
  <c r="AN3014" s="1"/>
  <c r="AT3013"/>
  <c r="AS3013"/>
  <c r="AR3013"/>
  <c r="AQ3013"/>
  <c r="AL3013"/>
  <c r="AK3013"/>
  <c r="AJ3013"/>
  <c r="AI3013"/>
  <c r="AH3013"/>
  <c r="AP3013" s="1"/>
  <c r="AG3013"/>
  <c r="AO3013" s="1"/>
  <c r="AF3013"/>
  <c r="A3011"/>
  <c r="A3016" s="1"/>
  <c r="AT2994"/>
  <c r="AL2994"/>
  <c r="AK2994"/>
  <c r="AS2994" s="1"/>
  <c r="AJ2994"/>
  <c r="AR2994" s="1"/>
  <c r="AI2994"/>
  <c r="AQ2994" s="1"/>
  <c r="AH2994"/>
  <c r="AP2994" s="1"/>
  <c r="AG2994"/>
  <c r="AO2994" s="1"/>
  <c r="AF2994"/>
  <c r="AN2994" s="1"/>
  <c r="AT2993"/>
  <c r="AL2993"/>
  <c r="AK2993"/>
  <c r="AS2993" s="1"/>
  <c r="AJ2993"/>
  <c r="AR2993" s="1"/>
  <c r="AI2993"/>
  <c r="AQ2993" s="1"/>
  <c r="AH2993"/>
  <c r="AP2993" s="1"/>
  <c r="AG2993"/>
  <c r="AO2993" s="1"/>
  <c r="AF2993"/>
  <c r="A2991"/>
  <c r="AT2974"/>
  <c r="AS2974"/>
  <c r="AL2974"/>
  <c r="AK2974"/>
  <c r="AJ2974"/>
  <c r="AR2974" s="1"/>
  <c r="AI2974"/>
  <c r="AQ2974" s="1"/>
  <c r="AH2974"/>
  <c r="AP2974" s="1"/>
  <c r="AG2974"/>
  <c r="AO2974" s="1"/>
  <c r="AF2974"/>
  <c r="AN2974" s="1"/>
  <c r="AT2973"/>
  <c r="AS2973"/>
  <c r="AL2973"/>
  <c r="AK2973"/>
  <c r="AJ2973"/>
  <c r="AR2973" s="1"/>
  <c r="AI2973"/>
  <c r="AQ2973" s="1"/>
  <c r="AH2973"/>
  <c r="AP2973" s="1"/>
  <c r="AG2973"/>
  <c r="AO2973" s="1"/>
  <c r="AF2973"/>
  <c r="AN2973" s="1"/>
  <c r="A2971"/>
  <c r="A2976" s="1"/>
  <c r="AT2953"/>
  <c r="AS2953"/>
  <c r="AL2953"/>
  <c r="AK2953"/>
  <c r="AJ2953"/>
  <c r="AR2953" s="1"/>
  <c r="AI2953"/>
  <c r="AQ2953" s="1"/>
  <c r="AH2953"/>
  <c r="AP2953" s="1"/>
  <c r="AG2953"/>
  <c r="AO2953" s="1"/>
  <c r="AF2953"/>
  <c r="AN2953" s="1"/>
  <c r="AT2952"/>
  <c r="AS2952"/>
  <c r="AL2952"/>
  <c r="AK2952"/>
  <c r="AJ2952"/>
  <c r="AR2952" s="1"/>
  <c r="AI2952"/>
  <c r="AQ2952" s="1"/>
  <c r="AH2952"/>
  <c r="AP2952" s="1"/>
  <c r="AG2952"/>
  <c r="AO2952" s="1"/>
  <c r="AF2952"/>
  <c r="AN2952" s="1"/>
  <c r="A2950"/>
  <c r="A2955" s="1"/>
  <c r="AT2932"/>
  <c r="AS2932"/>
  <c r="AR2932"/>
  <c r="AQ2932"/>
  <c r="AL2932"/>
  <c r="AK2932"/>
  <c r="AJ2932"/>
  <c r="AI2932"/>
  <c r="AH2932"/>
  <c r="AP2932" s="1"/>
  <c r="AG2932"/>
  <c r="AO2932" s="1"/>
  <c r="AF2932"/>
  <c r="AN2932" s="1"/>
  <c r="AT2931"/>
  <c r="AS2931"/>
  <c r="AR2931"/>
  <c r="AQ2931"/>
  <c r="AL2931"/>
  <c r="AK2931"/>
  <c r="AJ2931"/>
  <c r="AI2931"/>
  <c r="AH2931"/>
  <c r="AP2931" s="1"/>
  <c r="AG2931"/>
  <c r="AO2931" s="1"/>
  <c r="AF2931"/>
  <c r="AN2931" s="1"/>
  <c r="A2929"/>
  <c r="A2934" s="1"/>
  <c r="AT2912"/>
  <c r="AS2912"/>
  <c r="AR2912"/>
  <c r="AL2912"/>
  <c r="AK2912"/>
  <c r="AJ2912"/>
  <c r="AI2912"/>
  <c r="AQ2912" s="1"/>
  <c r="AH2912"/>
  <c r="AP2912" s="1"/>
  <c r="AG2912"/>
  <c r="AO2912" s="1"/>
  <c r="AF2912"/>
  <c r="AN2912" s="1"/>
  <c r="AT2911"/>
  <c r="AS2911"/>
  <c r="AL2911"/>
  <c r="AK2911"/>
  <c r="AJ2911"/>
  <c r="AR2911" s="1"/>
  <c r="AI2911"/>
  <c r="AQ2911" s="1"/>
  <c r="AH2911"/>
  <c r="AP2911" s="1"/>
  <c r="AG2911"/>
  <c r="AO2911" s="1"/>
  <c r="AF2911"/>
  <c r="A2909"/>
  <c r="AT2892"/>
  <c r="AS2892"/>
  <c r="AR2892"/>
  <c r="AQ2892"/>
  <c r="AL2892"/>
  <c r="AK2892"/>
  <c r="AJ2892"/>
  <c r="AI2892"/>
  <c r="AH2892"/>
  <c r="AP2892" s="1"/>
  <c r="AG2892"/>
  <c r="AO2892" s="1"/>
  <c r="AF2892"/>
  <c r="AN2892" s="1"/>
  <c r="AT2891"/>
  <c r="AS2891"/>
  <c r="AR2891"/>
  <c r="AQ2891"/>
  <c r="AL2891"/>
  <c r="AK2891"/>
  <c r="AJ2891"/>
  <c r="AI2891"/>
  <c r="AH2891"/>
  <c r="AP2891" s="1"/>
  <c r="AG2891"/>
  <c r="AO2891" s="1"/>
  <c r="AF2891"/>
  <c r="AN2891" s="1"/>
  <c r="A2889"/>
  <c r="A2894" s="1"/>
  <c r="AT2872"/>
  <c r="AS2872"/>
  <c r="AL2872"/>
  <c r="AK2872"/>
  <c r="AJ2872"/>
  <c r="AR2872" s="1"/>
  <c r="AI2872"/>
  <c r="AQ2872" s="1"/>
  <c r="AH2872"/>
  <c r="AP2872" s="1"/>
  <c r="AG2872"/>
  <c r="AO2872" s="1"/>
  <c r="AF2872"/>
  <c r="AN2872" s="1"/>
  <c r="AT2871"/>
  <c r="AS2871"/>
  <c r="AL2871"/>
  <c r="AK2871"/>
  <c r="AJ2871"/>
  <c r="AR2871" s="1"/>
  <c r="AI2871"/>
  <c r="AQ2871" s="1"/>
  <c r="AH2871"/>
  <c r="AP2871" s="1"/>
  <c r="AG2871"/>
  <c r="AO2871" s="1"/>
  <c r="AF2871"/>
  <c r="A2869"/>
  <c r="AT2852"/>
  <c r="AS2852"/>
  <c r="AR2852"/>
  <c r="AL2852"/>
  <c r="AK2852"/>
  <c r="AJ2852"/>
  <c r="AI2852"/>
  <c r="AQ2852" s="1"/>
  <c r="AH2852"/>
  <c r="AP2852" s="1"/>
  <c r="AG2852"/>
  <c r="AO2852" s="1"/>
  <c r="AF2852"/>
  <c r="AN2852" s="1"/>
  <c r="AT2851"/>
  <c r="AS2851"/>
  <c r="AR2851"/>
  <c r="AL2851"/>
  <c r="AK2851"/>
  <c r="AJ2851"/>
  <c r="AI2851"/>
  <c r="AQ2851" s="1"/>
  <c r="AH2851"/>
  <c r="AP2851" s="1"/>
  <c r="AG2851"/>
  <c r="AO2851" s="1"/>
  <c r="AF2851"/>
  <c r="AN2851" s="1"/>
  <c r="A2849"/>
  <c r="A2854" s="1"/>
  <c r="AT2831"/>
  <c r="AS2831"/>
  <c r="AQ2831"/>
  <c r="AL2831"/>
  <c r="AK2831"/>
  <c r="AJ2831"/>
  <c r="AR2831" s="1"/>
  <c r="AI2831"/>
  <c r="AH2831"/>
  <c r="AP2831" s="1"/>
  <c r="AG2831"/>
  <c r="AO2831" s="1"/>
  <c r="AF2831"/>
  <c r="AN2831" s="1"/>
  <c r="AT2830"/>
  <c r="AS2830"/>
  <c r="AL2830"/>
  <c r="AK2830"/>
  <c r="AJ2830"/>
  <c r="AR2830" s="1"/>
  <c r="AI2830"/>
  <c r="AQ2830" s="1"/>
  <c r="AH2830"/>
  <c r="AP2830" s="1"/>
  <c r="AG2830"/>
  <c r="AO2830" s="1"/>
  <c r="AF2830"/>
  <c r="A2828"/>
  <c r="A2833" s="1"/>
  <c r="AT2810"/>
  <c r="AS2810"/>
  <c r="AR2810"/>
  <c r="AQ2810"/>
  <c r="AL2810"/>
  <c r="AK2810"/>
  <c r="AJ2810"/>
  <c r="AI2810"/>
  <c r="AH2810"/>
  <c r="AP2810" s="1"/>
  <c r="AG2810"/>
  <c r="AO2810" s="1"/>
  <c r="AF2810"/>
  <c r="AN2810" s="1"/>
  <c r="AT2809"/>
  <c r="AS2809"/>
  <c r="AR2809"/>
  <c r="AQ2809"/>
  <c r="AL2809"/>
  <c r="AK2809"/>
  <c r="AJ2809"/>
  <c r="AI2809"/>
  <c r="AH2809"/>
  <c r="AP2809" s="1"/>
  <c r="AG2809"/>
  <c r="AO2809" s="1"/>
  <c r="AF2809"/>
  <c r="AN2809" s="1"/>
  <c r="A2807"/>
  <c r="A2812" s="1"/>
  <c r="AT2789"/>
  <c r="AS2789"/>
  <c r="AL2789"/>
  <c r="AK2789"/>
  <c r="AJ2789"/>
  <c r="AR2789" s="1"/>
  <c r="AI2789"/>
  <c r="AQ2789" s="1"/>
  <c r="AH2789"/>
  <c r="AP2789" s="1"/>
  <c r="AG2789"/>
  <c r="AO2789" s="1"/>
  <c r="AF2789"/>
  <c r="AN2789" s="1"/>
  <c r="AT2788"/>
  <c r="AS2788"/>
  <c r="AL2788"/>
  <c r="AK2788"/>
  <c r="AJ2788"/>
  <c r="AR2788" s="1"/>
  <c r="AI2788"/>
  <c r="AQ2788" s="1"/>
  <c r="AH2788"/>
  <c r="AP2788" s="1"/>
  <c r="AG2788"/>
  <c r="AO2788" s="1"/>
  <c r="AF2788"/>
  <c r="AN2788" s="1"/>
  <c r="A2786"/>
  <c r="A2791" s="1"/>
  <c r="AT2768"/>
  <c r="AS2768"/>
  <c r="AR2768"/>
  <c r="AL2768"/>
  <c r="AK2768"/>
  <c r="AJ2768"/>
  <c r="AI2768"/>
  <c r="AQ2768" s="1"/>
  <c r="AH2768"/>
  <c r="AP2768" s="1"/>
  <c r="AG2768"/>
  <c r="AO2768" s="1"/>
  <c r="AF2768"/>
  <c r="AN2768" s="1"/>
  <c r="AT2767"/>
  <c r="AS2767"/>
  <c r="AR2767"/>
  <c r="AL2767"/>
  <c r="AK2767"/>
  <c r="AJ2767"/>
  <c r="AI2767"/>
  <c r="AQ2767" s="1"/>
  <c r="AH2767"/>
  <c r="AP2767" s="1"/>
  <c r="AG2767"/>
  <c r="AO2767" s="1"/>
  <c r="AF2767"/>
  <c r="AN2767" s="1"/>
  <c r="A2765"/>
  <c r="A2770" s="1"/>
  <c r="AT2747"/>
  <c r="AS2747"/>
  <c r="AR2747"/>
  <c r="AQ2747"/>
  <c r="AL2747"/>
  <c r="AK2747"/>
  <c r="AJ2747"/>
  <c r="AI2747"/>
  <c r="AH2747"/>
  <c r="AP2747" s="1"/>
  <c r="AG2747"/>
  <c r="AO2747" s="1"/>
  <c r="AF2747"/>
  <c r="AN2747" s="1"/>
  <c r="AT2746"/>
  <c r="AS2746"/>
  <c r="AR2746"/>
  <c r="AQ2746"/>
  <c r="AL2746"/>
  <c r="AK2746"/>
  <c r="AJ2746"/>
  <c r="AI2746"/>
  <c r="AH2746"/>
  <c r="AP2746" s="1"/>
  <c r="AG2746"/>
  <c r="AO2746" s="1"/>
  <c r="AF2746"/>
  <c r="AN2746" s="1"/>
  <c r="A2744"/>
  <c r="A2749" s="1"/>
  <c r="AT2726"/>
  <c r="AS2726"/>
  <c r="AR2726"/>
  <c r="AQ2726"/>
  <c r="AL2726"/>
  <c r="AK2726"/>
  <c r="AJ2726"/>
  <c r="AI2726"/>
  <c r="AH2726"/>
  <c r="AP2726" s="1"/>
  <c r="AG2726"/>
  <c r="AO2726" s="1"/>
  <c r="AF2726"/>
  <c r="AN2726" s="1"/>
  <c r="AT2725"/>
  <c r="AS2725"/>
  <c r="AR2725"/>
  <c r="AQ2725"/>
  <c r="AL2725"/>
  <c r="AK2725"/>
  <c r="AJ2725"/>
  <c r="AI2725"/>
  <c r="AH2725"/>
  <c r="AP2725" s="1"/>
  <c r="AG2725"/>
  <c r="AO2725" s="1"/>
  <c r="AF2725"/>
  <c r="AN2725" s="1"/>
  <c r="A2723"/>
  <c r="A2728" s="1"/>
  <c r="AT2705"/>
  <c r="AS2705"/>
  <c r="AR2705"/>
  <c r="AQ2705"/>
  <c r="AL2705"/>
  <c r="AK2705"/>
  <c r="AJ2705"/>
  <c r="AI2705"/>
  <c r="AH2705"/>
  <c r="AP2705" s="1"/>
  <c r="AG2705"/>
  <c r="AO2705" s="1"/>
  <c r="AF2705"/>
  <c r="AN2705" s="1"/>
  <c r="AT2704"/>
  <c r="AS2704"/>
  <c r="AR2704"/>
  <c r="AQ2704"/>
  <c r="AL2704"/>
  <c r="AK2704"/>
  <c r="AJ2704"/>
  <c r="AI2704"/>
  <c r="AH2704"/>
  <c r="AP2704" s="1"/>
  <c r="AG2704"/>
  <c r="AO2704" s="1"/>
  <c r="AF2704"/>
  <c r="AN2704" s="1"/>
  <c r="A2702"/>
  <c r="A2707" s="1"/>
  <c r="AT2684"/>
  <c r="AS2684"/>
  <c r="AR2684"/>
  <c r="AL2684"/>
  <c r="AK2684"/>
  <c r="AJ2684"/>
  <c r="AI2684"/>
  <c r="AQ2684" s="1"/>
  <c r="AH2684"/>
  <c r="AP2684" s="1"/>
  <c r="AG2684"/>
  <c r="AO2684" s="1"/>
  <c r="AF2684"/>
  <c r="AN2684" s="1"/>
  <c r="AT2683"/>
  <c r="AS2683"/>
  <c r="AR2683"/>
  <c r="AL2683"/>
  <c r="AK2683"/>
  <c r="AJ2683"/>
  <c r="AI2683"/>
  <c r="AQ2683" s="1"/>
  <c r="AH2683"/>
  <c r="AP2683" s="1"/>
  <c r="AG2683"/>
  <c r="AO2683" s="1"/>
  <c r="AF2683"/>
  <c r="AN2683" s="1"/>
  <c r="A2681"/>
  <c r="A2686" s="1"/>
  <c r="AT2663"/>
  <c r="AS2663"/>
  <c r="AR2663"/>
  <c r="AQ2663"/>
  <c r="AL2663"/>
  <c r="AK2663"/>
  <c r="AJ2663"/>
  <c r="AI2663"/>
  <c r="AH2663"/>
  <c r="AP2663" s="1"/>
  <c r="AG2663"/>
  <c r="AO2663" s="1"/>
  <c r="AF2663"/>
  <c r="AN2663" s="1"/>
  <c r="AT2662"/>
  <c r="AS2662"/>
  <c r="AR2662"/>
  <c r="AQ2662"/>
  <c r="AL2662"/>
  <c r="AK2662"/>
  <c r="AJ2662"/>
  <c r="AI2662"/>
  <c r="AH2662"/>
  <c r="AP2662" s="1"/>
  <c r="AG2662"/>
  <c r="AO2662" s="1"/>
  <c r="AF2662"/>
  <c r="AN2662" s="1"/>
  <c r="A2660"/>
  <c r="A2665" s="1"/>
  <c r="AT2642"/>
  <c r="AS2642"/>
  <c r="AR2642"/>
  <c r="AQ2642"/>
  <c r="AL2642"/>
  <c r="AK2642"/>
  <c r="AJ2642"/>
  <c r="AI2642"/>
  <c r="AH2642"/>
  <c r="AP2642" s="1"/>
  <c r="AG2642"/>
  <c r="AO2642" s="1"/>
  <c r="AF2642"/>
  <c r="AN2642" s="1"/>
  <c r="AT2641"/>
  <c r="AS2641"/>
  <c r="AR2641"/>
  <c r="AQ2641"/>
  <c r="AL2641"/>
  <c r="AK2641"/>
  <c r="AJ2641"/>
  <c r="AI2641"/>
  <c r="AH2641"/>
  <c r="AP2641" s="1"/>
  <c r="AG2641"/>
  <c r="AO2641" s="1"/>
  <c r="AF2641"/>
  <c r="AN2641" s="1"/>
  <c r="A2639"/>
  <c r="A2644" s="1"/>
  <c r="AT2621"/>
  <c r="AS2621"/>
  <c r="AR2621"/>
  <c r="AL2621"/>
  <c r="AK2621"/>
  <c r="AJ2621"/>
  <c r="AI2621"/>
  <c r="AQ2621" s="1"/>
  <c r="AH2621"/>
  <c r="AP2621" s="1"/>
  <c r="AG2621"/>
  <c r="AO2621" s="1"/>
  <c r="AF2621"/>
  <c r="AN2621" s="1"/>
  <c r="AT2620"/>
  <c r="AS2620"/>
  <c r="AR2620"/>
  <c r="AL2620"/>
  <c r="AK2620"/>
  <c r="AJ2620"/>
  <c r="AI2620"/>
  <c r="AQ2620" s="1"/>
  <c r="AH2620"/>
  <c r="AP2620" s="1"/>
  <c r="AG2620"/>
  <c r="AO2620" s="1"/>
  <c r="AF2620"/>
  <c r="AN2620" s="1"/>
  <c r="A2618"/>
  <c r="A2623" s="1"/>
  <c r="AT2600"/>
  <c r="AS2600"/>
  <c r="AR2600"/>
  <c r="AQ2600"/>
  <c r="AL2600"/>
  <c r="AK2600"/>
  <c r="AJ2600"/>
  <c r="AI2600"/>
  <c r="AH2600"/>
  <c r="AP2600" s="1"/>
  <c r="AG2600"/>
  <c r="AO2600" s="1"/>
  <c r="AF2600"/>
  <c r="AN2600" s="1"/>
  <c r="AT2599"/>
  <c r="AS2599"/>
  <c r="AR2599"/>
  <c r="AQ2599"/>
  <c r="AL2599"/>
  <c r="AK2599"/>
  <c r="AJ2599"/>
  <c r="AI2599"/>
  <c r="AH2599"/>
  <c r="AP2599" s="1"/>
  <c r="AG2599"/>
  <c r="AO2599" s="1"/>
  <c r="AF2599"/>
  <c r="AN2599" s="1"/>
  <c r="A2597"/>
  <c r="A2602" s="1"/>
  <c r="AT2579"/>
  <c r="AS2579"/>
  <c r="AR2579"/>
  <c r="AL2579"/>
  <c r="AK2579"/>
  <c r="AJ2579"/>
  <c r="AI2579"/>
  <c r="AQ2579" s="1"/>
  <c r="AH2579"/>
  <c r="AP2579" s="1"/>
  <c r="AG2579"/>
  <c r="AO2579" s="1"/>
  <c r="AF2579"/>
  <c r="AN2579" s="1"/>
  <c r="AT2578"/>
  <c r="AS2578"/>
  <c r="AR2578"/>
  <c r="AL2578"/>
  <c r="AK2578"/>
  <c r="AJ2578"/>
  <c r="AI2578"/>
  <c r="AQ2578" s="1"/>
  <c r="AH2578"/>
  <c r="AP2578" s="1"/>
  <c r="AG2578"/>
  <c r="AO2578" s="1"/>
  <c r="AF2578"/>
  <c r="AN2578" s="1"/>
  <c r="A2576"/>
  <c r="A2581" s="1"/>
  <c r="AT2558"/>
  <c r="AS2558"/>
  <c r="AR2558"/>
  <c r="AL2558"/>
  <c r="AK2558"/>
  <c r="AJ2558"/>
  <c r="AI2558"/>
  <c r="AQ2558" s="1"/>
  <c r="AH2558"/>
  <c r="AP2558" s="1"/>
  <c r="AG2558"/>
  <c r="AO2558" s="1"/>
  <c r="AF2558"/>
  <c r="AN2558" s="1"/>
  <c r="AT2557"/>
  <c r="AS2557"/>
  <c r="AR2557"/>
  <c r="AL2557"/>
  <c r="AK2557"/>
  <c r="AJ2557"/>
  <c r="AI2557"/>
  <c r="AQ2557" s="1"/>
  <c r="AH2557"/>
  <c r="AP2557" s="1"/>
  <c r="AG2557"/>
  <c r="AO2557" s="1"/>
  <c r="AF2557"/>
  <c r="AN2557" s="1"/>
  <c r="A2555"/>
  <c r="A2560" s="1"/>
  <c r="AT2537"/>
  <c r="AS2537"/>
  <c r="AR2537"/>
  <c r="AL2537"/>
  <c r="AK2537"/>
  <c r="AJ2537"/>
  <c r="AI2537"/>
  <c r="AQ2537" s="1"/>
  <c r="AH2537"/>
  <c r="AP2537" s="1"/>
  <c r="AG2537"/>
  <c r="AO2537" s="1"/>
  <c r="AF2537"/>
  <c r="AN2537" s="1"/>
  <c r="AT2536"/>
  <c r="AS2536"/>
  <c r="AR2536"/>
  <c r="AL2536"/>
  <c r="AK2536"/>
  <c r="AJ2536"/>
  <c r="AI2536"/>
  <c r="AQ2536" s="1"/>
  <c r="AH2536"/>
  <c r="AP2536" s="1"/>
  <c r="AG2536"/>
  <c r="AO2536" s="1"/>
  <c r="AF2536"/>
  <c r="AN2536" s="1"/>
  <c r="A2534"/>
  <c r="A2539" s="1"/>
  <c r="AT2516"/>
  <c r="AS2516"/>
  <c r="AR2516"/>
  <c r="AL2516"/>
  <c r="AK2516"/>
  <c r="AJ2516"/>
  <c r="AI2516"/>
  <c r="AQ2516" s="1"/>
  <c r="AH2516"/>
  <c r="AP2516" s="1"/>
  <c r="AG2516"/>
  <c r="AO2516" s="1"/>
  <c r="AF2516"/>
  <c r="AN2516" s="1"/>
  <c r="AT2515"/>
  <c r="AS2515"/>
  <c r="AR2515"/>
  <c r="AL2515"/>
  <c r="AK2515"/>
  <c r="AJ2515"/>
  <c r="AI2515"/>
  <c r="AQ2515" s="1"/>
  <c r="AH2515"/>
  <c r="AP2515" s="1"/>
  <c r="AG2515"/>
  <c r="AO2515" s="1"/>
  <c r="AF2515"/>
  <c r="AN2515" s="1"/>
  <c r="A2513"/>
  <c r="A2518" s="1"/>
  <c r="AT2496"/>
  <c r="AS2496"/>
  <c r="AR2496"/>
  <c r="AQ2496"/>
  <c r="AL2496"/>
  <c r="AK2496"/>
  <c r="AJ2496"/>
  <c r="AI2496"/>
  <c r="AH2496"/>
  <c r="AP2496" s="1"/>
  <c r="AG2496"/>
  <c r="AO2496" s="1"/>
  <c r="AF2496"/>
  <c r="AN2496" s="1"/>
  <c r="AT2495"/>
  <c r="AS2495"/>
  <c r="AR2495"/>
  <c r="AQ2495"/>
  <c r="AL2495"/>
  <c r="AK2495"/>
  <c r="AJ2495"/>
  <c r="AI2495"/>
  <c r="AH2495"/>
  <c r="AP2495" s="1"/>
  <c r="AG2495"/>
  <c r="AO2495" s="1"/>
  <c r="AF2495"/>
  <c r="A2493"/>
  <c r="AT2476"/>
  <c r="AS2476"/>
  <c r="AR2476"/>
  <c r="AL2476"/>
  <c r="AK2476"/>
  <c r="AJ2476"/>
  <c r="AI2476"/>
  <c r="AQ2476" s="1"/>
  <c r="AH2476"/>
  <c r="AP2476" s="1"/>
  <c r="AG2476"/>
  <c r="AO2476" s="1"/>
  <c r="AF2476"/>
  <c r="AN2476" s="1"/>
  <c r="AT2475"/>
  <c r="AS2475"/>
  <c r="AL2475"/>
  <c r="AK2475"/>
  <c r="AJ2475"/>
  <c r="AR2475" s="1"/>
  <c r="AI2475"/>
  <c r="AQ2475" s="1"/>
  <c r="AH2475"/>
  <c r="AP2475" s="1"/>
  <c r="AG2475"/>
  <c r="AO2475" s="1"/>
  <c r="AF2475"/>
  <c r="AN2475" s="1"/>
  <c r="A2473"/>
  <c r="A2478" s="1"/>
  <c r="AT2456"/>
  <c r="AS2456"/>
  <c r="AR2456"/>
  <c r="AL2456"/>
  <c r="AK2456"/>
  <c r="AJ2456"/>
  <c r="AI2456"/>
  <c r="AQ2456" s="1"/>
  <c r="AH2456"/>
  <c r="AP2456" s="1"/>
  <c r="AG2456"/>
  <c r="AO2456" s="1"/>
  <c r="AF2456"/>
  <c r="AN2456" s="1"/>
  <c r="AT2455"/>
  <c r="AS2455"/>
  <c r="AR2455"/>
  <c r="AL2455"/>
  <c r="AK2455"/>
  <c r="AJ2455"/>
  <c r="AI2455"/>
  <c r="AQ2455" s="1"/>
  <c r="AH2455"/>
  <c r="AP2455" s="1"/>
  <c r="AG2455"/>
  <c r="AO2455" s="1"/>
  <c r="AF2455"/>
  <c r="A2453"/>
  <c r="AT2436"/>
  <c r="AS2436"/>
  <c r="AR2436"/>
  <c r="AQ2436"/>
  <c r="AL2436"/>
  <c r="AK2436"/>
  <c r="AJ2436"/>
  <c r="AI2436"/>
  <c r="AH2436"/>
  <c r="AP2436" s="1"/>
  <c r="AG2436"/>
  <c r="AO2436" s="1"/>
  <c r="AF2436"/>
  <c r="AN2436" s="1"/>
  <c r="AT2435"/>
  <c r="AS2435"/>
  <c r="AR2435"/>
  <c r="AQ2435"/>
  <c r="AL2435"/>
  <c r="AK2435"/>
  <c r="AJ2435"/>
  <c r="AI2435"/>
  <c r="AH2435"/>
  <c r="AP2435" s="1"/>
  <c r="AG2435"/>
  <c r="AO2435" s="1"/>
  <c r="AF2435"/>
  <c r="AN2435" s="1"/>
  <c r="A2433"/>
  <c r="A2438" s="1"/>
  <c r="AT2416"/>
  <c r="AS2416"/>
  <c r="AL2416"/>
  <c r="AK2416"/>
  <c r="AJ2416"/>
  <c r="AR2416" s="1"/>
  <c r="AI2416"/>
  <c r="AQ2416" s="1"/>
  <c r="AH2416"/>
  <c r="AP2416" s="1"/>
  <c r="AG2416"/>
  <c r="AO2416" s="1"/>
  <c r="AF2416"/>
  <c r="AN2416" s="1"/>
  <c r="AT2415"/>
  <c r="AS2415"/>
  <c r="AL2415"/>
  <c r="AK2415"/>
  <c r="AJ2415"/>
  <c r="AR2415" s="1"/>
  <c r="AI2415"/>
  <c r="AQ2415" s="1"/>
  <c r="AH2415"/>
  <c r="AP2415" s="1"/>
  <c r="AG2415"/>
  <c r="AO2415" s="1"/>
  <c r="AF2415"/>
  <c r="A2413"/>
  <c r="AT2396"/>
  <c r="AS2396"/>
  <c r="AR2396"/>
  <c r="AL2396"/>
  <c r="AK2396"/>
  <c r="AJ2396"/>
  <c r="AI2396"/>
  <c r="AQ2396" s="1"/>
  <c r="AH2396"/>
  <c r="AP2396" s="1"/>
  <c r="AG2396"/>
  <c r="AO2396" s="1"/>
  <c r="AF2396"/>
  <c r="AN2396" s="1"/>
  <c r="AT2395"/>
  <c r="AS2395"/>
  <c r="AR2395"/>
  <c r="AL2395"/>
  <c r="AK2395"/>
  <c r="AJ2395"/>
  <c r="AI2395"/>
  <c r="AQ2395" s="1"/>
  <c r="AH2395"/>
  <c r="AP2395" s="1"/>
  <c r="AG2395"/>
  <c r="AO2395" s="1"/>
  <c r="AF2395"/>
  <c r="AN2395" s="1"/>
  <c r="A2393"/>
  <c r="A2398" s="1"/>
  <c r="AT2376"/>
  <c r="AS2376"/>
  <c r="AR2376"/>
  <c r="AL2376"/>
  <c r="AK2376"/>
  <c r="AJ2376"/>
  <c r="AI2376"/>
  <c r="AQ2376" s="1"/>
  <c r="AH2376"/>
  <c r="AP2376" s="1"/>
  <c r="AG2376"/>
  <c r="AO2376" s="1"/>
  <c r="AF2376"/>
  <c r="AN2376" s="1"/>
  <c r="AT2375"/>
  <c r="AS2375"/>
  <c r="AR2375"/>
  <c r="AL2375"/>
  <c r="AK2375"/>
  <c r="AJ2375"/>
  <c r="AI2375"/>
  <c r="AQ2375" s="1"/>
  <c r="AH2375"/>
  <c r="AP2375" s="1"/>
  <c r="AG2375"/>
  <c r="AO2375" s="1"/>
  <c r="AF2375"/>
  <c r="A2373"/>
  <c r="AT2356"/>
  <c r="AS2356"/>
  <c r="AR2356"/>
  <c r="AL2356"/>
  <c r="AK2356"/>
  <c r="AJ2356"/>
  <c r="AI2356"/>
  <c r="AQ2356" s="1"/>
  <c r="AH2356"/>
  <c r="AP2356" s="1"/>
  <c r="AG2356"/>
  <c r="AO2356" s="1"/>
  <c r="AF2356"/>
  <c r="AN2356" s="1"/>
  <c r="AT2355"/>
  <c r="AS2355"/>
  <c r="AL2355"/>
  <c r="AK2355"/>
  <c r="AJ2355"/>
  <c r="AR2355" s="1"/>
  <c r="AI2355"/>
  <c r="AQ2355" s="1"/>
  <c r="AH2355"/>
  <c r="AP2355" s="1"/>
  <c r="AG2355"/>
  <c r="AO2355" s="1"/>
  <c r="AF2355"/>
  <c r="AN2355" s="1"/>
  <c r="A2353"/>
  <c r="A2358" s="1"/>
  <c r="AT2336"/>
  <c r="AS2336"/>
  <c r="AR2336"/>
  <c r="AL2336"/>
  <c r="AK2336"/>
  <c r="AJ2336"/>
  <c r="AI2336"/>
  <c r="AQ2336" s="1"/>
  <c r="AH2336"/>
  <c r="AP2336" s="1"/>
  <c r="AG2336"/>
  <c r="AO2336" s="1"/>
  <c r="AF2336"/>
  <c r="AN2336" s="1"/>
  <c r="AT2335"/>
  <c r="AS2335"/>
  <c r="AR2335"/>
  <c r="AL2335"/>
  <c r="AK2335"/>
  <c r="AJ2335"/>
  <c r="AI2335"/>
  <c r="AQ2335" s="1"/>
  <c r="AH2335"/>
  <c r="AP2335" s="1"/>
  <c r="AG2335"/>
  <c r="AO2335" s="1"/>
  <c r="AF2335"/>
  <c r="A2333"/>
  <c r="AT2316"/>
  <c r="AS2316"/>
  <c r="AL2316"/>
  <c r="AK2316"/>
  <c r="AJ2316"/>
  <c r="AR2316" s="1"/>
  <c r="AI2316"/>
  <c r="AQ2316" s="1"/>
  <c r="AH2316"/>
  <c r="AP2316" s="1"/>
  <c r="AG2316"/>
  <c r="AO2316" s="1"/>
  <c r="AF2316"/>
  <c r="AN2316" s="1"/>
  <c r="AT2315"/>
  <c r="AS2315"/>
  <c r="AL2315"/>
  <c r="AK2315"/>
  <c r="AJ2315"/>
  <c r="AR2315" s="1"/>
  <c r="AI2315"/>
  <c r="AQ2315" s="1"/>
  <c r="AH2315"/>
  <c r="AP2315" s="1"/>
  <c r="AG2315"/>
  <c r="AO2315" s="1"/>
  <c r="AF2315"/>
  <c r="AN2315" s="1"/>
  <c r="A2313"/>
  <c r="A2318" s="1"/>
  <c r="AT2296"/>
  <c r="AS2296"/>
  <c r="AL2296"/>
  <c r="AK2296"/>
  <c r="AJ2296"/>
  <c r="AR2296" s="1"/>
  <c r="AI2296"/>
  <c r="AQ2296" s="1"/>
  <c r="AH2296"/>
  <c r="AP2296" s="1"/>
  <c r="AG2296"/>
  <c r="AO2296" s="1"/>
  <c r="AF2296"/>
  <c r="AN2296" s="1"/>
  <c r="AT2295"/>
  <c r="AS2295"/>
  <c r="AL2295"/>
  <c r="AK2295"/>
  <c r="AJ2295"/>
  <c r="AR2295" s="1"/>
  <c r="AI2295"/>
  <c r="AQ2295" s="1"/>
  <c r="AH2295"/>
  <c r="AP2295" s="1"/>
  <c r="AG2295"/>
  <c r="AO2295" s="1"/>
  <c r="AF2295"/>
  <c r="A2293"/>
  <c r="AT2276"/>
  <c r="AS2276"/>
  <c r="AR2276"/>
  <c r="AL2276"/>
  <c r="AK2276"/>
  <c r="AJ2276"/>
  <c r="AI2276"/>
  <c r="AQ2276" s="1"/>
  <c r="AH2276"/>
  <c r="AP2276" s="1"/>
  <c r="AG2276"/>
  <c r="AO2276" s="1"/>
  <c r="AF2276"/>
  <c r="AN2276" s="1"/>
  <c r="AT2275"/>
  <c r="AS2275"/>
  <c r="AR2275"/>
  <c r="AL2275"/>
  <c r="AK2275"/>
  <c r="AJ2275"/>
  <c r="AI2275"/>
  <c r="AQ2275" s="1"/>
  <c r="AH2275"/>
  <c r="AP2275" s="1"/>
  <c r="AG2275"/>
  <c r="AO2275" s="1"/>
  <c r="AF2275"/>
  <c r="AN2275" s="1"/>
  <c r="A2273"/>
  <c r="A2278" s="1"/>
  <c r="AT2256"/>
  <c r="AS2256"/>
  <c r="AR2256"/>
  <c r="AQ2256"/>
  <c r="AL2256"/>
  <c r="AK2256"/>
  <c r="AJ2256"/>
  <c r="AI2256"/>
  <c r="AH2256"/>
  <c r="AP2256" s="1"/>
  <c r="AG2256"/>
  <c r="AO2256" s="1"/>
  <c r="AF2256"/>
  <c r="AN2256" s="1"/>
  <c r="AT2255"/>
  <c r="AS2255"/>
  <c r="AR2255"/>
  <c r="AQ2255"/>
  <c r="AL2255"/>
  <c r="AK2255"/>
  <c r="AJ2255"/>
  <c r="AI2255"/>
  <c r="AH2255"/>
  <c r="AP2255" s="1"/>
  <c r="AG2255"/>
  <c r="AO2255" s="1"/>
  <c r="AF2255"/>
  <c r="A2253"/>
  <c r="AT2236"/>
  <c r="AS2236"/>
  <c r="AR2236"/>
  <c r="AQ2236"/>
  <c r="AL2236"/>
  <c r="AK2236"/>
  <c r="AJ2236"/>
  <c r="AI2236"/>
  <c r="AH2236"/>
  <c r="AP2236" s="1"/>
  <c r="AG2236"/>
  <c r="AO2236" s="1"/>
  <c r="AF2236"/>
  <c r="AN2236" s="1"/>
  <c r="AT2235"/>
  <c r="AS2235"/>
  <c r="AR2235"/>
  <c r="AQ2235"/>
  <c r="AL2235"/>
  <c r="AK2235"/>
  <c r="AJ2235"/>
  <c r="AI2235"/>
  <c r="AH2235"/>
  <c r="AP2235" s="1"/>
  <c r="AG2235"/>
  <c r="AO2235" s="1"/>
  <c r="AF2235"/>
  <c r="AN2235" s="1"/>
  <c r="A2233"/>
  <c r="A2238" s="1"/>
  <c r="AT2216"/>
  <c r="AS2216"/>
  <c r="AR2216"/>
  <c r="AL2216"/>
  <c r="AK2216"/>
  <c r="AJ2216"/>
  <c r="AI2216"/>
  <c r="AQ2216" s="1"/>
  <c r="AH2216"/>
  <c r="AP2216" s="1"/>
  <c r="AG2216"/>
  <c r="AO2216" s="1"/>
  <c r="AF2216"/>
  <c r="AN2216" s="1"/>
  <c r="AT2215"/>
  <c r="AS2215"/>
  <c r="AL2215"/>
  <c r="AK2215"/>
  <c r="AJ2215"/>
  <c r="AR2215" s="1"/>
  <c r="AI2215"/>
  <c r="AQ2215" s="1"/>
  <c r="AH2215"/>
  <c r="AP2215" s="1"/>
  <c r="AG2215"/>
  <c r="AO2215" s="1"/>
  <c r="AF2215"/>
  <c r="A2213"/>
  <c r="AT2196"/>
  <c r="AS2196"/>
  <c r="AR2196"/>
  <c r="AL2196"/>
  <c r="AK2196"/>
  <c r="AJ2196"/>
  <c r="AI2196"/>
  <c r="AQ2196" s="1"/>
  <c r="AH2196"/>
  <c r="AP2196" s="1"/>
  <c r="AG2196"/>
  <c r="AO2196" s="1"/>
  <c r="AF2196"/>
  <c r="AN2196" s="1"/>
  <c r="AT2195"/>
  <c r="AS2195"/>
  <c r="AL2195"/>
  <c r="AK2195"/>
  <c r="AJ2195"/>
  <c r="AR2195" s="1"/>
  <c r="AI2195"/>
  <c r="AQ2195" s="1"/>
  <c r="AH2195"/>
  <c r="AP2195" s="1"/>
  <c r="AG2195"/>
  <c r="AO2195" s="1"/>
  <c r="AF2195"/>
  <c r="AN2195" s="1"/>
  <c r="A2193"/>
  <c r="A2198" s="1"/>
  <c r="AT2176"/>
  <c r="AS2176"/>
  <c r="AR2176"/>
  <c r="AQ2176"/>
  <c r="AL2176"/>
  <c r="AK2176"/>
  <c r="AJ2176"/>
  <c r="AI2176"/>
  <c r="AH2176"/>
  <c r="AP2176" s="1"/>
  <c r="AG2176"/>
  <c r="AO2176" s="1"/>
  <c r="AF2176"/>
  <c r="AN2176" s="1"/>
  <c r="AT2175"/>
  <c r="AS2175"/>
  <c r="AR2175"/>
  <c r="AQ2175"/>
  <c r="AL2175"/>
  <c r="AK2175"/>
  <c r="AJ2175"/>
  <c r="AI2175"/>
  <c r="AH2175"/>
  <c r="AP2175" s="1"/>
  <c r="AG2175"/>
  <c r="AO2175" s="1"/>
  <c r="AF2175"/>
  <c r="A2173"/>
  <c r="AT2156"/>
  <c r="AS2156"/>
  <c r="AR2156"/>
  <c r="AL2156"/>
  <c r="AK2156"/>
  <c r="AJ2156"/>
  <c r="AI2156"/>
  <c r="AQ2156" s="1"/>
  <c r="AH2156"/>
  <c r="AP2156" s="1"/>
  <c r="AG2156"/>
  <c r="AO2156" s="1"/>
  <c r="AF2156"/>
  <c r="AN2156" s="1"/>
  <c r="AT2155"/>
  <c r="AS2155"/>
  <c r="AR2155"/>
  <c r="AL2155"/>
  <c r="AK2155"/>
  <c r="AJ2155"/>
  <c r="AI2155"/>
  <c r="AQ2155" s="1"/>
  <c r="AH2155"/>
  <c r="AP2155" s="1"/>
  <c r="AG2155"/>
  <c r="AO2155" s="1"/>
  <c r="AF2155"/>
  <c r="A2153"/>
  <c r="AT2136"/>
  <c r="AS2136"/>
  <c r="AR2136"/>
  <c r="AL2136"/>
  <c r="AK2136"/>
  <c r="AJ2136"/>
  <c r="AI2136"/>
  <c r="AQ2136" s="1"/>
  <c r="AH2136"/>
  <c r="AP2136" s="1"/>
  <c r="AG2136"/>
  <c r="AO2136" s="1"/>
  <c r="AF2136"/>
  <c r="AN2136" s="1"/>
  <c r="AT2135"/>
  <c r="AS2135"/>
  <c r="AR2135"/>
  <c r="AL2135"/>
  <c r="AK2135"/>
  <c r="AJ2135"/>
  <c r="AI2135"/>
  <c r="AQ2135" s="1"/>
  <c r="AH2135"/>
  <c r="AP2135" s="1"/>
  <c r="AG2135"/>
  <c r="AO2135" s="1"/>
  <c r="AF2135"/>
  <c r="A2133"/>
  <c r="AT2116"/>
  <c r="AS2116"/>
  <c r="AR2116"/>
  <c r="AL2116"/>
  <c r="AK2116"/>
  <c r="AJ2116"/>
  <c r="AI2116"/>
  <c r="AQ2116" s="1"/>
  <c r="AH2116"/>
  <c r="AP2116" s="1"/>
  <c r="AG2116"/>
  <c r="AO2116" s="1"/>
  <c r="AF2116"/>
  <c r="AN2116" s="1"/>
  <c r="AT2115"/>
  <c r="AS2115"/>
  <c r="AR2115"/>
  <c r="AL2115"/>
  <c r="AK2115"/>
  <c r="AJ2115"/>
  <c r="AI2115"/>
  <c r="AQ2115" s="1"/>
  <c r="AH2115"/>
  <c r="AP2115" s="1"/>
  <c r="AG2115"/>
  <c r="AO2115" s="1"/>
  <c r="AF2115"/>
  <c r="A2113"/>
  <c r="AT2096"/>
  <c r="AS2096"/>
  <c r="AR2096"/>
  <c r="AL2096"/>
  <c r="AK2096"/>
  <c r="AJ2096"/>
  <c r="AI2096"/>
  <c r="AQ2096" s="1"/>
  <c r="AH2096"/>
  <c r="AP2096" s="1"/>
  <c r="AG2096"/>
  <c r="AO2096" s="1"/>
  <c r="AF2096"/>
  <c r="AN2096" s="1"/>
  <c r="AT2095"/>
  <c r="AS2095"/>
  <c r="AR2095"/>
  <c r="AL2095"/>
  <c r="AK2095"/>
  <c r="AJ2095"/>
  <c r="AI2095"/>
  <c r="AQ2095" s="1"/>
  <c r="AH2095"/>
  <c r="AP2095" s="1"/>
  <c r="AG2095"/>
  <c r="AO2095" s="1"/>
  <c r="AF2095"/>
  <c r="A2093"/>
  <c r="AT2076"/>
  <c r="AS2076"/>
  <c r="AR2076"/>
  <c r="AL2076"/>
  <c r="AK2076"/>
  <c r="AJ2076"/>
  <c r="AI2076"/>
  <c r="AQ2076" s="1"/>
  <c r="AH2076"/>
  <c r="AP2076" s="1"/>
  <c r="AG2076"/>
  <c r="AO2076" s="1"/>
  <c r="AF2076"/>
  <c r="AN2076" s="1"/>
  <c r="AT2075"/>
  <c r="AS2075"/>
  <c r="AL2075"/>
  <c r="AK2075"/>
  <c r="AJ2075"/>
  <c r="AR2075" s="1"/>
  <c r="AI2075"/>
  <c r="AQ2075" s="1"/>
  <c r="AH2075"/>
  <c r="AP2075" s="1"/>
  <c r="AG2075"/>
  <c r="AO2075" s="1"/>
  <c r="AF2075"/>
  <c r="A2073"/>
  <c r="AT2056"/>
  <c r="AS2056"/>
  <c r="AR2056"/>
  <c r="AL2056"/>
  <c r="AK2056"/>
  <c r="AJ2056"/>
  <c r="AI2056"/>
  <c r="AQ2056" s="1"/>
  <c r="AH2056"/>
  <c r="AP2056" s="1"/>
  <c r="AG2056"/>
  <c r="AO2056" s="1"/>
  <c r="AF2056"/>
  <c r="AN2056" s="1"/>
  <c r="AT2055"/>
  <c r="AS2055"/>
  <c r="AR2055"/>
  <c r="AL2055"/>
  <c r="AK2055"/>
  <c r="AJ2055"/>
  <c r="AI2055"/>
  <c r="AQ2055" s="1"/>
  <c r="AH2055"/>
  <c r="AP2055" s="1"/>
  <c r="AG2055"/>
  <c r="AO2055" s="1"/>
  <c r="AF2055"/>
  <c r="A2053"/>
  <c r="AT2036"/>
  <c r="AS2036"/>
  <c r="AR2036"/>
  <c r="AL2036"/>
  <c r="AK2036"/>
  <c r="AJ2036"/>
  <c r="AI2036"/>
  <c r="AQ2036" s="1"/>
  <c r="AH2036"/>
  <c r="AP2036" s="1"/>
  <c r="AG2036"/>
  <c r="AO2036" s="1"/>
  <c r="AF2036"/>
  <c r="AN2036" s="1"/>
  <c r="AT2035"/>
  <c r="AS2035"/>
  <c r="AR2035"/>
  <c r="AL2035"/>
  <c r="AK2035"/>
  <c r="AJ2035"/>
  <c r="AI2035"/>
  <c r="AQ2035" s="1"/>
  <c r="AH2035"/>
  <c r="AP2035" s="1"/>
  <c r="AG2035"/>
  <c r="AO2035" s="1"/>
  <c r="AF2035"/>
  <c r="A2033"/>
  <c r="A2038" s="1"/>
  <c r="AT2015"/>
  <c r="AS2015"/>
  <c r="AR2015"/>
  <c r="AQ2015"/>
  <c r="AL2015"/>
  <c r="AK2015"/>
  <c r="AJ2015"/>
  <c r="AI2015"/>
  <c r="AH2015"/>
  <c r="AP2015" s="1"/>
  <c r="AG2015"/>
  <c r="AO2015" s="1"/>
  <c r="AF2015"/>
  <c r="AN2015" s="1"/>
  <c r="AT2014"/>
  <c r="AS2014"/>
  <c r="AR2014"/>
  <c r="AQ2014"/>
  <c r="AL2014"/>
  <c r="AK2014"/>
  <c r="AJ2014"/>
  <c r="AI2014"/>
  <c r="AH2014"/>
  <c r="AP2014" s="1"/>
  <c r="AG2014"/>
  <c r="AO2014" s="1"/>
  <c r="AF2014"/>
  <c r="A2012"/>
  <c r="A2017" s="1"/>
  <c r="AT1994"/>
  <c r="AS1994"/>
  <c r="AR1994"/>
  <c r="AL1994"/>
  <c r="AK1994"/>
  <c r="AJ1994"/>
  <c r="AI1994"/>
  <c r="AQ1994" s="1"/>
  <c r="AH1994"/>
  <c r="AP1994" s="1"/>
  <c r="AG1994"/>
  <c r="AO1994" s="1"/>
  <c r="AF1994"/>
  <c r="AN1994" s="1"/>
  <c r="AT1993"/>
  <c r="AS1993"/>
  <c r="AR1993"/>
  <c r="AL1993"/>
  <c r="AK1993"/>
  <c r="AJ1993"/>
  <c r="AI1993"/>
  <c r="AQ1993" s="1"/>
  <c r="AH1993"/>
  <c r="AP1993" s="1"/>
  <c r="AG1993"/>
  <c r="AO1993" s="1"/>
  <c r="AF1993"/>
  <c r="AN1993" s="1"/>
  <c r="A1991"/>
  <c r="A1996" s="1"/>
  <c r="AT1973"/>
  <c r="AS1973"/>
  <c r="AR1973"/>
  <c r="AL1973"/>
  <c r="AK1973"/>
  <c r="AJ1973"/>
  <c r="AI1973"/>
  <c r="AQ1973" s="1"/>
  <c r="AH1973"/>
  <c r="AP1973" s="1"/>
  <c r="AG1973"/>
  <c r="AO1973" s="1"/>
  <c r="AF1973"/>
  <c r="AN1973" s="1"/>
  <c r="AT1972"/>
  <c r="AS1972"/>
  <c r="AR1972"/>
  <c r="AL1972"/>
  <c r="AK1972"/>
  <c r="AJ1972"/>
  <c r="AI1972"/>
  <c r="AQ1972" s="1"/>
  <c r="AH1972"/>
  <c r="AP1972" s="1"/>
  <c r="AG1972"/>
  <c r="AO1972" s="1"/>
  <c r="AF1972"/>
  <c r="AN1972" s="1"/>
  <c r="A1970"/>
  <c r="A1975" s="1"/>
  <c r="AT1952"/>
  <c r="AS1952"/>
  <c r="AR1952"/>
  <c r="AL1952"/>
  <c r="AK1952"/>
  <c r="AJ1952"/>
  <c r="AI1952"/>
  <c r="AQ1952" s="1"/>
  <c r="AH1952"/>
  <c r="AP1952" s="1"/>
  <c r="AG1952"/>
  <c r="AO1952" s="1"/>
  <c r="AF1952"/>
  <c r="AN1952" s="1"/>
  <c r="AT1951"/>
  <c r="AS1951"/>
  <c r="AL1951"/>
  <c r="AK1951"/>
  <c r="AJ1951"/>
  <c r="AR1951" s="1"/>
  <c r="AI1951"/>
  <c r="AQ1951" s="1"/>
  <c r="AH1951"/>
  <c r="AP1951" s="1"/>
  <c r="AG1951"/>
  <c r="AO1951" s="1"/>
  <c r="AF1951"/>
  <c r="AN1951" s="1"/>
  <c r="A1949"/>
  <c r="A1954" s="1"/>
  <c r="AT1931"/>
  <c r="AS1931"/>
  <c r="AR1931"/>
  <c r="AQ1931"/>
  <c r="AL1931"/>
  <c r="AK1931"/>
  <c r="AJ1931"/>
  <c r="AI1931"/>
  <c r="AH1931"/>
  <c r="AP1931" s="1"/>
  <c r="AG1931"/>
  <c r="AO1931" s="1"/>
  <c r="AF1931"/>
  <c r="AN1931" s="1"/>
  <c r="AT1930"/>
  <c r="AS1930"/>
  <c r="AR1930"/>
  <c r="AQ1930"/>
  <c r="AL1930"/>
  <c r="AK1930"/>
  <c r="AJ1930"/>
  <c r="AI1930"/>
  <c r="AH1930"/>
  <c r="AP1930" s="1"/>
  <c r="AG1930"/>
  <c r="AO1930" s="1"/>
  <c r="AF1930"/>
  <c r="AN1930" s="1"/>
  <c r="A1928"/>
  <c r="A1933" s="1"/>
  <c r="AT1910"/>
  <c r="AS1910"/>
  <c r="AR1910"/>
  <c r="AQ1910"/>
  <c r="AL1910"/>
  <c r="AK1910"/>
  <c r="AJ1910"/>
  <c r="AI1910"/>
  <c r="AH1910"/>
  <c r="AP1910" s="1"/>
  <c r="AG1910"/>
  <c r="AO1910" s="1"/>
  <c r="AF1910"/>
  <c r="AN1910" s="1"/>
  <c r="AT1909"/>
  <c r="AS1909"/>
  <c r="AR1909"/>
  <c r="AQ1909"/>
  <c r="AL1909"/>
  <c r="AK1909"/>
  <c r="AJ1909"/>
  <c r="AI1909"/>
  <c r="AH1909"/>
  <c r="AP1909" s="1"/>
  <c r="AG1909"/>
  <c r="AO1909" s="1"/>
  <c r="AF1909"/>
  <c r="AN1909" s="1"/>
  <c r="A1907"/>
  <c r="A1912" s="1"/>
  <c r="AT1889"/>
  <c r="AS1889"/>
  <c r="AL1889"/>
  <c r="AK1889"/>
  <c r="AJ1889"/>
  <c r="AR1889" s="1"/>
  <c r="AI1889"/>
  <c r="AQ1889" s="1"/>
  <c r="AH1889"/>
  <c r="AP1889" s="1"/>
  <c r="AG1889"/>
  <c r="AO1889" s="1"/>
  <c r="AF1889"/>
  <c r="AN1889" s="1"/>
  <c r="AT1888"/>
  <c r="AS1888"/>
  <c r="AL1888"/>
  <c r="AK1888"/>
  <c r="AJ1888"/>
  <c r="AR1888" s="1"/>
  <c r="AI1888"/>
  <c r="AQ1888" s="1"/>
  <c r="AH1888"/>
  <c r="AP1888" s="1"/>
  <c r="AG1888"/>
  <c r="AO1888" s="1"/>
  <c r="AF1888"/>
  <c r="AN1888" s="1"/>
  <c r="A1886"/>
  <c r="A1891" s="1"/>
  <c r="AT1868"/>
  <c r="AS1868"/>
  <c r="AR1868"/>
  <c r="AQ1868"/>
  <c r="AL1868"/>
  <c r="AK1868"/>
  <c r="AJ1868"/>
  <c r="AI1868"/>
  <c r="AH1868"/>
  <c r="AP1868" s="1"/>
  <c r="AG1868"/>
  <c r="AO1868" s="1"/>
  <c r="AF1868"/>
  <c r="AN1868" s="1"/>
  <c r="AT1867"/>
  <c r="AS1867"/>
  <c r="AR1867"/>
  <c r="AQ1867"/>
  <c r="AL1867"/>
  <c r="AK1867"/>
  <c r="AJ1867"/>
  <c r="AI1867"/>
  <c r="AH1867"/>
  <c r="AP1867" s="1"/>
  <c r="AG1867"/>
  <c r="AO1867" s="1"/>
  <c r="AF1867"/>
  <c r="AN1867" s="1"/>
  <c r="A1865"/>
  <c r="A1870" s="1"/>
  <c r="AT1847"/>
  <c r="AS1847"/>
  <c r="AR1847"/>
  <c r="AL1847"/>
  <c r="AK1847"/>
  <c r="AJ1847"/>
  <c r="AI1847"/>
  <c r="AQ1847" s="1"/>
  <c r="AH1847"/>
  <c r="AP1847" s="1"/>
  <c r="AG1847"/>
  <c r="AO1847" s="1"/>
  <c r="AF1847"/>
  <c r="AN1847" s="1"/>
  <c r="AT1846"/>
  <c r="AS1846"/>
  <c r="AR1846"/>
  <c r="AL1846"/>
  <c r="AK1846"/>
  <c r="AJ1846"/>
  <c r="AI1846"/>
  <c r="AQ1846" s="1"/>
  <c r="AH1846"/>
  <c r="AP1846" s="1"/>
  <c r="AG1846"/>
  <c r="AO1846" s="1"/>
  <c r="AF1846"/>
  <c r="AN1846" s="1"/>
  <c r="A1844"/>
  <c r="A1849" s="1"/>
  <c r="AT1826"/>
  <c r="AS1826"/>
  <c r="AR1826"/>
  <c r="AL1826"/>
  <c r="AK1826"/>
  <c r="AJ1826"/>
  <c r="AI1826"/>
  <c r="AQ1826" s="1"/>
  <c r="AH1826"/>
  <c r="AP1826" s="1"/>
  <c r="AG1826"/>
  <c r="AO1826" s="1"/>
  <c r="AF1826"/>
  <c r="AN1826" s="1"/>
  <c r="AT1825"/>
  <c r="AS1825"/>
  <c r="AR1825"/>
  <c r="AL1825"/>
  <c r="AK1825"/>
  <c r="AJ1825"/>
  <c r="AI1825"/>
  <c r="AQ1825" s="1"/>
  <c r="AH1825"/>
  <c r="AP1825" s="1"/>
  <c r="AG1825"/>
  <c r="AO1825" s="1"/>
  <c r="AF1825"/>
  <c r="A1823"/>
  <c r="A1828" s="1"/>
  <c r="AT1805"/>
  <c r="AS1805"/>
  <c r="AL1805"/>
  <c r="AK1805"/>
  <c r="AJ1805"/>
  <c r="AR1805" s="1"/>
  <c r="AI1805"/>
  <c r="AQ1805" s="1"/>
  <c r="AH1805"/>
  <c r="AP1805" s="1"/>
  <c r="AG1805"/>
  <c r="AO1805" s="1"/>
  <c r="AF1805"/>
  <c r="AN1805" s="1"/>
  <c r="AT1804"/>
  <c r="AS1804"/>
  <c r="AL1804"/>
  <c r="AK1804"/>
  <c r="AJ1804"/>
  <c r="AR1804" s="1"/>
  <c r="AI1804"/>
  <c r="AQ1804" s="1"/>
  <c r="AH1804"/>
  <c r="AP1804" s="1"/>
  <c r="AG1804"/>
  <c r="AO1804" s="1"/>
  <c r="AF1804"/>
  <c r="AN1804" s="1"/>
  <c r="A1802"/>
  <c r="A1807" s="1"/>
  <c r="AT1784"/>
  <c r="AS1784"/>
  <c r="AR1784"/>
  <c r="AL1784"/>
  <c r="AK1784"/>
  <c r="AJ1784"/>
  <c r="AI1784"/>
  <c r="AQ1784" s="1"/>
  <c r="AH1784"/>
  <c r="AP1784" s="1"/>
  <c r="AG1784"/>
  <c r="AO1784" s="1"/>
  <c r="AF1784"/>
  <c r="AN1784" s="1"/>
  <c r="AT1783"/>
  <c r="AS1783"/>
  <c r="AR1783"/>
  <c r="AL1783"/>
  <c r="AK1783"/>
  <c r="AJ1783"/>
  <c r="AI1783"/>
  <c r="AQ1783" s="1"/>
  <c r="AH1783"/>
  <c r="AP1783" s="1"/>
  <c r="AG1783"/>
  <c r="AO1783" s="1"/>
  <c r="AF1783"/>
  <c r="A1781"/>
  <c r="A1786" s="1"/>
  <c r="AT1763"/>
  <c r="AS1763"/>
  <c r="AR1763"/>
  <c r="AL1763"/>
  <c r="AK1763"/>
  <c r="AJ1763"/>
  <c r="AI1763"/>
  <c r="AQ1763" s="1"/>
  <c r="AH1763"/>
  <c r="AP1763" s="1"/>
  <c r="AG1763"/>
  <c r="AO1763" s="1"/>
  <c r="AF1763"/>
  <c r="AN1763" s="1"/>
  <c r="AT1762"/>
  <c r="AS1762"/>
  <c r="AR1762"/>
  <c r="AL1762"/>
  <c r="AK1762"/>
  <c r="AJ1762"/>
  <c r="AI1762"/>
  <c r="AQ1762" s="1"/>
  <c r="AH1762"/>
  <c r="AP1762" s="1"/>
  <c r="AG1762"/>
  <c r="AO1762" s="1"/>
  <c r="AF1762"/>
  <c r="A1760"/>
  <c r="A1765" s="1"/>
  <c r="AT1742"/>
  <c r="AS1742"/>
  <c r="AR1742"/>
  <c r="AL1742"/>
  <c r="AK1742"/>
  <c r="AJ1742"/>
  <c r="AI1742"/>
  <c r="AQ1742" s="1"/>
  <c r="AH1742"/>
  <c r="AP1742" s="1"/>
  <c r="AG1742"/>
  <c r="AO1742" s="1"/>
  <c r="AF1742"/>
  <c r="AN1742" s="1"/>
  <c r="AT1741"/>
  <c r="AS1741"/>
  <c r="AR1741"/>
  <c r="AL1741"/>
  <c r="AK1741"/>
  <c r="AJ1741"/>
  <c r="AI1741"/>
  <c r="AQ1741" s="1"/>
  <c r="AH1741"/>
  <c r="AP1741" s="1"/>
  <c r="AG1741"/>
  <c r="AO1741" s="1"/>
  <c r="AF1741"/>
  <c r="AN1741" s="1"/>
  <c r="A1739"/>
  <c r="A1744" s="1"/>
  <c r="AT1721"/>
  <c r="AS1721"/>
  <c r="AR1721"/>
  <c r="AQ1721"/>
  <c r="AL1721"/>
  <c r="AK1721"/>
  <c r="AJ1721"/>
  <c r="AI1721"/>
  <c r="AH1721"/>
  <c r="AP1721" s="1"/>
  <c r="AG1721"/>
  <c r="AO1721" s="1"/>
  <c r="AF1721"/>
  <c r="AN1721" s="1"/>
  <c r="AT1720"/>
  <c r="AS1720"/>
  <c r="AR1720"/>
  <c r="AQ1720"/>
  <c r="AL1720"/>
  <c r="AK1720"/>
  <c r="AJ1720"/>
  <c r="AI1720"/>
  <c r="AH1720"/>
  <c r="AP1720" s="1"/>
  <c r="AG1720"/>
  <c r="AO1720" s="1"/>
  <c r="AF1720"/>
  <c r="AN1720" s="1"/>
  <c r="A1718"/>
  <c r="A1723" s="1"/>
  <c r="AT1700"/>
  <c r="AS1700"/>
  <c r="AR1700"/>
  <c r="AL1700"/>
  <c r="AK1700"/>
  <c r="AJ1700"/>
  <c r="AI1700"/>
  <c r="AQ1700" s="1"/>
  <c r="AH1700"/>
  <c r="AP1700" s="1"/>
  <c r="AG1700"/>
  <c r="AO1700" s="1"/>
  <c r="AF1700"/>
  <c r="AN1700" s="1"/>
  <c r="AT1699"/>
  <c r="AS1699"/>
  <c r="AR1699"/>
  <c r="AL1699"/>
  <c r="AK1699"/>
  <c r="AJ1699"/>
  <c r="AI1699"/>
  <c r="AQ1699" s="1"/>
  <c r="AH1699"/>
  <c r="AP1699" s="1"/>
  <c r="AG1699"/>
  <c r="AO1699" s="1"/>
  <c r="AF1699"/>
  <c r="AN1699" s="1"/>
  <c r="A1697"/>
  <c r="A1702" s="1"/>
  <c r="AT1679"/>
  <c r="AS1679"/>
  <c r="AR1679"/>
  <c r="AQ1679"/>
  <c r="AL1679"/>
  <c r="AK1679"/>
  <c r="AJ1679"/>
  <c r="AI1679"/>
  <c r="AH1679"/>
  <c r="AP1679" s="1"/>
  <c r="AG1679"/>
  <c r="AO1679" s="1"/>
  <c r="AF1679"/>
  <c r="AN1679" s="1"/>
  <c r="AT1678"/>
  <c r="AS1678"/>
  <c r="AR1678"/>
  <c r="AQ1678"/>
  <c r="AL1678"/>
  <c r="AK1678"/>
  <c r="AJ1678"/>
  <c r="AI1678"/>
  <c r="AH1678"/>
  <c r="AP1678" s="1"/>
  <c r="AG1678"/>
  <c r="AO1678" s="1"/>
  <c r="AF1678"/>
  <c r="A1676"/>
  <c r="A1681" s="1"/>
  <c r="AT1658"/>
  <c r="AS1658"/>
  <c r="AL1658"/>
  <c r="AK1658"/>
  <c r="AJ1658"/>
  <c r="AR1658" s="1"/>
  <c r="AI1658"/>
  <c r="AQ1658" s="1"/>
  <c r="AH1658"/>
  <c r="AP1658" s="1"/>
  <c r="AG1658"/>
  <c r="AO1658" s="1"/>
  <c r="AF1658"/>
  <c r="AN1658" s="1"/>
  <c r="AT1657"/>
  <c r="AS1657"/>
  <c r="AL1657"/>
  <c r="AK1657"/>
  <c r="AJ1657"/>
  <c r="AR1657" s="1"/>
  <c r="AI1657"/>
  <c r="AQ1657" s="1"/>
  <c r="AH1657"/>
  <c r="AP1657" s="1"/>
  <c r="AG1657"/>
  <c r="AO1657" s="1"/>
  <c r="AF1657"/>
  <c r="A1655"/>
  <c r="A1660" s="1"/>
  <c r="AT1637"/>
  <c r="AS1637"/>
  <c r="AR1637"/>
  <c r="AL1637"/>
  <c r="AK1637"/>
  <c r="AJ1637"/>
  <c r="AI1637"/>
  <c r="AQ1637" s="1"/>
  <c r="AH1637"/>
  <c r="AP1637" s="1"/>
  <c r="AG1637"/>
  <c r="AO1637" s="1"/>
  <c r="AF1637"/>
  <c r="AN1637" s="1"/>
  <c r="AT1636"/>
  <c r="AS1636"/>
  <c r="AR1636"/>
  <c r="AL1636"/>
  <c r="AK1636"/>
  <c r="AJ1636"/>
  <c r="AI1636"/>
  <c r="AQ1636" s="1"/>
  <c r="AH1636"/>
  <c r="AP1636" s="1"/>
  <c r="AG1636"/>
  <c r="AO1636" s="1"/>
  <c r="AF1636"/>
  <c r="AN1636" s="1"/>
  <c r="A1634"/>
  <c r="A1639" s="1"/>
  <c r="AT1616"/>
  <c r="AS1616"/>
  <c r="AR1616"/>
  <c r="AQ1616"/>
  <c r="AL1616"/>
  <c r="AK1616"/>
  <c r="AJ1616"/>
  <c r="AI1616"/>
  <c r="AH1616"/>
  <c r="AP1616" s="1"/>
  <c r="AG1616"/>
  <c r="AO1616" s="1"/>
  <c r="AF1616"/>
  <c r="AN1616" s="1"/>
  <c r="AT1615"/>
  <c r="AS1615"/>
  <c r="AR1615"/>
  <c r="AQ1615"/>
  <c r="AL1615"/>
  <c r="AK1615"/>
  <c r="AJ1615"/>
  <c r="AI1615"/>
  <c r="AH1615"/>
  <c r="AP1615" s="1"/>
  <c r="AG1615"/>
  <c r="AO1615" s="1"/>
  <c r="AF1615"/>
  <c r="AN1615" s="1"/>
  <c r="A1613"/>
  <c r="A1618" s="1"/>
  <c r="AT1595"/>
  <c r="AS1595"/>
  <c r="AR1595"/>
  <c r="AQ1595"/>
  <c r="AL1595"/>
  <c r="AK1595"/>
  <c r="AJ1595"/>
  <c r="AI1595"/>
  <c r="AH1595"/>
  <c r="AP1595" s="1"/>
  <c r="AG1595"/>
  <c r="AO1595" s="1"/>
  <c r="AF1595"/>
  <c r="AN1595" s="1"/>
  <c r="AT1594"/>
  <c r="AS1594"/>
  <c r="AR1594"/>
  <c r="AQ1594"/>
  <c r="AL1594"/>
  <c r="AK1594"/>
  <c r="AJ1594"/>
  <c r="AI1594"/>
  <c r="AH1594"/>
  <c r="AP1594" s="1"/>
  <c r="AG1594"/>
  <c r="AO1594" s="1"/>
  <c r="AF1594"/>
  <c r="AN1594" s="1"/>
  <c r="A1592"/>
  <c r="A1597" s="1"/>
  <c r="AT1574"/>
  <c r="AS1574"/>
  <c r="AL1574"/>
  <c r="AK1574"/>
  <c r="AJ1574"/>
  <c r="AR1574" s="1"/>
  <c r="AI1574"/>
  <c r="AQ1574" s="1"/>
  <c r="AH1574"/>
  <c r="AP1574" s="1"/>
  <c r="AG1574"/>
  <c r="AO1574" s="1"/>
  <c r="AF1574"/>
  <c r="AN1574" s="1"/>
  <c r="AT1573"/>
  <c r="AS1573"/>
  <c r="AL1573"/>
  <c r="AK1573"/>
  <c r="AJ1573"/>
  <c r="AR1573" s="1"/>
  <c r="AI1573"/>
  <c r="AQ1573" s="1"/>
  <c r="AH1573"/>
  <c r="AP1573" s="1"/>
  <c r="AG1573"/>
  <c r="AO1573" s="1"/>
  <c r="AF1573"/>
  <c r="AN1573" s="1"/>
  <c r="A1571"/>
  <c r="A1576" s="1"/>
  <c r="AT1553"/>
  <c r="AS1553"/>
  <c r="AR1553"/>
  <c r="AL1553"/>
  <c r="AK1553"/>
  <c r="AJ1553"/>
  <c r="AI1553"/>
  <c r="AQ1553" s="1"/>
  <c r="AH1553"/>
  <c r="AP1553" s="1"/>
  <c r="AG1553"/>
  <c r="AO1553" s="1"/>
  <c r="AF1553"/>
  <c r="AN1553" s="1"/>
  <c r="AT1552"/>
  <c r="AS1552"/>
  <c r="AR1552"/>
  <c r="AL1552"/>
  <c r="AK1552"/>
  <c r="AJ1552"/>
  <c r="AI1552"/>
  <c r="AQ1552" s="1"/>
  <c r="AH1552"/>
  <c r="AP1552" s="1"/>
  <c r="AG1552"/>
  <c r="AO1552" s="1"/>
  <c r="AF1552"/>
  <c r="AN1552" s="1"/>
  <c r="A1550"/>
  <c r="A1555" s="1"/>
  <c r="AT1532"/>
  <c r="AS1532"/>
  <c r="AR1532"/>
  <c r="AQ1532"/>
  <c r="AL1532"/>
  <c r="AK1532"/>
  <c r="AJ1532"/>
  <c r="AI1532"/>
  <c r="AH1532"/>
  <c r="AP1532" s="1"/>
  <c r="AG1532"/>
  <c r="AO1532" s="1"/>
  <c r="AF1532"/>
  <c r="AN1532" s="1"/>
  <c r="AT1531"/>
  <c r="AS1531"/>
  <c r="AR1531"/>
  <c r="AQ1531"/>
  <c r="AL1531"/>
  <c r="AK1531"/>
  <c r="AJ1531"/>
  <c r="AI1531"/>
  <c r="AH1531"/>
  <c r="AP1531" s="1"/>
  <c r="AG1531"/>
  <c r="AO1531" s="1"/>
  <c r="AF1531"/>
  <c r="AN1531" s="1"/>
  <c r="A1529"/>
  <c r="A1534" s="1"/>
  <c r="AT1511"/>
  <c r="AS1511"/>
  <c r="AR1511"/>
  <c r="AL1511"/>
  <c r="AK1511"/>
  <c r="AJ1511"/>
  <c r="AI1511"/>
  <c r="AQ1511" s="1"/>
  <c r="AH1511"/>
  <c r="AP1511" s="1"/>
  <c r="AG1511"/>
  <c r="AO1511" s="1"/>
  <c r="AF1511"/>
  <c r="AN1511" s="1"/>
  <c r="AT1510"/>
  <c r="AS1510"/>
  <c r="AL1510"/>
  <c r="AK1510"/>
  <c r="AJ1510"/>
  <c r="AR1510" s="1"/>
  <c r="AI1510"/>
  <c r="AQ1510" s="1"/>
  <c r="AH1510"/>
  <c r="AP1510" s="1"/>
  <c r="AG1510"/>
  <c r="AO1510" s="1"/>
  <c r="AF1510"/>
  <c r="AN1510" s="1"/>
  <c r="A1508"/>
  <c r="A1513" s="1"/>
  <c r="AT1490"/>
  <c r="AS1490"/>
  <c r="AR1490"/>
  <c r="AL1490"/>
  <c r="AK1490"/>
  <c r="AJ1490"/>
  <c r="AI1490"/>
  <c r="AQ1490" s="1"/>
  <c r="AH1490"/>
  <c r="AP1490" s="1"/>
  <c r="AG1490"/>
  <c r="AO1490" s="1"/>
  <c r="AF1490"/>
  <c r="AN1490" s="1"/>
  <c r="AT1489"/>
  <c r="AS1489"/>
  <c r="AR1489"/>
  <c r="AL1489"/>
  <c r="AK1489"/>
  <c r="AJ1489"/>
  <c r="AI1489"/>
  <c r="AQ1489" s="1"/>
  <c r="AH1489"/>
  <c r="AP1489" s="1"/>
  <c r="AG1489"/>
  <c r="AO1489" s="1"/>
  <c r="AF1489"/>
  <c r="AN1489" s="1"/>
  <c r="A1487"/>
  <c r="A1492" s="1"/>
  <c r="AT1469"/>
  <c r="AS1469"/>
  <c r="AR1469"/>
  <c r="AQ1469"/>
  <c r="AL1469"/>
  <c r="AK1469"/>
  <c r="AJ1469"/>
  <c r="AI1469"/>
  <c r="AH1469"/>
  <c r="AP1469" s="1"/>
  <c r="AG1469"/>
  <c r="AO1469" s="1"/>
  <c r="AF1469"/>
  <c r="AN1469" s="1"/>
  <c r="AT1468"/>
  <c r="AS1468"/>
  <c r="AR1468"/>
  <c r="AQ1468"/>
  <c r="AL1468"/>
  <c r="AK1468"/>
  <c r="AJ1468"/>
  <c r="AI1468"/>
  <c r="AH1468"/>
  <c r="AP1468" s="1"/>
  <c r="AG1468"/>
  <c r="AO1468" s="1"/>
  <c r="AF1468"/>
  <c r="A1466"/>
  <c r="A1471" s="1"/>
  <c r="A159" i="6"/>
  <c r="B159"/>
  <c r="A151"/>
  <c r="B151"/>
  <c r="A152"/>
  <c r="B152"/>
  <c r="A153"/>
  <c r="B153"/>
  <c r="A154"/>
  <c r="B154"/>
  <c r="A155"/>
  <c r="B155"/>
  <c r="A156"/>
  <c r="B156"/>
  <c r="A157"/>
  <c r="B157"/>
  <c r="A158"/>
  <c r="B158"/>
  <c r="A127"/>
  <c r="B127"/>
  <c r="A128"/>
  <c r="B128"/>
  <c r="A129"/>
  <c r="B129"/>
  <c r="A130"/>
  <c r="B130"/>
  <c r="A131"/>
  <c r="B131"/>
  <c r="A132"/>
  <c r="B132"/>
  <c r="A133"/>
  <c r="B133"/>
  <c r="A134"/>
  <c r="B134"/>
  <c r="A135"/>
  <c r="B135"/>
  <c r="A136"/>
  <c r="B136"/>
  <c r="A137"/>
  <c r="B137"/>
  <c r="A138"/>
  <c r="B138"/>
  <c r="A139"/>
  <c r="B139"/>
  <c r="A140"/>
  <c r="B140"/>
  <c r="A141"/>
  <c r="B141"/>
  <c r="A142"/>
  <c r="B142"/>
  <c r="A143"/>
  <c r="B143"/>
  <c r="A144"/>
  <c r="B144"/>
  <c r="A145"/>
  <c r="B145"/>
  <c r="A146"/>
  <c r="B146"/>
  <c r="A147"/>
  <c r="B147"/>
  <c r="A148"/>
  <c r="B148"/>
  <c r="A149"/>
  <c r="B149"/>
  <c r="A150"/>
  <c r="B150"/>
  <c r="A109"/>
  <c r="B109"/>
  <c r="A110"/>
  <c r="B110"/>
  <c r="A111"/>
  <c r="B111"/>
  <c r="A112"/>
  <c r="B112"/>
  <c r="A113"/>
  <c r="B113"/>
  <c r="A114"/>
  <c r="B114"/>
  <c r="A115"/>
  <c r="B115"/>
  <c r="A116"/>
  <c r="B116"/>
  <c r="A117"/>
  <c r="B117"/>
  <c r="A118"/>
  <c r="B118"/>
  <c r="A119"/>
  <c r="B119"/>
  <c r="A120"/>
  <c r="B120"/>
  <c r="A121"/>
  <c r="B121"/>
  <c r="A122"/>
  <c r="B122"/>
  <c r="A123"/>
  <c r="B123"/>
  <c r="A124"/>
  <c r="B124"/>
  <c r="A125"/>
  <c r="B125"/>
  <c r="A126"/>
  <c r="B126"/>
  <c r="A108"/>
  <c r="B108"/>
  <c r="A107"/>
  <c r="B107"/>
  <c r="A106"/>
  <c r="B106"/>
  <c r="A105"/>
  <c r="B105"/>
  <c r="A104"/>
  <c r="B104"/>
  <c r="A103"/>
  <c r="B103"/>
  <c r="O35" i="17"/>
  <c r="A158" i="12" s="1"/>
  <c r="O67" i="17"/>
  <c r="A51"/>
  <c r="O51" s="1"/>
  <c r="A174" i="12" s="1"/>
  <c r="A19" i="17"/>
  <c r="O19" s="1"/>
  <c r="A142" i="12" s="1"/>
  <c r="A59" i="17"/>
  <c r="O59" s="1"/>
  <c r="A182" i="12" s="1"/>
  <c r="A27" i="17"/>
  <c r="O27" s="1"/>
  <c r="A150" i="12" s="1"/>
  <c r="A43" i="17"/>
  <c r="O43" s="1"/>
  <c r="A166" i="12" s="1"/>
  <c r="A11" i="17"/>
  <c r="O11" s="1"/>
  <c r="A134" i="12" s="1"/>
  <c r="A63" i="17"/>
  <c r="O63" s="1"/>
  <c r="A186" i="12" s="1"/>
  <c r="A47" i="17"/>
  <c r="O47" s="1"/>
  <c r="A170" i="12" s="1"/>
  <c r="A31" i="17"/>
  <c r="O31" s="1"/>
  <c r="A154" i="12" s="1"/>
  <c r="A15" i="17"/>
  <c r="O15" s="1"/>
  <c r="A138" i="12" s="1"/>
  <c r="A55" i="17"/>
  <c r="O55" s="1"/>
  <c r="A178" i="12" s="1"/>
  <c r="A39" i="17"/>
  <c r="O39" s="1"/>
  <c r="A162" i="12" s="1"/>
  <c r="A23" i="17"/>
  <c r="O23" s="1"/>
  <c r="A146" i="12" s="1"/>
  <c r="A7" i="17"/>
  <c r="O7" s="1"/>
  <c r="A130" i="12" s="1"/>
  <c r="A65" i="17"/>
  <c r="O65" s="1"/>
  <c r="A188" i="12" s="1"/>
  <c r="A57" i="17"/>
  <c r="O57" s="1"/>
  <c r="A180" i="12" s="1"/>
  <c r="A49" i="17"/>
  <c r="O49" s="1"/>
  <c r="A172" i="12" s="1"/>
  <c r="A41" i="17"/>
  <c r="O41" s="1"/>
  <c r="A164" i="12" s="1"/>
  <c r="A33" i="17"/>
  <c r="O33" s="1"/>
  <c r="A156" i="12" s="1"/>
  <c r="A25" i="17"/>
  <c r="O25" s="1"/>
  <c r="A148" i="12" s="1"/>
  <c r="A17" i="17"/>
  <c r="O17" s="1"/>
  <c r="A140" i="12" s="1"/>
  <c r="A61" i="17"/>
  <c r="O61" s="1"/>
  <c r="A184" i="12" s="1"/>
  <c r="A53" i="17"/>
  <c r="O53" s="1"/>
  <c r="A176" i="12" s="1"/>
  <c r="A45" i="17"/>
  <c r="O45" s="1"/>
  <c r="A168" i="12" s="1"/>
  <c r="A37" i="17"/>
  <c r="O37" s="1"/>
  <c r="A160" i="12" s="1"/>
  <c r="A29" i="17"/>
  <c r="O29" s="1"/>
  <c r="A152" i="12" s="1"/>
  <c r="A21" i="17"/>
  <c r="O21" s="1"/>
  <c r="A144" i="12" s="1"/>
  <c r="A13" i="17"/>
  <c r="O13" s="1"/>
  <c r="A136" i="12" s="1"/>
  <c r="A9" i="17"/>
  <c r="O9" s="1"/>
  <c r="A132" i="12" s="1"/>
  <c r="A5" i="17"/>
  <c r="O5" s="1"/>
  <c r="A128" i="12" s="1"/>
  <c r="A66" i="17"/>
  <c r="O66" s="1"/>
  <c r="A189" i="12" s="1"/>
  <c r="A64" i="17"/>
  <c r="O64" s="1"/>
  <c r="A187" i="12" s="1"/>
  <c r="A62" i="17"/>
  <c r="O62" s="1"/>
  <c r="A185" i="12" s="1"/>
  <c r="A60" i="17"/>
  <c r="O60" s="1"/>
  <c r="A183" i="12" s="1"/>
  <c r="A58" i="17"/>
  <c r="O58" s="1"/>
  <c r="A181" i="12" s="1"/>
  <c r="A56" i="17"/>
  <c r="O56" s="1"/>
  <c r="A179" i="12" s="1"/>
  <c r="A54" i="17"/>
  <c r="O54" s="1"/>
  <c r="A177" i="12" s="1"/>
  <c r="A52" i="17"/>
  <c r="O52" s="1"/>
  <c r="A175" i="12" s="1"/>
  <c r="A50" i="17"/>
  <c r="O50" s="1"/>
  <c r="A173" i="12" s="1"/>
  <c r="A48" i="17"/>
  <c r="O48" s="1"/>
  <c r="A171" i="12" s="1"/>
  <c r="A46" i="17"/>
  <c r="O46" s="1"/>
  <c r="A169" i="12" s="1"/>
  <c r="A44" i="17"/>
  <c r="O44" s="1"/>
  <c r="A167" i="12" s="1"/>
  <c r="A42" i="17"/>
  <c r="O42" s="1"/>
  <c r="A165" i="12" s="1"/>
  <c r="A40" i="17"/>
  <c r="O40" s="1"/>
  <c r="A163" i="12" s="1"/>
  <c r="A38" i="17"/>
  <c r="O38" s="1"/>
  <c r="A161" i="12" s="1"/>
  <c r="A36" i="17"/>
  <c r="O36" s="1"/>
  <c r="A159" i="12" s="1"/>
  <c r="A34" i="17"/>
  <c r="O34" s="1"/>
  <c r="A157" i="12" s="1"/>
  <c r="A32" i="17"/>
  <c r="O32" s="1"/>
  <c r="A155" i="12" s="1"/>
  <c r="A30" i="17"/>
  <c r="O30" s="1"/>
  <c r="A153" i="12" s="1"/>
  <c r="A28" i="17"/>
  <c r="O28" s="1"/>
  <c r="A151" i="12" s="1"/>
  <c r="A26" i="17"/>
  <c r="O26" s="1"/>
  <c r="A149" i="12" s="1"/>
  <c r="A24" i="17"/>
  <c r="O24" s="1"/>
  <c r="A147" i="12" s="1"/>
  <c r="A22" i="17"/>
  <c r="O22" s="1"/>
  <c r="A145" i="12" s="1"/>
  <c r="A20" i="17"/>
  <c r="O20" s="1"/>
  <c r="A143" i="12" s="1"/>
  <c r="A18" i="17"/>
  <c r="O18" s="1"/>
  <c r="A141" i="12" s="1"/>
  <c r="A16" i="17"/>
  <c r="O16" s="1"/>
  <c r="A139" i="12" s="1"/>
  <c r="A14" i="17"/>
  <c r="O14" s="1"/>
  <c r="A137" i="12" s="1"/>
  <c r="A12" i="17"/>
  <c r="O12" s="1"/>
  <c r="A135" i="12" s="1"/>
  <c r="A10" i="17"/>
  <c r="O10" s="1"/>
  <c r="A133" i="12" s="1"/>
  <c r="A8" i="17"/>
  <c r="O8" s="1"/>
  <c r="A131" i="12" s="1"/>
  <c r="A6" i="17"/>
  <c r="O6" s="1"/>
  <c r="A129" i="12" s="1"/>
  <c r="A4" i="17"/>
  <c r="O4" s="1"/>
  <c r="A127" i="12" s="1"/>
  <c r="CB6" i="17"/>
  <c r="CB7" s="1"/>
  <c r="CB8" s="1"/>
  <c r="CB9" s="1"/>
  <c r="CB10" s="1"/>
  <c r="CB11" s="1"/>
  <c r="CB12" s="1"/>
  <c r="CB13" s="1"/>
  <c r="CB14" s="1"/>
  <c r="CB15" s="1"/>
  <c r="CB16" s="1"/>
  <c r="CB17" s="1"/>
  <c r="CB18" s="1"/>
  <c r="CB19" s="1"/>
  <c r="CB20" s="1"/>
  <c r="CB21" s="1"/>
  <c r="CB22" s="1"/>
  <c r="CB23" s="1"/>
  <c r="CB24" s="1"/>
  <c r="CB25" s="1"/>
  <c r="CB26" s="1"/>
  <c r="CB27" s="1"/>
  <c r="CB28" s="1"/>
  <c r="CB29" s="1"/>
  <c r="CB30" s="1"/>
  <c r="CB31" s="1"/>
  <c r="CB32" s="1"/>
  <c r="CB33" s="1"/>
  <c r="CB34" s="1"/>
  <c r="CB35" s="1"/>
  <c r="CB36" s="1"/>
  <c r="CD4"/>
  <c r="V3013" i="5" l="1"/>
  <c r="V2017"/>
  <c r="V1783"/>
  <c r="V1657"/>
  <c r="V1678"/>
  <c r="V1468"/>
  <c r="G8" i="2"/>
  <c r="I8"/>
  <c r="J8"/>
  <c r="F8"/>
  <c r="H8"/>
  <c r="F14"/>
  <c r="H14"/>
  <c r="J14"/>
  <c r="G15"/>
  <c r="I15"/>
  <c r="F16"/>
  <c r="H16"/>
  <c r="J16"/>
  <c r="G17"/>
  <c r="I17"/>
  <c r="F18"/>
  <c r="H18"/>
  <c r="J18"/>
  <c r="G19"/>
  <c r="I19"/>
  <c r="F20"/>
  <c r="H20"/>
  <c r="J20"/>
  <c r="G21"/>
  <c r="I21"/>
  <c r="F22"/>
  <c r="H22"/>
  <c r="J22"/>
  <c r="G23"/>
  <c r="I23"/>
  <c r="F24"/>
  <c r="H24"/>
  <c r="J24"/>
  <c r="G25"/>
  <c r="I25"/>
  <c r="F26"/>
  <c r="H26"/>
  <c r="J26"/>
  <c r="G27"/>
  <c r="I27"/>
  <c r="F28"/>
  <c r="H28"/>
  <c r="J28"/>
  <c r="G29"/>
  <c r="I29"/>
  <c r="F30"/>
  <c r="H30"/>
  <c r="J30"/>
  <c r="G31"/>
  <c r="I31"/>
  <c r="F32"/>
  <c r="H32"/>
  <c r="J32"/>
  <c r="G33"/>
  <c r="I33"/>
  <c r="F34"/>
  <c r="H34"/>
  <c r="J34"/>
  <c r="G35"/>
  <c r="I35"/>
  <c r="F36"/>
  <c r="H36"/>
  <c r="J36"/>
  <c r="G37"/>
  <c r="I37"/>
  <c r="F38"/>
  <c r="H38"/>
  <c r="J38"/>
  <c r="G39"/>
  <c r="I39"/>
  <c r="G14"/>
  <c r="I14"/>
  <c r="F15"/>
  <c r="H15"/>
  <c r="J15"/>
  <c r="G16"/>
  <c r="I16"/>
  <c r="F17"/>
  <c r="H17"/>
  <c r="J17"/>
  <c r="G18"/>
  <c r="I18"/>
  <c r="F19"/>
  <c r="H19"/>
  <c r="J19"/>
  <c r="G20"/>
  <c r="I20"/>
  <c r="F21"/>
  <c r="H21"/>
  <c r="J21"/>
  <c r="G22"/>
  <c r="I22"/>
  <c r="F23"/>
  <c r="H23"/>
  <c r="J23"/>
  <c r="G24"/>
  <c r="I24"/>
  <c r="F25"/>
  <c r="H25"/>
  <c r="J25"/>
  <c r="G26"/>
  <c r="I26"/>
  <c r="F27"/>
  <c r="H27"/>
  <c r="J27"/>
  <c r="G28"/>
  <c r="I28"/>
  <c r="F29"/>
  <c r="H29"/>
  <c r="J29"/>
  <c r="G30"/>
  <c r="I30"/>
  <c r="F31"/>
  <c r="H31"/>
  <c r="J31"/>
  <c r="G32"/>
  <c r="I32"/>
  <c r="F33"/>
  <c r="H33"/>
  <c r="J33"/>
  <c r="G34"/>
  <c r="I34"/>
  <c r="F35"/>
  <c r="H35"/>
  <c r="J35"/>
  <c r="G36"/>
  <c r="I36"/>
  <c r="F37"/>
  <c r="H37"/>
  <c r="J37"/>
  <c r="G38"/>
  <c r="I38"/>
  <c r="F39"/>
  <c r="H39"/>
  <c r="J39"/>
  <c r="F12"/>
  <c r="F9"/>
  <c r="F11"/>
  <c r="F13"/>
  <c r="F10"/>
  <c r="G9"/>
  <c r="I10"/>
  <c r="I12"/>
  <c r="I9"/>
  <c r="I11"/>
  <c r="I13"/>
  <c r="V2498" i="5"/>
  <c r="V2075"/>
  <c r="V1825"/>
  <c r="V1762"/>
  <c r="V1699"/>
  <c r="CE4" i="17"/>
  <c r="CF4" s="1"/>
  <c r="CG4" s="1"/>
  <c r="CH4" s="1"/>
  <c r="CI4" s="1"/>
  <c r="CJ4" s="1"/>
  <c r="CK4" s="1"/>
  <c r="CL4" s="1"/>
  <c r="CM4" s="1"/>
  <c r="CN4" s="1"/>
  <c r="CO4" s="1"/>
  <c r="CP4" s="1"/>
  <c r="CQ4" s="1"/>
  <c r="CR4" s="1"/>
  <c r="V2830" i="5"/>
  <c r="V2952"/>
  <c r="V2746"/>
  <c r="AN2014"/>
  <c r="V1846"/>
  <c r="AN1825"/>
  <c r="V1804"/>
  <c r="AN1783"/>
  <c r="AN1762"/>
  <c r="V1741"/>
  <c r="V1720"/>
  <c r="V3034"/>
  <c r="AN2830"/>
  <c r="V1510"/>
  <c r="V1489"/>
  <c r="AN1468"/>
  <c r="V2871"/>
  <c r="V2415"/>
  <c r="V2295"/>
  <c r="V2215"/>
  <c r="AN3013"/>
  <c r="V2578"/>
  <c r="AN1678"/>
  <c r="AN1657"/>
  <c r="V1636"/>
  <c r="V1615"/>
  <c r="V1594"/>
  <c r="V1573"/>
  <c r="V2993"/>
  <c r="V2911"/>
  <c r="V2455"/>
  <c r="V2175"/>
  <c r="V2155"/>
  <c r="V2135"/>
  <c r="V2115"/>
  <c r="V2095"/>
  <c r="V2055"/>
  <c r="V2038"/>
  <c r="A2035"/>
  <c r="Y2033" s="1"/>
  <c r="V1870"/>
  <c r="V1891"/>
  <c r="V1912"/>
  <c r="V1933"/>
  <c r="V1954"/>
  <c r="V1975"/>
  <c r="V1996"/>
  <c r="V2258"/>
  <c r="V2338"/>
  <c r="V2378"/>
  <c r="V2662"/>
  <c r="J13" i="2"/>
  <c r="H13"/>
  <c r="G12"/>
  <c r="J11"/>
  <c r="H11"/>
  <c r="G10"/>
  <c r="J9"/>
  <c r="H9"/>
  <c r="G13"/>
  <c r="J12"/>
  <c r="H12"/>
  <c r="G11"/>
  <c r="J10"/>
  <c r="H10"/>
  <c r="V2515" i="5"/>
  <c r="V1552"/>
  <c r="V1531"/>
  <c r="V1471"/>
  <c r="V1492"/>
  <c r="V1513"/>
  <c r="V1534"/>
  <c r="V1555"/>
  <c r="V1576"/>
  <c r="V1597"/>
  <c r="V1618"/>
  <c r="V1639"/>
  <c r="V1660"/>
  <c r="V1681"/>
  <c r="V1702"/>
  <c r="AV1697" s="1"/>
  <c r="V1723"/>
  <c r="V1744"/>
  <c r="V1765"/>
  <c r="V1786"/>
  <c r="V1807"/>
  <c r="V1828"/>
  <c r="AV1823" s="1"/>
  <c r="V1849"/>
  <c r="V1867"/>
  <c r="V1888"/>
  <c r="V1909"/>
  <c r="V1930"/>
  <c r="V1951"/>
  <c r="V1972"/>
  <c r="V1993"/>
  <c r="V2014"/>
  <c r="V2035"/>
  <c r="V2058"/>
  <c r="V2078"/>
  <c r="V2098"/>
  <c r="V2118"/>
  <c r="V2138"/>
  <c r="V2158"/>
  <c r="V2178"/>
  <c r="V2218"/>
  <c r="V2255"/>
  <c r="V2298"/>
  <c r="V2335"/>
  <c r="V2375"/>
  <c r="V2418"/>
  <c r="V2458"/>
  <c r="V2495"/>
  <c r="AV2494" s="1"/>
  <c r="V2536"/>
  <c r="V2557"/>
  <c r="V2581"/>
  <c r="V2599"/>
  <c r="V2620"/>
  <c r="V2641"/>
  <c r="V2665"/>
  <c r="V2683"/>
  <c r="V2704"/>
  <c r="V2725"/>
  <c r="V2749"/>
  <c r="AV2744" s="1"/>
  <c r="V2767"/>
  <c r="V2788"/>
  <c r="V2809"/>
  <c r="V2833"/>
  <c r="V2874"/>
  <c r="V2894"/>
  <c r="V2914"/>
  <c r="V2931"/>
  <c r="V2955"/>
  <c r="V2996"/>
  <c r="V3016"/>
  <c r="V3037"/>
  <c r="V3058"/>
  <c r="V3055"/>
  <c r="AN3055"/>
  <c r="A3055"/>
  <c r="Y3053" s="1"/>
  <c r="A3034"/>
  <c r="Y3032" s="1"/>
  <c r="A3013"/>
  <c r="Y3011" s="1"/>
  <c r="A2973"/>
  <c r="Y2971" s="1"/>
  <c r="V2976"/>
  <c r="A2996"/>
  <c r="V2973"/>
  <c r="A2993"/>
  <c r="Y2991" s="1"/>
  <c r="AN2993"/>
  <c r="A2931"/>
  <c r="Y2929" s="1"/>
  <c r="V2934"/>
  <c r="A2952"/>
  <c r="Y2950" s="1"/>
  <c r="A2891"/>
  <c r="Y2889" s="1"/>
  <c r="A2914"/>
  <c r="V2891"/>
  <c r="A2911"/>
  <c r="Y2909" s="1"/>
  <c r="AN2911"/>
  <c r="A2851"/>
  <c r="Y2849" s="1"/>
  <c r="V2854"/>
  <c r="A2874"/>
  <c r="V2851"/>
  <c r="A2871"/>
  <c r="Y2869" s="1"/>
  <c r="AN2871"/>
  <c r="A2809"/>
  <c r="Y2807" s="1"/>
  <c r="A2788"/>
  <c r="Y2786" s="1"/>
  <c r="A2767"/>
  <c r="Y2765" s="1"/>
  <c r="V2770"/>
  <c r="V2791"/>
  <c r="V2812"/>
  <c r="A2830"/>
  <c r="Y2828" s="1"/>
  <c r="A2725"/>
  <c r="Y2723" s="1"/>
  <c r="A2704"/>
  <c r="Y2702" s="1"/>
  <c r="A2683"/>
  <c r="Y2681" s="1"/>
  <c r="V2707"/>
  <c r="V2728"/>
  <c r="A2746"/>
  <c r="Y2744" s="1"/>
  <c r="V2686"/>
  <c r="A2641"/>
  <c r="Y2639" s="1"/>
  <c r="A2620"/>
  <c r="Y2618" s="1"/>
  <c r="A2599"/>
  <c r="Y2597" s="1"/>
  <c r="V2602"/>
  <c r="V2623"/>
  <c r="V2644"/>
  <c r="A2662"/>
  <c r="Y2660" s="1"/>
  <c r="A2557"/>
  <c r="Y2555" s="1"/>
  <c r="A2536"/>
  <c r="Y2534" s="1"/>
  <c r="A2515"/>
  <c r="Y2513" s="1"/>
  <c r="V2539"/>
  <c r="V2560"/>
  <c r="A2578"/>
  <c r="Y2576" s="1"/>
  <c r="V2518"/>
  <c r="A2475"/>
  <c r="Y2473" s="1"/>
  <c r="A2435"/>
  <c r="Y2433" s="1"/>
  <c r="V2438"/>
  <c r="A2458"/>
  <c r="V2478"/>
  <c r="A2498"/>
  <c r="V2435"/>
  <c r="A2455"/>
  <c r="Y2453" s="1"/>
  <c r="AN2455"/>
  <c r="V2475"/>
  <c r="A2495"/>
  <c r="Y2493" s="1"/>
  <c r="AN2495"/>
  <c r="A2395"/>
  <c r="Y2393" s="1"/>
  <c r="A2355"/>
  <c r="Y2353" s="1"/>
  <c r="V2358"/>
  <c r="A2378"/>
  <c r="V2398"/>
  <c r="A2418"/>
  <c r="V2355"/>
  <c r="A2375"/>
  <c r="Y2373" s="1"/>
  <c r="AN2375"/>
  <c r="V2395"/>
  <c r="A2415"/>
  <c r="Y2413" s="1"/>
  <c r="AN2415"/>
  <c r="A2315"/>
  <c r="Y2313" s="1"/>
  <c r="A2275"/>
  <c r="Y2273" s="1"/>
  <c r="A2235"/>
  <c r="Y2233" s="1"/>
  <c r="A2195"/>
  <c r="Y2193" s="1"/>
  <c r="V2198"/>
  <c r="A2218"/>
  <c r="V2238"/>
  <c r="A2258"/>
  <c r="V2278"/>
  <c r="A2298"/>
  <c r="V2318"/>
  <c r="A2338"/>
  <c r="V2195"/>
  <c r="A2215"/>
  <c r="Y2213" s="1"/>
  <c r="AN2215"/>
  <c r="V2235"/>
  <c r="A2255"/>
  <c r="Y2253" s="1"/>
  <c r="AN2255"/>
  <c r="V2275"/>
  <c r="A2295"/>
  <c r="Y2293" s="1"/>
  <c r="AN2295"/>
  <c r="V2315"/>
  <c r="A2335"/>
  <c r="Y2333" s="1"/>
  <c r="AN2335"/>
  <c r="A2178"/>
  <c r="A2175"/>
  <c r="Y2173" s="1"/>
  <c r="AN2175"/>
  <c r="A2158"/>
  <c r="A2155"/>
  <c r="Y2153" s="1"/>
  <c r="AN2155"/>
  <c r="A2138"/>
  <c r="A2135"/>
  <c r="Y2133" s="1"/>
  <c r="AN2135"/>
  <c r="A2118"/>
  <c r="A2115"/>
  <c r="Y2113" s="1"/>
  <c r="AN2115"/>
  <c r="A2098"/>
  <c r="A2095"/>
  <c r="Y2093" s="1"/>
  <c r="AN2095"/>
  <c r="A2078"/>
  <c r="A2075"/>
  <c r="Y2073" s="1"/>
  <c r="AN2075"/>
  <c r="A2058"/>
  <c r="A2055"/>
  <c r="Y2053" s="1"/>
  <c r="AN2055"/>
  <c r="AN2035"/>
  <c r="A2014"/>
  <c r="Y2012" s="1"/>
  <c r="A1993"/>
  <c r="Y1991" s="1"/>
  <c r="A1972"/>
  <c r="Y1970" s="1"/>
  <c r="A1951"/>
  <c r="Y1949" s="1"/>
  <c r="A1930"/>
  <c r="Y1928" s="1"/>
  <c r="A1909"/>
  <c r="Y1907" s="1"/>
  <c r="A1888"/>
  <c r="Y1886" s="1"/>
  <c r="A1867"/>
  <c r="Y1865" s="1"/>
  <c r="A1846"/>
  <c r="Y1844" s="1"/>
  <c r="A1825"/>
  <c r="Y1823" s="1"/>
  <c r="A1804"/>
  <c r="Y1802" s="1"/>
  <c r="A1783"/>
  <c r="Y1781" s="1"/>
  <c r="A1762"/>
  <c r="Y1760" s="1"/>
  <c r="A1741"/>
  <c r="Y1739" s="1"/>
  <c r="A1720"/>
  <c r="Y1718" s="1"/>
  <c r="A1699"/>
  <c r="Y1697" s="1"/>
  <c r="A1678"/>
  <c r="Y1676" s="1"/>
  <c r="A1657"/>
  <c r="Y1655" s="1"/>
  <c r="A1636"/>
  <c r="Y1634" s="1"/>
  <c r="A1615"/>
  <c r="Y1613" s="1"/>
  <c r="A1594"/>
  <c r="Y1592" s="1"/>
  <c r="A1573"/>
  <c r="Y1571" s="1"/>
  <c r="A1552"/>
  <c r="Y1550" s="1"/>
  <c r="A1531"/>
  <c r="Y1529" s="1"/>
  <c r="A1510"/>
  <c r="Y1508" s="1"/>
  <c r="A1489"/>
  <c r="Y1487" s="1"/>
  <c r="A1468"/>
  <c r="Y1466" s="1"/>
  <c r="AV3032" l="1"/>
  <c r="AV2828"/>
  <c r="AV2334"/>
  <c r="AV2013"/>
  <c r="AV1929"/>
  <c r="AV1971"/>
  <c r="AV1887"/>
  <c r="AV1781"/>
  <c r="AV1487"/>
  <c r="Z1865"/>
  <c r="AV2660"/>
  <c r="AB2660" s="1"/>
  <c r="AV2576"/>
  <c r="AV2254"/>
  <c r="AV1739"/>
  <c r="AV1655"/>
  <c r="AB1655" s="1"/>
  <c r="AV1613"/>
  <c r="AV1571"/>
  <c r="AB1571" s="1"/>
  <c r="AV2991"/>
  <c r="AB2991" s="1"/>
  <c r="AV2153"/>
  <c r="AB2153" s="1"/>
  <c r="AV2113"/>
  <c r="AB2113" s="1"/>
  <c r="AV2073"/>
  <c r="AB2073" s="1"/>
  <c r="AV2314"/>
  <c r="AV2234"/>
  <c r="AV2394"/>
  <c r="AV2474"/>
  <c r="AV2703"/>
  <c r="AV3054"/>
  <c r="AV3053"/>
  <c r="AB3053" s="1"/>
  <c r="Z3032"/>
  <c r="AV3033"/>
  <c r="Z3011"/>
  <c r="AV3012"/>
  <c r="AV3011"/>
  <c r="Z2991"/>
  <c r="AV2992"/>
  <c r="AV2971"/>
  <c r="AV2972"/>
  <c r="Z2950"/>
  <c r="AV2951"/>
  <c r="AV2950"/>
  <c r="AB2950" s="1"/>
  <c r="Z2929"/>
  <c r="AV2930"/>
  <c r="AV2929"/>
  <c r="AB2929" s="1"/>
  <c r="Z2909"/>
  <c r="AV2910"/>
  <c r="AV2909"/>
  <c r="AB2909" s="1"/>
  <c r="AV2889"/>
  <c r="AB2889" s="1"/>
  <c r="AV2890"/>
  <c r="Z2869"/>
  <c r="AV2870"/>
  <c r="AV2869"/>
  <c r="AV2849"/>
  <c r="AV2850"/>
  <c r="AB2849" s="1"/>
  <c r="Z2828"/>
  <c r="AV2829"/>
  <c r="AV2807"/>
  <c r="AB2807" s="1"/>
  <c r="Z2807"/>
  <c r="AV2808"/>
  <c r="Z2786"/>
  <c r="AV2787"/>
  <c r="AV2786"/>
  <c r="AB2786" s="1"/>
  <c r="AV2765"/>
  <c r="AB2765" s="1"/>
  <c r="Z2765"/>
  <c r="AV2766"/>
  <c r="Z2744"/>
  <c r="AV2745"/>
  <c r="AB2744" s="1"/>
  <c r="AV2723"/>
  <c r="Z2723"/>
  <c r="AV2724"/>
  <c r="AV2702"/>
  <c r="AB2702" s="1"/>
  <c r="AV2681"/>
  <c r="Z2681"/>
  <c r="AV2682"/>
  <c r="Z2660"/>
  <c r="AV2661"/>
  <c r="AV2639"/>
  <c r="AB2639" s="1"/>
  <c r="Z2639"/>
  <c r="AV2640"/>
  <c r="Z2618"/>
  <c r="AV2619"/>
  <c r="AV2618"/>
  <c r="AV2597"/>
  <c r="AB2597" s="1"/>
  <c r="Z2597"/>
  <c r="AV2598"/>
  <c r="Z2576"/>
  <c r="AV2577"/>
  <c r="AB2576" s="1"/>
  <c r="AV2555"/>
  <c r="AB2555" s="1"/>
  <c r="Z2555"/>
  <c r="AV2556"/>
  <c r="Z2534"/>
  <c r="AV2535"/>
  <c r="AV2534"/>
  <c r="AV2493"/>
  <c r="AB2493" s="1"/>
  <c r="AV2473"/>
  <c r="AB2473" s="1"/>
  <c r="Z2453"/>
  <c r="AV2454"/>
  <c r="AV2453"/>
  <c r="AB2453" s="1"/>
  <c r="AV2433"/>
  <c r="AB2433" s="1"/>
  <c r="AV2434"/>
  <c r="Z2413"/>
  <c r="AV2414"/>
  <c r="AV2413"/>
  <c r="AV2393"/>
  <c r="AB2393" s="1"/>
  <c r="AV2373"/>
  <c r="AV2374"/>
  <c r="AV2353"/>
  <c r="AB2353" s="1"/>
  <c r="AV2354"/>
  <c r="Z2333"/>
  <c r="AV2333"/>
  <c r="AB2333" s="1"/>
  <c r="AV2313"/>
  <c r="AB2313" s="1"/>
  <c r="Z2293"/>
  <c r="AV2294"/>
  <c r="AV2293"/>
  <c r="AV2273"/>
  <c r="AB2273" s="1"/>
  <c r="AV2274"/>
  <c r="AV2253"/>
  <c r="AV2233"/>
  <c r="Z2213"/>
  <c r="AV2214"/>
  <c r="AV2213"/>
  <c r="AV2194"/>
  <c r="AV2193"/>
  <c r="AB2193" s="1"/>
  <c r="Z2173"/>
  <c r="AV2174"/>
  <c r="AV2173"/>
  <c r="Z2153"/>
  <c r="AV2154"/>
  <c r="Z2133"/>
  <c r="AV2134"/>
  <c r="AV2133"/>
  <c r="Z2113"/>
  <c r="AV2114"/>
  <c r="Z2093"/>
  <c r="AV2094"/>
  <c r="AV2093"/>
  <c r="AB2093" s="1"/>
  <c r="Z2073"/>
  <c r="AV2074"/>
  <c r="Z2053"/>
  <c r="AV2054"/>
  <c r="AV2053"/>
  <c r="AV2033"/>
  <c r="AB2033" s="1"/>
  <c r="AV2034"/>
  <c r="AV2012"/>
  <c r="AV1991"/>
  <c r="AB1991" s="1"/>
  <c r="AV1992"/>
  <c r="AV1970"/>
  <c r="AB1970" s="1"/>
  <c r="AV1949"/>
  <c r="AB1949" s="1"/>
  <c r="AV1950"/>
  <c r="AV1928"/>
  <c r="AV1907"/>
  <c r="AB1907" s="1"/>
  <c r="AV1908"/>
  <c r="AV1886"/>
  <c r="AB1886" s="1"/>
  <c r="AV1865"/>
  <c r="AB1865" s="1"/>
  <c r="AV1866"/>
  <c r="Z1844"/>
  <c r="AV1845"/>
  <c r="AV1844"/>
  <c r="AB1844" s="1"/>
  <c r="Z1823"/>
  <c r="AV1824"/>
  <c r="AB1823"/>
  <c r="Z1802"/>
  <c r="AV1803"/>
  <c r="AV1802"/>
  <c r="AB1802" s="1"/>
  <c r="Z1781"/>
  <c r="AV1782"/>
  <c r="AB1781" s="1"/>
  <c r="Z1760"/>
  <c r="AV1761"/>
  <c r="AV1760"/>
  <c r="AB1760" s="1"/>
  <c r="Z1739"/>
  <c r="AV1740"/>
  <c r="Z1718"/>
  <c r="AV1719"/>
  <c r="AV1718"/>
  <c r="AB1718" s="1"/>
  <c r="Z1697"/>
  <c r="AV1698"/>
  <c r="AB1697"/>
  <c r="Z1676"/>
  <c r="AV1677"/>
  <c r="AV1676"/>
  <c r="Z1655"/>
  <c r="AV1656"/>
  <c r="Z1634"/>
  <c r="AV1635"/>
  <c r="AV1634"/>
  <c r="AB1634" s="1"/>
  <c r="Z1613"/>
  <c r="AV1614"/>
  <c r="AB1613"/>
  <c r="Z1592"/>
  <c r="AV1593"/>
  <c r="AV1592"/>
  <c r="AB1592" s="1"/>
  <c r="Z1571"/>
  <c r="AV1572"/>
  <c r="Z1508"/>
  <c r="AV1509"/>
  <c r="AV1508"/>
  <c r="AB1508" s="1"/>
  <c r="Z1487"/>
  <c r="AV1488"/>
  <c r="AB1487" s="1"/>
  <c r="Z1466"/>
  <c r="AV1467"/>
  <c r="AV1466"/>
  <c r="AB1466" s="1"/>
  <c r="Z2513"/>
  <c r="AV2514"/>
  <c r="AV2513"/>
  <c r="AB2513" s="1"/>
  <c r="Z1550"/>
  <c r="AV1551"/>
  <c r="AV1550"/>
  <c r="Z1529"/>
  <c r="AV1530"/>
  <c r="AV1529"/>
  <c r="AB1529" s="1"/>
  <c r="Z2493"/>
  <c r="Z2012"/>
  <c r="Z1970"/>
  <c r="Z1928"/>
  <c r="Z1886"/>
  <c r="Z2373"/>
  <c r="Z2253"/>
  <c r="Z2033"/>
  <c r="Z1991"/>
  <c r="Z1949"/>
  <c r="Z1907"/>
  <c r="Z3053"/>
  <c r="Z2971"/>
  <c r="Z2889"/>
  <c r="Z2849"/>
  <c r="Z2702"/>
  <c r="Z2473"/>
  <c r="Z2433"/>
  <c r="Z2393"/>
  <c r="Z2353"/>
  <c r="Z2313"/>
  <c r="Z2273"/>
  <c r="Z2233"/>
  <c r="Z2193"/>
  <c r="AB3032" l="1"/>
  <c r="AB3011"/>
  <c r="AB2828"/>
  <c r="AB2213"/>
  <c r="AB2253"/>
  <c r="AB2133"/>
  <c r="AB2012"/>
  <c r="AB1928"/>
  <c r="AB1739"/>
  <c r="AB1676"/>
  <c r="AB2723"/>
  <c r="AB2681"/>
  <c r="AB2534"/>
  <c r="AB2413"/>
  <c r="AB2373"/>
  <c r="AB2233"/>
  <c r="AB2173"/>
  <c r="AB1550"/>
  <c r="AB2053"/>
  <c r="AB2293"/>
  <c r="AB2618"/>
  <c r="AB2971"/>
  <c r="AB2869"/>
  <c r="P67" i="14" l="1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L34"/>
  <c r="A126" i="12" s="1"/>
  <c r="P33" i="14"/>
  <c r="L33"/>
  <c r="A125" i="12" s="1"/>
  <c r="P32" i="14"/>
  <c r="L32"/>
  <c r="A124" i="12" s="1"/>
  <c r="P31" i="14"/>
  <c r="L31"/>
  <c r="A123" i="12" s="1"/>
  <c r="P30" i="14"/>
  <c r="L30"/>
  <c r="A122" i="12" s="1"/>
  <c r="P29" i="14"/>
  <c r="L29"/>
  <c r="A121" i="12" s="1"/>
  <c r="P28" i="14"/>
  <c r="L28"/>
  <c r="A120" i="12" s="1"/>
  <c r="P27" i="14"/>
  <c r="L27"/>
  <c r="A119" i="12" s="1"/>
  <c r="P26" i="14"/>
  <c r="L26"/>
  <c r="A118" i="12" s="1"/>
  <c r="P25" i="14"/>
  <c r="L25"/>
  <c r="A117" i="12" s="1"/>
  <c r="P24" i="14"/>
  <c r="L24"/>
  <c r="A116" i="12" s="1"/>
  <c r="P23" i="14"/>
  <c r="L23"/>
  <c r="A115" i="12" s="1"/>
  <c r="P22" i="14"/>
  <c r="L22"/>
  <c r="A114" i="12" s="1"/>
  <c r="P21" i="14"/>
  <c r="L21"/>
  <c r="A113" i="12" s="1"/>
  <c r="P20" i="14"/>
  <c r="L20"/>
  <c r="A112" i="12" s="1"/>
  <c r="P19" i="14"/>
  <c r="P18"/>
  <c r="L18"/>
  <c r="A110" i="12" s="1"/>
  <c r="P17" i="14"/>
  <c r="L17"/>
  <c r="A109" i="12" s="1"/>
  <c r="P16" i="14"/>
  <c r="L16"/>
  <c r="A108" i="12" s="1"/>
  <c r="L15" i="14"/>
  <c r="A107" i="12" s="1"/>
  <c r="L14" i="14"/>
  <c r="A106" i="12" s="1"/>
  <c r="L13" i="14"/>
  <c r="A105" i="12" s="1"/>
  <c r="L12" i="14"/>
  <c r="A104" i="12" s="1"/>
  <c r="L11" i="14"/>
  <c r="A103" i="12" s="1"/>
  <c r="L10" i="14"/>
  <c r="A102" i="12" s="1"/>
  <c r="L9" i="14"/>
  <c r="A101" i="12" s="1"/>
  <c r="L8" i="14"/>
  <c r="A100" i="12" s="1"/>
  <c r="L7" i="14"/>
  <c r="A99" i="12" s="1"/>
  <c r="L6" i="14"/>
  <c r="A98" i="12" s="1"/>
  <c r="L5" i="14"/>
  <c r="A97" i="12" s="1"/>
  <c r="L4" i="14"/>
  <c r="A96" i="12" s="1"/>
  <c r="P67" i="13" l="1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L34"/>
  <c r="A95" i="12" s="1"/>
  <c r="P33" i="13"/>
  <c r="L33"/>
  <c r="A94" i="12" s="1"/>
  <c r="P32" i="13"/>
  <c r="L32"/>
  <c r="A93" i="12" s="1"/>
  <c r="P31" i="13"/>
  <c r="L31"/>
  <c r="A92" i="12" s="1"/>
  <c r="P30" i="13"/>
  <c r="L30"/>
  <c r="A91" i="12" s="1"/>
  <c r="P29" i="13"/>
  <c r="L29"/>
  <c r="A90" i="12" s="1"/>
  <c r="P28" i="13"/>
  <c r="L28"/>
  <c r="A89" i="12" s="1"/>
  <c r="P27" i="13"/>
  <c r="L27"/>
  <c r="A88" i="12" s="1"/>
  <c r="P26" i="13"/>
  <c r="L26"/>
  <c r="A87" i="12" s="1"/>
  <c r="P25" i="13"/>
  <c r="L25"/>
  <c r="A86" i="12" s="1"/>
  <c r="P24" i="13"/>
  <c r="L24"/>
  <c r="A85" i="12" s="1"/>
  <c r="P23" i="13"/>
  <c r="L23"/>
  <c r="A84" i="12" s="1"/>
  <c r="P22" i="13"/>
  <c r="L22"/>
  <c r="A83" i="12" s="1"/>
  <c r="P21" i="13"/>
  <c r="L21"/>
  <c r="A82" i="12" s="1"/>
  <c r="P20" i="13"/>
  <c r="L20"/>
  <c r="A81" i="12" s="1"/>
  <c r="P19" i="13"/>
  <c r="P18"/>
  <c r="L18"/>
  <c r="A79" i="12" s="1"/>
  <c r="P17" i="13"/>
  <c r="L17"/>
  <c r="A78" i="12" s="1"/>
  <c r="P16" i="13"/>
  <c r="L16"/>
  <c r="A77" i="12" s="1"/>
  <c r="L15" i="13"/>
  <c r="A76" i="12" s="1"/>
  <c r="L14" i="13"/>
  <c r="A75" i="12" s="1"/>
  <c r="L13" i="13"/>
  <c r="A74" i="12" s="1"/>
  <c r="L12" i="13"/>
  <c r="A73" i="12" s="1"/>
  <c r="L11" i="13"/>
  <c r="A72" i="12" s="1"/>
  <c r="L10" i="13"/>
  <c r="A71" i="12" s="1"/>
  <c r="L9" i="13"/>
  <c r="A70" i="12" s="1"/>
  <c r="L8" i="13"/>
  <c r="A69" i="12" s="1"/>
  <c r="L7" i="13"/>
  <c r="A68" i="12" s="1"/>
  <c r="L6" i="13"/>
  <c r="A67" i="12" s="1"/>
  <c r="L5" i="13"/>
  <c r="A66" i="12" s="1"/>
  <c r="L4" i="13"/>
  <c r="A65" i="12" s="1"/>
  <c r="A82" i="6"/>
  <c r="B82"/>
  <c r="A83"/>
  <c r="B83"/>
  <c r="A84"/>
  <c r="B84"/>
  <c r="A85"/>
  <c r="B85"/>
  <c r="A86"/>
  <c r="B86"/>
  <c r="A87"/>
  <c r="B87"/>
  <c r="A88"/>
  <c r="B88"/>
  <c r="A89"/>
  <c r="B89"/>
  <c r="A90"/>
  <c r="B90"/>
  <c r="A91"/>
  <c r="B91"/>
  <c r="A92"/>
  <c r="B92"/>
  <c r="A93"/>
  <c r="B93"/>
  <c r="A94"/>
  <c r="B94"/>
  <c r="A95"/>
  <c r="B95"/>
  <c r="A96"/>
  <c r="B96"/>
  <c r="A97"/>
  <c r="B97"/>
  <c r="A98"/>
  <c r="B98"/>
  <c r="A99"/>
  <c r="B99"/>
  <c r="A100"/>
  <c r="B100"/>
  <c r="A101"/>
  <c r="B101"/>
  <c r="A102"/>
  <c r="B102"/>
  <c r="B81"/>
  <c r="A81"/>
  <c r="L34" i="9"/>
  <c r="A33" i="12" s="1"/>
  <c r="L33" i="9"/>
  <c r="A32" i="12" s="1"/>
  <c r="L32" i="9"/>
  <c r="A31" i="12" s="1"/>
  <c r="L31" i="9"/>
  <c r="A30" i="12" s="1"/>
  <c r="L30" i="9"/>
  <c r="A29" i="12" s="1"/>
  <c r="L29" i="9"/>
  <c r="A28" i="12" s="1"/>
  <c r="L28" i="9"/>
  <c r="A27" i="12" s="1"/>
  <c r="L27" i="9"/>
  <c r="A26" i="12" s="1"/>
  <c r="L26" i="9"/>
  <c r="A25" i="12" s="1"/>
  <c r="L25" i="9"/>
  <c r="A24" i="12" s="1"/>
  <c r="L24" i="9"/>
  <c r="A23" i="12" s="1"/>
  <c r="L23" i="9"/>
  <c r="A22" i="12" s="1"/>
  <c r="L22" i="9"/>
  <c r="A21" i="12" s="1"/>
  <c r="L21" i="9"/>
  <c r="A20" i="12" s="1"/>
  <c r="L20" i="9"/>
  <c r="A19" i="12" s="1"/>
  <c r="L18" i="9"/>
  <c r="A17" i="12" s="1"/>
  <c r="L17" i="9"/>
  <c r="A16" i="12" s="1"/>
  <c r="L16" i="9"/>
  <c r="A15" i="12" s="1"/>
  <c r="L15" i="9"/>
  <c r="A14" i="12" s="1"/>
  <c r="L14" i="9"/>
  <c r="A13" i="12" s="1"/>
  <c r="L13" i="9"/>
  <c r="A12" i="12" s="1"/>
  <c r="L12" i="9"/>
  <c r="A11" i="12" s="1"/>
  <c r="L11" i="9"/>
  <c r="A10" i="12" s="1"/>
  <c r="L10" i="9"/>
  <c r="A9" i="12" s="1"/>
  <c r="L9" i="9"/>
  <c r="A8" i="12" s="1"/>
  <c r="L8" i="9"/>
  <c r="A7" i="12" s="1"/>
  <c r="L7" i="9"/>
  <c r="A6" i="12" s="1"/>
  <c r="L6" i="9"/>
  <c r="A5" i="12" s="1"/>
  <c r="L5" i="9"/>
  <c r="A4" i="12" s="1"/>
  <c r="L4" i="9"/>
  <c r="A3" i="12" s="1"/>
  <c r="L5" i="10"/>
  <c r="A35" i="12" s="1"/>
  <c r="L6" i="10"/>
  <c r="A36" i="12" s="1"/>
  <c r="L7" i="10"/>
  <c r="A37" i="12" s="1"/>
  <c r="L8" i="10"/>
  <c r="A38" i="12" s="1"/>
  <c r="L9" i="10"/>
  <c r="A39" i="12" s="1"/>
  <c r="L10" i="10"/>
  <c r="A40" i="12" s="1"/>
  <c r="L11" i="10"/>
  <c r="A41" i="12" s="1"/>
  <c r="L12" i="10"/>
  <c r="A42" i="12" s="1"/>
  <c r="L13" i="10"/>
  <c r="A43" i="12" s="1"/>
  <c r="L14" i="10"/>
  <c r="A44" i="12" s="1"/>
  <c r="L15" i="10"/>
  <c r="A45" i="12" s="1"/>
  <c r="L16" i="10"/>
  <c r="A46" i="12" s="1"/>
  <c r="L17" i="10"/>
  <c r="A47" i="12" s="1"/>
  <c r="L18" i="10"/>
  <c r="A48" i="12" s="1"/>
  <c r="L20" i="10"/>
  <c r="A50" i="12" s="1"/>
  <c r="L21" i="10"/>
  <c r="A51" i="12" s="1"/>
  <c r="L22" i="10"/>
  <c r="A52" i="12" s="1"/>
  <c r="L23" i="10"/>
  <c r="A53" i="12" s="1"/>
  <c r="L24" i="10"/>
  <c r="A54" i="12" s="1"/>
  <c r="L25" i="10"/>
  <c r="A55" i="12" s="1"/>
  <c r="L26" i="10"/>
  <c r="A56" i="12" s="1"/>
  <c r="L27" i="10"/>
  <c r="A57" i="12" s="1"/>
  <c r="L28" i="10"/>
  <c r="A58" i="12" s="1"/>
  <c r="L29" i="10"/>
  <c r="A59" i="12" s="1"/>
  <c r="L30" i="10"/>
  <c r="A60" i="12" s="1"/>
  <c r="L31" i="10"/>
  <c r="A61" i="12" s="1"/>
  <c r="L32" i="10"/>
  <c r="A62" i="12" s="1"/>
  <c r="L33" i="10"/>
  <c r="A63" i="12" s="1"/>
  <c r="L34" i="10"/>
  <c r="A64" i="12" s="1"/>
  <c r="L4" i="10"/>
  <c r="A34" i="12" s="1"/>
  <c r="A1445" i="5"/>
  <c r="H188" i="11"/>
  <c r="G188"/>
  <c r="F188"/>
  <c r="H187"/>
  <c r="G187"/>
  <c r="F187"/>
  <c r="H186"/>
  <c r="G186"/>
  <c r="F186"/>
  <c r="H185"/>
  <c r="G185"/>
  <c r="F185"/>
  <c r="H184"/>
  <c r="G184"/>
  <c r="F184"/>
  <c r="H183"/>
  <c r="G183"/>
  <c r="F183"/>
  <c r="H182"/>
  <c r="G182"/>
  <c r="F182"/>
  <c r="H181"/>
  <c r="G181"/>
  <c r="F181"/>
  <c r="H180"/>
  <c r="G180"/>
  <c r="F180"/>
  <c r="H179"/>
  <c r="G179"/>
  <c r="F179"/>
  <c r="H178"/>
  <c r="G178"/>
  <c r="F178"/>
  <c r="H177"/>
  <c r="G177"/>
  <c r="F177"/>
  <c r="H176"/>
  <c r="G176"/>
  <c r="F176"/>
  <c r="H175"/>
  <c r="G175"/>
  <c r="F175"/>
  <c r="H174"/>
  <c r="G174"/>
  <c r="F174"/>
  <c r="H173"/>
  <c r="G173"/>
  <c r="F173"/>
  <c r="H172"/>
  <c r="G172"/>
  <c r="F172"/>
  <c r="H171"/>
  <c r="G171"/>
  <c r="F171"/>
  <c r="H170"/>
  <c r="G170"/>
  <c r="F170"/>
  <c r="H169"/>
  <c r="G169"/>
  <c r="F169"/>
  <c r="H168"/>
  <c r="G168"/>
  <c r="F168"/>
  <c r="H167"/>
  <c r="G167"/>
  <c r="F167"/>
  <c r="H166"/>
  <c r="G166"/>
  <c r="F166"/>
  <c r="H165"/>
  <c r="G165"/>
  <c r="F165"/>
  <c r="H164"/>
  <c r="G164"/>
  <c r="F164"/>
  <c r="H163"/>
  <c r="G163"/>
  <c r="F163"/>
  <c r="H162"/>
  <c r="G162"/>
  <c r="F162"/>
  <c r="H161"/>
  <c r="G161"/>
  <c r="F161"/>
  <c r="H160"/>
  <c r="G160"/>
  <c r="F160"/>
  <c r="H159"/>
  <c r="G159"/>
  <c r="F159"/>
  <c r="H158"/>
  <c r="G158"/>
  <c r="F158"/>
  <c r="H157"/>
  <c r="G157"/>
  <c r="F157"/>
  <c r="H156"/>
  <c r="G156"/>
  <c r="F156"/>
  <c r="H155"/>
  <c r="G155"/>
  <c r="F155"/>
  <c r="H154"/>
  <c r="G154"/>
  <c r="F154"/>
  <c r="H153"/>
  <c r="G153"/>
  <c r="F153"/>
  <c r="H152"/>
  <c r="G152"/>
  <c r="F152"/>
  <c r="H151"/>
  <c r="G151"/>
  <c r="F151"/>
  <c r="H150"/>
  <c r="G150"/>
  <c r="F150"/>
  <c r="H149"/>
  <c r="G149"/>
  <c r="F149"/>
  <c r="H148"/>
  <c r="G148"/>
  <c r="F148"/>
  <c r="H147"/>
  <c r="G147"/>
  <c r="F147"/>
  <c r="H146"/>
  <c r="G146"/>
  <c r="F146"/>
  <c r="H145"/>
  <c r="G145"/>
  <c r="F145"/>
  <c r="H144"/>
  <c r="G144"/>
  <c r="F144"/>
  <c r="H143"/>
  <c r="G143"/>
  <c r="E140"/>
  <c r="F114"/>
  <c r="G114"/>
  <c r="H114"/>
  <c r="F115"/>
  <c r="G115"/>
  <c r="H115"/>
  <c r="F116"/>
  <c r="G116"/>
  <c r="H116"/>
  <c r="F117"/>
  <c r="G117"/>
  <c r="H117"/>
  <c r="F118"/>
  <c r="G118"/>
  <c r="H118"/>
  <c r="F119"/>
  <c r="G119"/>
  <c r="H119"/>
  <c r="F120"/>
  <c r="G120"/>
  <c r="H120"/>
  <c r="F121"/>
  <c r="G121"/>
  <c r="H121"/>
  <c r="F122"/>
  <c r="G122"/>
  <c r="H122"/>
  <c r="F123"/>
  <c r="G123"/>
  <c r="H123"/>
  <c r="F124"/>
  <c r="G124"/>
  <c r="H124"/>
  <c r="F125"/>
  <c r="G125"/>
  <c r="H125"/>
  <c r="F126"/>
  <c r="G126"/>
  <c r="H126"/>
  <c r="F127"/>
  <c r="G127"/>
  <c r="H127"/>
  <c r="F128"/>
  <c r="G128"/>
  <c r="H128"/>
  <c r="F129"/>
  <c r="G129"/>
  <c r="H129"/>
  <c r="F130"/>
  <c r="G130"/>
  <c r="H130"/>
  <c r="F131"/>
  <c r="G131"/>
  <c r="H131"/>
  <c r="F132"/>
  <c r="G132"/>
  <c r="H132"/>
  <c r="F133"/>
  <c r="G133"/>
  <c r="H133"/>
  <c r="F134"/>
  <c r="G134"/>
  <c r="H134"/>
  <c r="F135"/>
  <c r="G135"/>
  <c r="H135"/>
  <c r="F136"/>
  <c r="G136"/>
  <c r="H136"/>
  <c r="H113"/>
  <c r="G113"/>
  <c r="F113"/>
  <c r="F77"/>
  <c r="G77"/>
  <c r="H77"/>
  <c r="F78"/>
  <c r="G78"/>
  <c r="H78"/>
  <c r="F79"/>
  <c r="G79"/>
  <c r="H79"/>
  <c r="F80"/>
  <c r="G80"/>
  <c r="H80"/>
  <c r="F81"/>
  <c r="G81"/>
  <c r="H81"/>
  <c r="F82"/>
  <c r="G82"/>
  <c r="H82"/>
  <c r="F83"/>
  <c r="G83"/>
  <c r="H83"/>
  <c r="F84"/>
  <c r="G84"/>
  <c r="H84"/>
  <c r="F85"/>
  <c r="G85"/>
  <c r="H85"/>
  <c r="F86"/>
  <c r="G86"/>
  <c r="H86"/>
  <c r="F87"/>
  <c r="G87"/>
  <c r="H87"/>
  <c r="F88"/>
  <c r="G88"/>
  <c r="H88"/>
  <c r="F89"/>
  <c r="G89"/>
  <c r="H89"/>
  <c r="F90"/>
  <c r="G90"/>
  <c r="H90"/>
  <c r="F91"/>
  <c r="G91"/>
  <c r="H91"/>
  <c r="F92"/>
  <c r="G92"/>
  <c r="H92"/>
  <c r="F93"/>
  <c r="G93"/>
  <c r="H93"/>
  <c r="F94"/>
  <c r="G94"/>
  <c r="H94"/>
  <c r="F95"/>
  <c r="G95"/>
  <c r="H95"/>
  <c r="F96"/>
  <c r="G96"/>
  <c r="H96"/>
  <c r="F97"/>
  <c r="G97"/>
  <c r="H97"/>
  <c r="F98"/>
  <c r="G98"/>
  <c r="H98"/>
  <c r="F99"/>
  <c r="G99"/>
  <c r="H99"/>
  <c r="F100"/>
  <c r="G100"/>
  <c r="H100"/>
  <c r="F101"/>
  <c r="G101"/>
  <c r="H101"/>
  <c r="F102"/>
  <c r="G102"/>
  <c r="H102"/>
  <c r="F103"/>
  <c r="G103"/>
  <c r="H103"/>
  <c r="F104"/>
  <c r="G104"/>
  <c r="H104"/>
  <c r="F105"/>
  <c r="G105"/>
  <c r="H105"/>
  <c r="F106"/>
  <c r="G106"/>
  <c r="H106"/>
  <c r="H76"/>
  <c r="G76"/>
  <c r="F76"/>
  <c r="H75"/>
  <c r="G75"/>
  <c r="F7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45"/>
  <c r="P67" i="10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AL1448" i="5"/>
  <c r="AT1448" s="1"/>
  <c r="AK1448"/>
  <c r="AS1448" s="1"/>
  <c r="AJ1448"/>
  <c r="AR1448" s="1"/>
  <c r="AI1448"/>
  <c r="AQ1448" s="1"/>
  <c r="AH1448"/>
  <c r="AP1448" s="1"/>
  <c r="AG1448"/>
  <c r="AO1448" s="1"/>
  <c r="AF1448"/>
  <c r="AN1448" s="1"/>
  <c r="AL1447"/>
  <c r="AT1447" s="1"/>
  <c r="AK1447"/>
  <c r="AS1447" s="1"/>
  <c r="AJ1447"/>
  <c r="AR1447" s="1"/>
  <c r="AI1447"/>
  <c r="AQ1447" s="1"/>
  <c r="AH1447"/>
  <c r="AP1447" s="1"/>
  <c r="AG1447"/>
  <c r="AO1447" s="1"/>
  <c r="AF1447"/>
  <c r="AN1447" s="1"/>
  <c r="P67" i="9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G68" i="2" l="1"/>
  <c r="H67"/>
  <c r="I66"/>
  <c r="J65"/>
  <c r="F65"/>
  <c r="G64"/>
  <c r="H63"/>
  <c r="I62"/>
  <c r="J61"/>
  <c r="F61"/>
  <c r="G60"/>
  <c r="H59"/>
  <c r="I58"/>
  <c r="J57"/>
  <c r="F57"/>
  <c r="G56"/>
  <c r="H55"/>
  <c r="I54"/>
  <c r="J53"/>
  <c r="F53"/>
  <c r="G52"/>
  <c r="H51"/>
  <c r="I50"/>
  <c r="J49"/>
  <c r="F49"/>
  <c r="G48"/>
  <c r="H47"/>
  <c r="I46"/>
  <c r="J45"/>
  <c r="F45"/>
  <c r="I68"/>
  <c r="G66"/>
  <c r="I64"/>
  <c r="F63"/>
  <c r="H61"/>
  <c r="J59"/>
  <c r="G58"/>
  <c r="I56"/>
  <c r="F55"/>
  <c r="H53"/>
  <c r="J51"/>
  <c r="G50"/>
  <c r="I48"/>
  <c r="F47"/>
  <c r="H45"/>
  <c r="F68"/>
  <c r="H66"/>
  <c r="J64"/>
  <c r="G63"/>
  <c r="I61"/>
  <c r="F60"/>
  <c r="H58"/>
  <c r="J56"/>
  <c r="G55"/>
  <c r="I53"/>
  <c r="F52"/>
  <c r="H50"/>
  <c r="J48"/>
  <c r="G47"/>
  <c r="I45"/>
  <c r="H68"/>
  <c r="I67"/>
  <c r="J66"/>
  <c r="F66"/>
  <c r="G65"/>
  <c r="H64"/>
  <c r="I63"/>
  <c r="J62"/>
  <c r="F62"/>
  <c r="G61"/>
  <c r="H60"/>
  <c r="I59"/>
  <c r="J58"/>
  <c r="F58"/>
  <c r="G57"/>
  <c r="H56"/>
  <c r="I55"/>
  <c r="J54"/>
  <c r="F54"/>
  <c r="G53"/>
  <c r="H52"/>
  <c r="I51"/>
  <c r="J50"/>
  <c r="F50"/>
  <c r="G49"/>
  <c r="H48"/>
  <c r="I47"/>
  <c r="J46"/>
  <c r="F46"/>
  <c r="G45"/>
  <c r="J67"/>
  <c r="F67"/>
  <c r="H65"/>
  <c r="J63"/>
  <c r="G62"/>
  <c r="I60"/>
  <c r="F59"/>
  <c r="H57"/>
  <c r="J55"/>
  <c r="G54"/>
  <c r="I52"/>
  <c r="F51"/>
  <c r="H49"/>
  <c r="J47"/>
  <c r="G46"/>
  <c r="J68"/>
  <c r="G67"/>
  <c r="I65"/>
  <c r="F64"/>
  <c r="H62"/>
  <c r="J60"/>
  <c r="G59"/>
  <c r="I57"/>
  <c r="F56"/>
  <c r="H54"/>
  <c r="J52"/>
  <c r="G51"/>
  <c r="I49"/>
  <c r="F48"/>
  <c r="H46"/>
  <c r="I143" i="11"/>
  <c r="I145"/>
  <c r="I147"/>
  <c r="I149"/>
  <c r="I151"/>
  <c r="I153"/>
  <c r="I155"/>
  <c r="I157"/>
  <c r="I159"/>
  <c r="I161"/>
  <c r="I163"/>
  <c r="I165"/>
  <c r="I167"/>
  <c r="I169"/>
  <c r="I171"/>
  <c r="I173"/>
  <c r="I175"/>
  <c r="I177"/>
  <c r="I179"/>
  <c r="I181"/>
  <c r="I183"/>
  <c r="C183" s="1"/>
  <c r="I185"/>
  <c r="I187"/>
  <c r="I113"/>
  <c r="I189"/>
  <c r="C189" s="1"/>
  <c r="E110"/>
  <c r="E72"/>
  <c r="I115"/>
  <c r="I119"/>
  <c r="A1450" i="5"/>
  <c r="A1447"/>
  <c r="Y1445" s="1"/>
  <c r="V1447"/>
  <c r="I105" i="11"/>
  <c r="I103"/>
  <c r="I101"/>
  <c r="I99"/>
  <c r="I97"/>
  <c r="I95"/>
  <c r="I93"/>
  <c r="I91"/>
  <c r="I89"/>
  <c r="I87"/>
  <c r="I83"/>
  <c r="I81"/>
  <c r="I79"/>
  <c r="I77"/>
  <c r="I135"/>
  <c r="I133"/>
  <c r="I131"/>
  <c r="I129"/>
  <c r="I127"/>
  <c r="I125"/>
  <c r="I123"/>
  <c r="I117"/>
  <c r="I75"/>
  <c r="I121"/>
  <c r="I85"/>
  <c r="V1450" i="5"/>
  <c r="C187" i="11" l="1"/>
  <c r="A188" s="1"/>
  <c r="C185"/>
  <c r="A186" s="1"/>
  <c r="C181"/>
  <c r="A182" s="1"/>
  <c r="C177"/>
  <c r="A178" s="1"/>
  <c r="C173"/>
  <c r="A174" s="1"/>
  <c r="C165"/>
  <c r="A165" s="1"/>
  <c r="C157"/>
  <c r="A158" s="1"/>
  <c r="C149"/>
  <c r="A150" s="1"/>
  <c r="C143"/>
  <c r="A144" s="1"/>
  <c r="C147"/>
  <c r="A148" s="1"/>
  <c r="C145"/>
  <c r="A146" s="1"/>
  <c r="A184"/>
  <c r="A183"/>
  <c r="C179"/>
  <c r="C175"/>
  <c r="C169"/>
  <c r="C161"/>
  <c r="C153"/>
  <c r="C81"/>
  <c r="A81" s="1"/>
  <c r="C117"/>
  <c r="A117" s="1"/>
  <c r="A190"/>
  <c r="A189"/>
  <c r="C171"/>
  <c r="C167"/>
  <c r="C163"/>
  <c r="C159"/>
  <c r="C155"/>
  <c r="C151"/>
  <c r="C125"/>
  <c r="C129"/>
  <c r="C133"/>
  <c r="C135"/>
  <c r="C131"/>
  <c r="C127"/>
  <c r="C123"/>
  <c r="C119"/>
  <c r="A119" s="1"/>
  <c r="C113"/>
  <c r="C87"/>
  <c r="A88" s="1"/>
  <c r="C91"/>
  <c r="A92" s="1"/>
  <c r="C95"/>
  <c r="A96" s="1"/>
  <c r="C99"/>
  <c r="A100" s="1"/>
  <c r="C103"/>
  <c r="C105"/>
  <c r="C101"/>
  <c r="A101" s="1"/>
  <c r="C97"/>
  <c r="A97" s="1"/>
  <c r="C93"/>
  <c r="A93" s="1"/>
  <c r="C89"/>
  <c r="A89" s="1"/>
  <c r="AV1445" i="5"/>
  <c r="Z1445"/>
  <c r="AV1446"/>
  <c r="C115" i="11"/>
  <c r="A115" s="1"/>
  <c r="C121"/>
  <c r="A122" s="1"/>
  <c r="C75"/>
  <c r="C83"/>
  <c r="A84" s="1"/>
  <c r="C85"/>
  <c r="A86" s="1"/>
  <c r="C79"/>
  <c r="A79" s="1"/>
  <c r="C77"/>
  <c r="A78" s="1"/>
  <c r="A187" l="1"/>
  <c r="A185"/>
  <c r="A181"/>
  <c r="A177"/>
  <c r="A166"/>
  <c r="A173"/>
  <c r="A157"/>
  <c r="A145"/>
  <c r="A118"/>
  <c r="A149"/>
  <c r="A147"/>
  <c r="A143"/>
  <c r="A82"/>
  <c r="H1" i="17"/>
  <c r="A37" i="31" s="1"/>
  <c r="A76" i="11"/>
  <c r="H1" i="13"/>
  <c r="A114" i="11"/>
  <c r="H1" i="14"/>
  <c r="A120" i="11"/>
  <c r="A91"/>
  <c r="A153"/>
  <c r="A154"/>
  <c r="A170"/>
  <c r="A169"/>
  <c r="A180"/>
  <c r="A179"/>
  <c r="A162"/>
  <c r="A161"/>
  <c r="A176"/>
  <c r="A175"/>
  <c r="AB1445" i="5"/>
  <c r="A87" i="11"/>
  <c r="A116"/>
  <c r="A113"/>
  <c r="A121"/>
  <c r="A99"/>
  <c r="A156"/>
  <c r="A155"/>
  <c r="A164"/>
  <c r="A163"/>
  <c r="A172"/>
  <c r="A171"/>
  <c r="A98"/>
  <c r="A151"/>
  <c r="A152"/>
  <c r="A160"/>
  <c r="A159"/>
  <c r="A168"/>
  <c r="A167"/>
  <c r="A77"/>
  <c r="A75"/>
  <c r="A102"/>
  <c r="A95"/>
  <c r="A94"/>
  <c r="A90"/>
  <c r="A133"/>
  <c r="A134"/>
  <c r="A125"/>
  <c r="A126"/>
  <c r="A135"/>
  <c r="A136"/>
  <c r="A129"/>
  <c r="A130"/>
  <c r="A131"/>
  <c r="A132"/>
  <c r="A127"/>
  <c r="A128"/>
  <c r="A123"/>
  <c r="A124"/>
  <c r="A104"/>
  <c r="A103"/>
  <c r="A105"/>
  <c r="A106"/>
  <c r="A83"/>
  <c r="A80"/>
  <c r="A85"/>
  <c r="C10" i="14" l="1"/>
  <c r="C8"/>
  <c r="G125" i="2"/>
  <c r="H128"/>
  <c r="E135"/>
  <c r="I131"/>
  <c r="I126"/>
  <c r="F122"/>
  <c r="Q121" s="1"/>
  <c r="I115"/>
  <c r="F133"/>
  <c r="P133" s="1"/>
  <c r="H123"/>
  <c r="I78"/>
  <c r="I94"/>
  <c r="I155"/>
  <c r="C32" i="17"/>
  <c r="E32" s="1"/>
  <c r="P32" s="1"/>
  <c r="B155" i="12" s="1"/>
  <c r="F105" i="2"/>
  <c r="P105" s="1"/>
  <c r="C30" i="17"/>
  <c r="I102" i="2"/>
  <c r="I86"/>
  <c r="F93"/>
  <c r="P93" s="1"/>
  <c r="C20" i="17"/>
  <c r="I106" i="2"/>
  <c r="I98"/>
  <c r="I90"/>
  <c r="I82"/>
  <c r="E103"/>
  <c r="F147"/>
  <c r="P147" s="1"/>
  <c r="C64" i="17"/>
  <c r="F64" s="1"/>
  <c r="C62"/>
  <c r="C52"/>
  <c r="C50"/>
  <c r="F79" i="2"/>
  <c r="P79" s="1"/>
  <c r="I104"/>
  <c r="I100"/>
  <c r="I96"/>
  <c r="I92"/>
  <c r="I88"/>
  <c r="I84"/>
  <c r="I80"/>
  <c r="I76"/>
  <c r="E87"/>
  <c r="F101"/>
  <c r="P101" s="1"/>
  <c r="G149"/>
  <c r="C18" i="17"/>
  <c r="C48"/>
  <c r="E48" s="1"/>
  <c r="P48" s="1"/>
  <c r="B171" i="12" s="1"/>
  <c r="C16" i="17"/>
  <c r="F16" s="1"/>
  <c r="C46"/>
  <c r="C14"/>
  <c r="C36"/>
  <c r="C6"/>
  <c r="F6" s="1"/>
  <c r="C34"/>
  <c r="A37" i="22"/>
  <c r="C10" i="17"/>
  <c r="C56"/>
  <c r="C40"/>
  <c r="C24"/>
  <c r="C8"/>
  <c r="C54"/>
  <c r="E54" s="1"/>
  <c r="P54" s="1"/>
  <c r="B177" i="12" s="1"/>
  <c r="C38" i="17"/>
  <c r="F38" s="1"/>
  <c r="C22"/>
  <c r="F22" s="1"/>
  <c r="C60"/>
  <c r="C44"/>
  <c r="C28"/>
  <c r="C12"/>
  <c r="C58"/>
  <c r="C42"/>
  <c r="C26"/>
  <c r="B37" i="25"/>
  <c r="A21" i="29"/>
  <c r="C10" i="13"/>
  <c r="C14"/>
  <c r="C18"/>
  <c r="C22"/>
  <c r="C26"/>
  <c r="C30"/>
  <c r="C6"/>
  <c r="C8"/>
  <c r="C12"/>
  <c r="C16"/>
  <c r="C20"/>
  <c r="C24"/>
  <c r="C28"/>
  <c r="C32"/>
  <c r="A21" i="24"/>
  <c r="B21" i="20"/>
  <c r="C28" i="14"/>
  <c r="C32"/>
  <c r="C20"/>
  <c r="C24"/>
  <c r="C14"/>
  <c r="C6"/>
  <c r="C26"/>
  <c r="C30"/>
  <c r="C18"/>
  <c r="C22"/>
  <c r="C12"/>
  <c r="C16"/>
  <c r="E185" i="2"/>
  <c r="E186"/>
  <c r="E82"/>
  <c r="E84"/>
  <c r="E81"/>
  <c r="E83"/>
  <c r="E119"/>
  <c r="G136"/>
  <c r="E130"/>
  <c r="E95"/>
  <c r="F87"/>
  <c r="P87" s="1"/>
  <c r="I75"/>
  <c r="F103"/>
  <c r="P103" s="1"/>
  <c r="F97"/>
  <c r="P97" s="1"/>
  <c r="F117"/>
  <c r="P117" s="1"/>
  <c r="F91"/>
  <c r="P91" s="1"/>
  <c r="F83"/>
  <c r="P83" s="1"/>
  <c r="G165"/>
  <c r="F162"/>
  <c r="Q161" s="1"/>
  <c r="H168"/>
  <c r="H176"/>
  <c r="G173"/>
  <c r="F186"/>
  <c r="Q185" s="1"/>
  <c r="F99"/>
  <c r="P99" s="1"/>
  <c r="F95"/>
  <c r="P95" s="1"/>
  <c r="F85"/>
  <c r="P85" s="1"/>
  <c r="E76"/>
  <c r="F89"/>
  <c r="P89" s="1"/>
  <c r="F81"/>
  <c r="P81" s="1"/>
  <c r="I179"/>
  <c r="G189"/>
  <c r="E183"/>
  <c r="H160"/>
  <c r="I187"/>
  <c r="H184"/>
  <c r="G181"/>
  <c r="F178"/>
  <c r="Q177" s="1"/>
  <c r="E159"/>
  <c r="I171"/>
  <c r="E167"/>
  <c r="E175"/>
  <c r="F170"/>
  <c r="Q169" s="1"/>
  <c r="I163"/>
  <c r="I147"/>
  <c r="E151"/>
  <c r="F154"/>
  <c r="Q153" s="1"/>
  <c r="G190"/>
  <c r="G157"/>
  <c r="H152"/>
  <c r="I180"/>
  <c r="F146"/>
  <c r="Q145" s="1"/>
  <c r="G166"/>
  <c r="F187"/>
  <c r="P187" s="1"/>
  <c r="E184"/>
  <c r="I164"/>
  <c r="I188"/>
  <c r="G174"/>
  <c r="H177"/>
  <c r="H161"/>
  <c r="I156"/>
  <c r="F163"/>
  <c r="P163" s="1"/>
  <c r="H187"/>
  <c r="I148"/>
  <c r="I145"/>
  <c r="H185"/>
  <c r="G182"/>
  <c r="F179"/>
  <c r="P179" s="1"/>
  <c r="E176"/>
  <c r="I172"/>
  <c r="H153"/>
  <c r="E160"/>
  <c r="H169"/>
  <c r="G158"/>
  <c r="F171"/>
  <c r="P171" s="1"/>
  <c r="E168"/>
  <c r="F155"/>
  <c r="P155" s="1"/>
  <c r="E152"/>
  <c r="H145"/>
  <c r="G155"/>
  <c r="F184"/>
  <c r="Q183" s="1"/>
  <c r="H174"/>
  <c r="H190"/>
  <c r="E181"/>
  <c r="F168"/>
  <c r="Q167" s="1"/>
  <c r="G150"/>
  <c r="G187"/>
  <c r="G171"/>
  <c r="E165"/>
  <c r="E189"/>
  <c r="I185"/>
  <c r="H182"/>
  <c r="I177"/>
  <c r="I169"/>
  <c r="F189"/>
  <c r="P189" s="1"/>
  <c r="G179"/>
  <c r="F176"/>
  <c r="Q175" s="1"/>
  <c r="E173"/>
  <c r="H166"/>
  <c r="I161"/>
  <c r="E149"/>
  <c r="I182"/>
  <c r="H158"/>
  <c r="F152"/>
  <c r="Q151" s="1"/>
  <c r="I153"/>
  <c r="H179"/>
  <c r="G163"/>
  <c r="F160"/>
  <c r="Q159" s="1"/>
  <c r="E157"/>
  <c r="H150"/>
  <c r="G147"/>
  <c r="I190"/>
  <c r="F161"/>
  <c r="P161" s="1"/>
  <c r="G184"/>
  <c r="F181"/>
  <c r="P181" s="1"/>
  <c r="E178"/>
  <c r="G120"/>
  <c r="G114"/>
  <c r="I118"/>
  <c r="H136"/>
  <c r="G133"/>
  <c r="F130"/>
  <c r="Q129" s="1"/>
  <c r="E127"/>
  <c r="I123"/>
  <c r="H120"/>
  <c r="G117"/>
  <c r="F114"/>
  <c r="Q113" s="1"/>
  <c r="I134"/>
  <c r="H131"/>
  <c r="G128"/>
  <c r="F125"/>
  <c r="P125" s="1"/>
  <c r="E122"/>
  <c r="E96"/>
  <c r="F77"/>
  <c r="P77" s="1"/>
  <c r="E104"/>
  <c r="E88"/>
  <c r="H175"/>
  <c r="I170"/>
  <c r="H115"/>
  <c r="I114"/>
  <c r="I135"/>
  <c r="F134"/>
  <c r="Q133" s="1"/>
  <c r="H132"/>
  <c r="E131"/>
  <c r="G129"/>
  <c r="I127"/>
  <c r="F126"/>
  <c r="Q125" s="1"/>
  <c r="H124"/>
  <c r="E123"/>
  <c r="G121"/>
  <c r="I119"/>
  <c r="F118"/>
  <c r="Q117" s="1"/>
  <c r="H116"/>
  <c r="E115"/>
  <c r="I113"/>
  <c r="H135"/>
  <c r="E134"/>
  <c r="G132"/>
  <c r="I130"/>
  <c r="F129"/>
  <c r="H127"/>
  <c r="E126"/>
  <c r="G124"/>
  <c r="I122"/>
  <c r="F121"/>
  <c r="H119"/>
  <c r="E118"/>
  <c r="G116"/>
  <c r="H167"/>
  <c r="O167" s="1"/>
  <c r="H113"/>
  <c r="F136"/>
  <c r="Q135" s="1"/>
  <c r="G135"/>
  <c r="H134"/>
  <c r="I133"/>
  <c r="E133"/>
  <c r="F132"/>
  <c r="Q131" s="1"/>
  <c r="G131"/>
  <c r="H130"/>
  <c r="I129"/>
  <c r="E129"/>
  <c r="F128"/>
  <c r="Q127" s="1"/>
  <c r="G127"/>
  <c r="H126"/>
  <c r="I125"/>
  <c r="E125"/>
  <c r="F124"/>
  <c r="Q123" s="1"/>
  <c r="G123"/>
  <c r="H122"/>
  <c r="I121"/>
  <c r="E121"/>
  <c r="F120"/>
  <c r="Q119" s="1"/>
  <c r="G119"/>
  <c r="H118"/>
  <c r="I117"/>
  <c r="E117"/>
  <c r="F116"/>
  <c r="Q115" s="1"/>
  <c r="G115"/>
  <c r="H114"/>
  <c r="G113"/>
  <c r="I136"/>
  <c r="E136"/>
  <c r="F135"/>
  <c r="P135" s="1"/>
  <c r="G134"/>
  <c r="H133"/>
  <c r="I132"/>
  <c r="E132"/>
  <c r="F131"/>
  <c r="P131" s="1"/>
  <c r="G130"/>
  <c r="H129"/>
  <c r="I128"/>
  <c r="E128"/>
  <c r="F127"/>
  <c r="P127" s="1"/>
  <c r="G126"/>
  <c r="H125"/>
  <c r="I124"/>
  <c r="E124"/>
  <c r="F123"/>
  <c r="P123" s="1"/>
  <c r="G122"/>
  <c r="H121"/>
  <c r="I120"/>
  <c r="E120"/>
  <c r="F119"/>
  <c r="P119" s="1"/>
  <c r="G118"/>
  <c r="H117"/>
  <c r="I116"/>
  <c r="E116"/>
  <c r="F115"/>
  <c r="P115" s="1"/>
  <c r="H188"/>
  <c r="E187"/>
  <c r="G185"/>
  <c r="I183"/>
  <c r="F182"/>
  <c r="Q181" s="1"/>
  <c r="H180"/>
  <c r="E179"/>
  <c r="G177"/>
  <c r="I175"/>
  <c r="F174"/>
  <c r="Q173" s="1"/>
  <c r="H172"/>
  <c r="E171"/>
  <c r="G169"/>
  <c r="I167"/>
  <c r="F166"/>
  <c r="Q165" s="1"/>
  <c r="H164"/>
  <c r="E163"/>
  <c r="G161"/>
  <c r="I159"/>
  <c r="F158"/>
  <c r="Q157" s="1"/>
  <c r="H156"/>
  <c r="E155"/>
  <c r="G153"/>
  <c r="I151"/>
  <c r="F150"/>
  <c r="Q149" s="1"/>
  <c r="H148"/>
  <c r="E147"/>
  <c r="G145"/>
  <c r="H189"/>
  <c r="E188"/>
  <c r="G186"/>
  <c r="I184"/>
  <c r="F183"/>
  <c r="P183" s="1"/>
  <c r="H181"/>
  <c r="E180"/>
  <c r="G178"/>
  <c r="I176"/>
  <c r="F175"/>
  <c r="P175" s="1"/>
  <c r="H173"/>
  <c r="O173" s="1"/>
  <c r="E172"/>
  <c r="G170"/>
  <c r="I168"/>
  <c r="F167"/>
  <c r="H165"/>
  <c r="E164"/>
  <c r="G162"/>
  <c r="I160"/>
  <c r="F159"/>
  <c r="P159" s="1"/>
  <c r="H157"/>
  <c r="E156"/>
  <c r="G154"/>
  <c r="I152"/>
  <c r="F151"/>
  <c r="P151" s="1"/>
  <c r="H149"/>
  <c r="E148"/>
  <c r="G146"/>
  <c r="I189"/>
  <c r="F188"/>
  <c r="Q187" s="1"/>
  <c r="H186"/>
  <c r="G183"/>
  <c r="I181"/>
  <c r="F180"/>
  <c r="Q179" s="1"/>
  <c r="H178"/>
  <c r="E177"/>
  <c r="G175"/>
  <c r="I173"/>
  <c r="F172"/>
  <c r="Q171" s="1"/>
  <c r="H170"/>
  <c r="E169"/>
  <c r="G167"/>
  <c r="I165"/>
  <c r="F164"/>
  <c r="Q163" s="1"/>
  <c r="H162"/>
  <c r="O161" s="1"/>
  <c r="E161"/>
  <c r="G159"/>
  <c r="I157"/>
  <c r="F156"/>
  <c r="Q155" s="1"/>
  <c r="H154"/>
  <c r="E153"/>
  <c r="G151"/>
  <c r="I149"/>
  <c r="F148"/>
  <c r="Q147" s="1"/>
  <c r="H146"/>
  <c r="E145"/>
  <c r="E190"/>
  <c r="G188"/>
  <c r="I186"/>
  <c r="F185"/>
  <c r="P185" s="1"/>
  <c r="H183"/>
  <c r="O183" s="1"/>
  <c r="E182"/>
  <c r="G180"/>
  <c r="I178"/>
  <c r="F177"/>
  <c r="P177" s="1"/>
  <c r="E174"/>
  <c r="E114"/>
  <c r="F113"/>
  <c r="P113" s="1"/>
  <c r="F149"/>
  <c r="G164"/>
  <c r="F157"/>
  <c r="P157" s="1"/>
  <c r="G176"/>
  <c r="I174"/>
  <c r="G172"/>
  <c r="F169"/>
  <c r="P169" s="1"/>
  <c r="E166"/>
  <c r="E154"/>
  <c r="F173"/>
  <c r="P173" s="1"/>
  <c r="H171"/>
  <c r="E170"/>
  <c r="G168"/>
  <c r="I162"/>
  <c r="H159"/>
  <c r="O159" s="1"/>
  <c r="G160"/>
  <c r="G152"/>
  <c r="I166"/>
  <c r="F165"/>
  <c r="H163"/>
  <c r="E162"/>
  <c r="I158"/>
  <c r="H155"/>
  <c r="G156"/>
  <c r="H151"/>
  <c r="E158"/>
  <c r="I154"/>
  <c r="F153"/>
  <c r="P153" s="1"/>
  <c r="E113"/>
  <c r="E146"/>
  <c r="F144"/>
  <c r="Q143" s="1"/>
  <c r="I144"/>
  <c r="I150"/>
  <c r="H147"/>
  <c r="H144"/>
  <c r="G148"/>
  <c r="I143"/>
  <c r="E150"/>
  <c r="I146"/>
  <c r="F190"/>
  <c r="Q189" s="1"/>
  <c r="G143"/>
  <c r="G144"/>
  <c r="F145"/>
  <c r="P145" s="1"/>
  <c r="E144"/>
  <c r="H143"/>
  <c r="F143"/>
  <c r="E143"/>
  <c r="F75"/>
  <c r="P75" s="1"/>
  <c r="I105"/>
  <c r="I103"/>
  <c r="I101"/>
  <c r="I99"/>
  <c r="I97"/>
  <c r="I95"/>
  <c r="I93"/>
  <c r="I91"/>
  <c r="I89"/>
  <c r="I87"/>
  <c r="I85"/>
  <c r="I83"/>
  <c r="I81"/>
  <c r="I79"/>
  <c r="I77"/>
  <c r="E75"/>
  <c r="E99"/>
  <c r="E91"/>
  <c r="E77"/>
  <c r="F106"/>
  <c r="Q105" s="1"/>
  <c r="F104"/>
  <c r="Q103" s="1"/>
  <c r="F102"/>
  <c r="Q101" s="1"/>
  <c r="F100"/>
  <c r="Q99" s="1"/>
  <c r="F98"/>
  <c r="Q97" s="1"/>
  <c r="F96"/>
  <c r="Q95" s="1"/>
  <c r="F94"/>
  <c r="Q93" s="1"/>
  <c r="F92"/>
  <c r="Q91" s="1"/>
  <c r="F90"/>
  <c r="Q89" s="1"/>
  <c r="F88"/>
  <c r="Q87" s="1"/>
  <c r="F86"/>
  <c r="Q85" s="1"/>
  <c r="F84"/>
  <c r="Q83" s="1"/>
  <c r="F82"/>
  <c r="Q81" s="1"/>
  <c r="F80"/>
  <c r="Q79" s="1"/>
  <c r="F78"/>
  <c r="Q77" s="1"/>
  <c r="F76"/>
  <c r="Q75" s="1"/>
  <c r="E100"/>
  <c r="E92"/>
  <c r="E80"/>
  <c r="E78"/>
  <c r="H75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E105"/>
  <c r="E101"/>
  <c r="E97"/>
  <c r="E93"/>
  <c r="E89"/>
  <c r="E79"/>
  <c r="G75"/>
  <c r="H106"/>
  <c r="H105"/>
  <c r="H104"/>
  <c r="H103"/>
  <c r="H102"/>
  <c r="H101"/>
  <c r="H100"/>
  <c r="H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E106"/>
  <c r="E102"/>
  <c r="E98"/>
  <c r="E94"/>
  <c r="E90"/>
  <c r="E86"/>
  <c r="P121"/>
  <c r="E85"/>
  <c r="O185" l="1"/>
  <c r="O119"/>
  <c r="O131"/>
  <c r="F30" i="14" s="1"/>
  <c r="O133" i="2"/>
  <c r="O123"/>
  <c r="N121"/>
  <c r="O127"/>
  <c r="N135"/>
  <c r="N129"/>
  <c r="E38" i="17"/>
  <c r="P38" s="1"/>
  <c r="B161" i="12" s="1"/>
  <c r="N123" i="2"/>
  <c r="E14" i="14" s="1"/>
  <c r="M14" s="1"/>
  <c r="B106" i="12" s="1"/>
  <c r="E82" i="6" s="1"/>
  <c r="F32" i="17"/>
  <c r="O169" i="2"/>
  <c r="F54" i="17"/>
  <c r="O155" i="2"/>
  <c r="O151"/>
  <c r="E22" i="17"/>
  <c r="P22" s="1"/>
  <c r="B145" i="12" s="1"/>
  <c r="O143" i="2"/>
  <c r="N117"/>
  <c r="N105"/>
  <c r="P129"/>
  <c r="N131"/>
  <c r="E30" i="14" s="1"/>
  <c r="M30" s="1"/>
  <c r="B122" i="12" s="1"/>
  <c r="N185" i="2"/>
  <c r="N93"/>
  <c r="E16" i="17"/>
  <c r="P16" s="1"/>
  <c r="B139" i="12" s="1"/>
  <c r="E64" i="17"/>
  <c r="P64" s="1"/>
  <c r="B187" i="12" s="1"/>
  <c r="F48" i="17"/>
  <c r="N77" i="2"/>
  <c r="E34" i="13" s="1"/>
  <c r="M34" s="1"/>
  <c r="B95" i="12" s="1"/>
  <c r="E6" i="17"/>
  <c r="P6" s="1"/>
  <c r="B129" i="12" s="1"/>
  <c r="O189" i="2"/>
  <c r="F24" i="17" s="1"/>
  <c r="N81" i="2"/>
  <c r="O105"/>
  <c r="F60" i="17"/>
  <c r="O149" i="2"/>
  <c r="O181"/>
  <c r="F40" i="17" s="1"/>
  <c r="O175" i="2"/>
  <c r="F58" i="17" s="1"/>
  <c r="N89" i="2"/>
  <c r="N85"/>
  <c r="E26" i="13" s="1"/>
  <c r="M26" s="1"/>
  <c r="B87" i="12" s="1"/>
  <c r="E90" i="6" s="1"/>
  <c r="N99" i="2"/>
  <c r="N91"/>
  <c r="N97"/>
  <c r="E16" i="13" s="1"/>
  <c r="M16" s="1"/>
  <c r="B77" i="12" s="1"/>
  <c r="N101" i="2"/>
  <c r="N161"/>
  <c r="E28" i="17" s="1"/>
  <c r="P28" s="1"/>
  <c r="B151" i="12" s="1"/>
  <c r="N175" i="2"/>
  <c r="N79"/>
  <c r="E8" i="13" s="1"/>
  <c r="M8" s="1"/>
  <c r="B69" i="12" s="1"/>
  <c r="N83" i="2"/>
  <c r="E12" i="13" s="1"/>
  <c r="M12" s="1"/>
  <c r="B73" i="12" s="1"/>
  <c r="N87" i="2"/>
  <c r="N103"/>
  <c r="N95"/>
  <c r="E6" i="13" s="1"/>
  <c r="M6" s="1"/>
  <c r="B67" i="12" s="1"/>
  <c r="F44" i="17"/>
  <c r="O153" i="2"/>
  <c r="N169"/>
  <c r="N159"/>
  <c r="N183"/>
  <c r="N157"/>
  <c r="O157"/>
  <c r="N167"/>
  <c r="E46" i="17" s="1"/>
  <c r="P46" s="1"/>
  <c r="B169" i="12" s="1"/>
  <c r="O187" i="2"/>
  <c r="F56" i="17" s="1"/>
  <c r="E22" i="14"/>
  <c r="M22" s="1"/>
  <c r="B114" i="12" s="1"/>
  <c r="F22" i="14"/>
  <c r="E6"/>
  <c r="M6" s="1"/>
  <c r="B98" i="12" s="1"/>
  <c r="F6" i="14"/>
  <c r="E16"/>
  <c r="M16" s="1"/>
  <c r="B108" i="12" s="1"/>
  <c r="F16" i="14"/>
  <c r="E32"/>
  <c r="M32" s="1"/>
  <c r="B124" i="12" s="1"/>
  <c r="F32" i="14"/>
  <c r="N145" i="2"/>
  <c r="E66" i="17" s="1"/>
  <c r="G65" s="1"/>
  <c r="G66" s="1"/>
  <c r="N177" i="2"/>
  <c r="O179"/>
  <c r="F14" i="17"/>
  <c r="E22" i="13"/>
  <c r="M22" s="1"/>
  <c r="B83" i="12" s="1"/>
  <c r="B1618" i="5" s="1"/>
  <c r="O79" i="2"/>
  <c r="N153"/>
  <c r="N151"/>
  <c r="E50" i="17" s="1"/>
  <c r="P167" i="2"/>
  <c r="N163"/>
  <c r="O165"/>
  <c r="N181"/>
  <c r="N189"/>
  <c r="E24" i="17" s="1"/>
  <c r="P24" s="1"/>
  <c r="B147" i="12" s="1"/>
  <c r="N147" i="2"/>
  <c r="E10" i="17" s="1"/>
  <c r="P10" s="1"/>
  <c r="B133" i="12" s="1"/>
  <c r="N179" i="2"/>
  <c r="E14" i="17" s="1"/>
  <c r="P14" s="1"/>
  <c r="B137" i="12" s="1"/>
  <c r="N133" i="2"/>
  <c r="N113"/>
  <c r="E4" i="14" s="1"/>
  <c r="M4" s="1"/>
  <c r="B96" i="12" s="1"/>
  <c r="N165" i="2"/>
  <c r="O171"/>
  <c r="N149"/>
  <c r="O145"/>
  <c r="O177"/>
  <c r="F50" i="17" s="1"/>
  <c r="O121" i="2"/>
  <c r="O129"/>
  <c r="F26" i="14" s="1"/>
  <c r="O95" i="2"/>
  <c r="E18" i="13"/>
  <c r="M18" s="1"/>
  <c r="B79" i="12" s="1"/>
  <c r="B1597" i="5" s="1"/>
  <c r="E32" i="13"/>
  <c r="M32" s="1"/>
  <c r="B93" i="12" s="1"/>
  <c r="D92" i="6" s="1"/>
  <c r="E20" i="13"/>
  <c r="M20" s="1"/>
  <c r="B81" i="12" s="1"/>
  <c r="F52" i="17"/>
  <c r="F20"/>
  <c r="F18"/>
  <c r="F42"/>
  <c r="F28"/>
  <c r="P149" i="2"/>
  <c r="P165"/>
  <c r="O117"/>
  <c r="O115"/>
  <c r="O135"/>
  <c r="N125"/>
  <c r="E28" i="14" s="1"/>
  <c r="M28" s="1"/>
  <c r="B120" i="12" s="1"/>
  <c r="B1510" i="5" s="1"/>
  <c r="O125" i="2"/>
  <c r="F28" i="14" s="1"/>
  <c r="N115" i="2"/>
  <c r="N119"/>
  <c r="E20" i="14" s="1"/>
  <c r="O147" i="2"/>
  <c r="F36" i="17" s="1"/>
  <c r="O163" i="2"/>
  <c r="N173"/>
  <c r="E44" i="17" s="1"/>
  <c r="P44" s="1"/>
  <c r="B167" i="12" s="1"/>
  <c r="D98" i="6" s="1"/>
  <c r="N155" i="2"/>
  <c r="N171"/>
  <c r="E42" i="17" s="1"/>
  <c r="P42" s="1"/>
  <c r="B165" i="12" s="1"/>
  <c r="N187" i="2"/>
  <c r="E52" i="17" s="1"/>
  <c r="G53" s="1"/>
  <c r="V32" s="1"/>
  <c r="N127" i="2"/>
  <c r="E26" i="14" s="1"/>
  <c r="M26" s="1"/>
  <c r="B118" i="12" s="1"/>
  <c r="O113" i="2"/>
  <c r="F4" i="14" s="1"/>
  <c r="O87" i="2"/>
  <c r="O101"/>
  <c r="N75"/>
  <c r="E4" i="13" s="1"/>
  <c r="M4" s="1"/>
  <c r="B65" i="12" s="1"/>
  <c r="O83" i="2"/>
  <c r="O91"/>
  <c r="O99"/>
  <c r="O103"/>
  <c r="N143"/>
  <c r="E4" i="17" s="1"/>
  <c r="P143" i="2"/>
  <c r="O77"/>
  <c r="O81"/>
  <c r="F34" i="13" s="1"/>
  <c r="O85" i="2"/>
  <c r="O89"/>
  <c r="E10" i="13"/>
  <c r="M10" s="1"/>
  <c r="B71" i="12" s="1"/>
  <c r="E14" i="13"/>
  <c r="M14" s="1"/>
  <c r="B75" i="12" s="1"/>
  <c r="E24" i="13"/>
  <c r="M24" s="1"/>
  <c r="B85" i="12" s="1"/>
  <c r="F8" i="17"/>
  <c r="F46"/>
  <c r="E8"/>
  <c r="P8" s="1"/>
  <c r="E28" i="13"/>
  <c r="M28" s="1"/>
  <c r="B89" i="12" s="1"/>
  <c r="F4" i="17"/>
  <c r="F26"/>
  <c r="F10" i="14"/>
  <c r="F34"/>
  <c r="F12"/>
  <c r="E10"/>
  <c r="M10" s="1"/>
  <c r="B102" i="12" s="1"/>
  <c r="B1450" i="5" s="1"/>
  <c r="E34" i="14"/>
  <c r="G33" s="1"/>
  <c r="O93" i="2"/>
  <c r="F10" i="13" s="1"/>
  <c r="O97" i="2"/>
  <c r="O75"/>
  <c r="G5" i="14"/>
  <c r="B1762" i="5" l="1"/>
  <c r="AA1760" s="1"/>
  <c r="G29" i="17" s="1"/>
  <c r="V26" s="1"/>
  <c r="C49" i="25" s="1"/>
  <c r="D96" i="6"/>
  <c r="D95"/>
  <c r="B1741" i="5"/>
  <c r="E12" i="14"/>
  <c r="M12" s="1"/>
  <c r="B104" i="12" s="1"/>
  <c r="F8" i="14"/>
  <c r="E56" i="17"/>
  <c r="P56" s="1"/>
  <c r="B179" i="12" s="1"/>
  <c r="F24" i="14"/>
  <c r="F12" i="13"/>
  <c r="E58" i="17"/>
  <c r="P58" s="1"/>
  <c r="B181" i="12" s="1"/>
  <c r="B1828" i="5" s="1"/>
  <c r="I1828" s="1"/>
  <c r="P1837" s="1"/>
  <c r="E30" i="17"/>
  <c r="P30" s="1"/>
  <c r="B153" i="12" s="1"/>
  <c r="B1765" i="5" s="1"/>
  <c r="I1765" s="1"/>
  <c r="P1774" s="1"/>
  <c r="E12" i="17"/>
  <c r="P12" s="1"/>
  <c r="B135" i="12" s="1"/>
  <c r="E36" i="17"/>
  <c r="P36" s="1"/>
  <c r="B159" i="12" s="1"/>
  <c r="F20" i="13"/>
  <c r="F34" i="17"/>
  <c r="E18" i="14"/>
  <c r="M18" s="1"/>
  <c r="B110" i="12" s="1"/>
  <c r="F14" i="14"/>
  <c r="F16" i="13"/>
  <c r="F12" i="17"/>
  <c r="E60"/>
  <c r="P60" s="1"/>
  <c r="B183" i="12" s="1"/>
  <c r="D100" i="6" s="1"/>
  <c r="E18" i="17"/>
  <c r="E40"/>
  <c r="P40" s="1"/>
  <c r="B163" i="12" s="1"/>
  <c r="B1783" i="5" s="1"/>
  <c r="I1783" s="1"/>
  <c r="I1795" s="1"/>
  <c r="E30" i="13"/>
  <c r="M30" s="1"/>
  <c r="B91" i="12" s="1"/>
  <c r="B1660" i="5" s="1"/>
  <c r="I1661" s="1"/>
  <c r="P1670" s="1"/>
  <c r="F62" i="17"/>
  <c r="F66"/>
  <c r="B1471" i="5"/>
  <c r="I1472" s="1"/>
  <c r="P1481" s="1"/>
  <c r="G37" i="17"/>
  <c r="G38" s="1"/>
  <c r="G17" i="14"/>
  <c r="V15" s="1"/>
  <c r="C27" i="21" s="1"/>
  <c r="F27" s="1"/>
  <c r="V19" i="14"/>
  <c r="C35" i="21" s="1"/>
  <c r="F35" s="1"/>
  <c r="B1804" i="5"/>
  <c r="I1805" s="1"/>
  <c r="I1817" s="1"/>
  <c r="D84" i="6"/>
  <c r="E88"/>
  <c r="E91"/>
  <c r="B1639" i="5"/>
  <c r="I1639" s="1"/>
  <c r="E89" i="6"/>
  <c r="D97"/>
  <c r="B1786" i="5"/>
  <c r="I1787" s="1"/>
  <c r="P1796" s="1"/>
  <c r="E97" i="6"/>
  <c r="E62" i="17"/>
  <c r="P62" s="1"/>
  <c r="B185" i="12" s="1"/>
  <c r="E20" i="17"/>
  <c r="P20" s="1"/>
  <c r="B143" i="12" s="1"/>
  <c r="F30" i="17"/>
  <c r="F10"/>
  <c r="E24" i="14"/>
  <c r="M24" s="1"/>
  <c r="B116" i="12" s="1"/>
  <c r="D83" i="6" s="1"/>
  <c r="E8" i="14"/>
  <c r="M8" s="1"/>
  <c r="B100" i="12" s="1"/>
  <c r="B1447" i="5" s="1"/>
  <c r="F20" i="14"/>
  <c r="F22" i="13"/>
  <c r="F30"/>
  <c r="F28"/>
  <c r="F14"/>
  <c r="F26"/>
  <c r="P52" i="17"/>
  <c r="B175" i="12" s="1"/>
  <c r="P66" i="17"/>
  <c r="B189" i="12" s="1"/>
  <c r="B1678" i="5"/>
  <c r="I1678" s="1"/>
  <c r="I1690" s="1"/>
  <c r="G21" i="14"/>
  <c r="V16" s="1"/>
  <c r="C29" i="21" s="1"/>
  <c r="F29" s="1"/>
  <c r="M20" i="14"/>
  <c r="B112" i="12" s="1"/>
  <c r="B1492" i="5"/>
  <c r="I1493" s="1"/>
  <c r="P1502" s="1"/>
  <c r="E83" i="6"/>
  <c r="F24" i="13"/>
  <c r="F18"/>
  <c r="F6"/>
  <c r="F4"/>
  <c r="F32"/>
  <c r="B1615" i="5"/>
  <c r="AA1613" s="1"/>
  <c r="G21" i="13" s="1"/>
  <c r="D89" i="6"/>
  <c r="F8" i="13"/>
  <c r="F18" i="14"/>
  <c r="AA1781" i="5"/>
  <c r="G41" i="17" s="1"/>
  <c r="V29" s="1"/>
  <c r="C55" i="25" s="1"/>
  <c r="P4" i="17"/>
  <c r="B127" i="12" s="1"/>
  <c r="G5" i="17"/>
  <c r="V20" s="1"/>
  <c r="E34"/>
  <c r="E26"/>
  <c r="P26" s="1"/>
  <c r="B149" i="12" s="1"/>
  <c r="B1702" i="5"/>
  <c r="I1702" s="1"/>
  <c r="P1711" s="1"/>
  <c r="E93" i="6"/>
  <c r="I1510" i="5"/>
  <c r="I1522" s="1"/>
  <c r="I1598"/>
  <c r="P1607" s="1"/>
  <c r="I1619"/>
  <c r="P1628" s="1"/>
  <c r="I1741"/>
  <c r="I1753" s="1"/>
  <c r="M34" i="14"/>
  <c r="B126" i="12" s="1"/>
  <c r="DD65" i="17"/>
  <c r="I1597" i="5"/>
  <c r="P1606" s="1"/>
  <c r="I1742"/>
  <c r="I1754" s="1"/>
  <c r="I1618"/>
  <c r="P1627" s="1"/>
  <c r="BS33" i="14"/>
  <c r="M33"/>
  <c r="B125" i="12" s="1"/>
  <c r="E94" i="6"/>
  <c r="B1723" i="5"/>
  <c r="D94" i="6"/>
  <c r="B1720" i="5"/>
  <c r="I1766"/>
  <c r="P1775" s="1"/>
  <c r="G34" i="14"/>
  <c r="I1511" i="5"/>
  <c r="I1523" s="1"/>
  <c r="C62" i="25"/>
  <c r="C61"/>
  <c r="F61" s="1"/>
  <c r="V35" i="17"/>
  <c r="P65"/>
  <c r="B188" i="12" s="1"/>
  <c r="B2017" i="5" s="1"/>
  <c r="DD53" i="17"/>
  <c r="P53"/>
  <c r="B176" i="12" s="1"/>
  <c r="G54" i="17"/>
  <c r="B131" i="12"/>
  <c r="B1699" i="5" s="1"/>
  <c r="BS5" i="14"/>
  <c r="BR5" s="1"/>
  <c r="V12"/>
  <c r="B1657" i="5"/>
  <c r="D91" i="6"/>
  <c r="B1807" i="5"/>
  <c r="E98" i="6"/>
  <c r="G49" i="17"/>
  <c r="V31" s="1"/>
  <c r="P50"/>
  <c r="B173" i="12" s="1"/>
  <c r="B1636" i="5"/>
  <c r="D90" i="6"/>
  <c r="B1594" i="5"/>
  <c r="D88" i="6"/>
  <c r="B1513" i="5"/>
  <c r="E84" i="6"/>
  <c r="I1451" i="5"/>
  <c r="I1450"/>
  <c r="G6" i="14"/>
  <c r="M5"/>
  <c r="B97" i="12" s="1"/>
  <c r="E86" i="6"/>
  <c r="B1555" i="5"/>
  <c r="E87" i="6"/>
  <c r="B1576" i="5"/>
  <c r="E81" i="6"/>
  <c r="I1829" i="5" l="1"/>
  <c r="P1838" s="1"/>
  <c r="I1762"/>
  <c r="I1774" s="1"/>
  <c r="B1846"/>
  <c r="I1846" s="1"/>
  <c r="I1858" s="1"/>
  <c r="D99" i="6"/>
  <c r="B1825" i="5"/>
  <c r="E96" i="6"/>
  <c r="E99"/>
  <c r="I1763" i="5"/>
  <c r="I1775" s="1"/>
  <c r="I1784"/>
  <c r="I1796" s="1"/>
  <c r="I1660"/>
  <c r="P1669" s="1"/>
  <c r="I1471"/>
  <c r="P1480" s="1"/>
  <c r="P18" i="17"/>
  <c r="B141" i="12" s="1"/>
  <c r="G17" i="17"/>
  <c r="N1812" i="5"/>
  <c r="AA1634"/>
  <c r="G25" i="13" s="1"/>
  <c r="G26" s="1"/>
  <c r="V28" i="17"/>
  <c r="C53" i="25" s="1"/>
  <c r="F53" s="1"/>
  <c r="J53" s="1"/>
  <c r="DD37" i="17"/>
  <c r="P37"/>
  <c r="B160" i="12" s="1"/>
  <c r="D105" i="6" s="1"/>
  <c r="G21" i="17"/>
  <c r="V24" s="1"/>
  <c r="M17" i="14"/>
  <c r="B109" i="12" s="1"/>
  <c r="E138" i="6" s="1"/>
  <c r="BS17" i="14"/>
  <c r="G18"/>
  <c r="C36" i="21"/>
  <c r="D36" s="1"/>
  <c r="B1489" i="5"/>
  <c r="I1490" s="1"/>
  <c r="I1502" s="1"/>
  <c r="C28" i="21"/>
  <c r="E28" s="1"/>
  <c r="I1847" i="5"/>
  <c r="I1859" s="1"/>
  <c r="I1804"/>
  <c r="I1816" s="1"/>
  <c r="I1640"/>
  <c r="P1649" s="1"/>
  <c r="I1786"/>
  <c r="P1795" s="1"/>
  <c r="P29" i="17"/>
  <c r="B152" i="12" s="1"/>
  <c r="B1930" i="5" s="1"/>
  <c r="G30" i="17"/>
  <c r="C50" i="25"/>
  <c r="D50" s="1"/>
  <c r="DD29" i="17"/>
  <c r="N1770" i="5"/>
  <c r="G6" i="17"/>
  <c r="I1679" i="5"/>
  <c r="I1691" s="1"/>
  <c r="B1849"/>
  <c r="E100" i="6"/>
  <c r="M21" i="14"/>
  <c r="B113" i="12" s="1"/>
  <c r="D139" i="6" s="1"/>
  <c r="I1616" i="5"/>
  <c r="I1628" s="1"/>
  <c r="N1769"/>
  <c r="N1853"/>
  <c r="AA1844"/>
  <c r="G61" i="17" s="1"/>
  <c r="V34" s="1"/>
  <c r="N1791" i="5"/>
  <c r="AA1718"/>
  <c r="G13" i="17" s="1"/>
  <c r="V22" s="1"/>
  <c r="C41" i="25" s="1"/>
  <c r="I1492" i="5"/>
  <c r="P1501" s="1"/>
  <c r="G42" i="17"/>
  <c r="C56" i="25"/>
  <c r="D56" s="1"/>
  <c r="E108" i="6"/>
  <c r="D93"/>
  <c r="G22" i="14"/>
  <c r="C30" i="21"/>
  <c r="D30" s="1"/>
  <c r="P5" i="17"/>
  <c r="B128" i="12" s="1"/>
  <c r="B1867" i="5" s="1"/>
  <c r="AA1865" s="1"/>
  <c r="H7" i="17" s="1"/>
  <c r="I1615" i="5"/>
  <c r="I1627" s="1"/>
  <c r="BS21" i="14"/>
  <c r="G22" i="13"/>
  <c r="V16"/>
  <c r="DD41" i="17"/>
  <c r="P41"/>
  <c r="B164" i="12" s="1"/>
  <c r="E105" i="6" s="1"/>
  <c r="AA1697" i="5"/>
  <c r="G9" i="17" s="1"/>
  <c r="V21" s="1"/>
  <c r="C39" i="25" s="1"/>
  <c r="DD5" i="17"/>
  <c r="DC5" s="1"/>
  <c r="I1703" i="5"/>
  <c r="P1712" s="1"/>
  <c r="P34" i="17"/>
  <c r="B157" i="12" s="1"/>
  <c r="G33" i="17"/>
  <c r="E95" i="6"/>
  <c r="B1744" i="5"/>
  <c r="AA1739" s="1"/>
  <c r="G25" i="17" s="1"/>
  <c r="V25" s="1"/>
  <c r="C47" i="25" s="1"/>
  <c r="D47" s="1"/>
  <c r="I1724" i="5"/>
  <c r="I1723"/>
  <c r="J62" i="25"/>
  <c r="J61"/>
  <c r="I1720" i="5"/>
  <c r="I1732" s="1"/>
  <c r="I1721"/>
  <c r="I1733" s="1"/>
  <c r="J27" i="21"/>
  <c r="H27" s="1"/>
  <c r="J28"/>
  <c r="H28" s="1"/>
  <c r="J29"/>
  <c r="H29" s="1"/>
  <c r="J30"/>
  <c r="H30" s="1"/>
  <c r="E49" i="25"/>
  <c r="D49"/>
  <c r="D61"/>
  <c r="E61"/>
  <c r="D62"/>
  <c r="E62"/>
  <c r="J35" i="21"/>
  <c r="J36"/>
  <c r="D55" i="25"/>
  <c r="E55"/>
  <c r="C68"/>
  <c r="C67"/>
  <c r="F67" s="1"/>
  <c r="C22" i="21"/>
  <c r="C21"/>
  <c r="F21" s="1"/>
  <c r="D27"/>
  <c r="E27"/>
  <c r="D29"/>
  <c r="E29"/>
  <c r="D35"/>
  <c r="E35"/>
  <c r="AA1592" i="5"/>
  <c r="G17" i="13" s="1"/>
  <c r="G18" s="1"/>
  <c r="I1595" i="5"/>
  <c r="I1594"/>
  <c r="I1636"/>
  <c r="I1648" s="1"/>
  <c r="I1637"/>
  <c r="I1649" s="1"/>
  <c r="DD49" i="17"/>
  <c r="P49"/>
  <c r="B172" i="12" s="1"/>
  <c r="G50" i="17"/>
  <c r="AA1802" i="5"/>
  <c r="G45" i="17" s="1"/>
  <c r="V30" s="1"/>
  <c r="I1808" i="5"/>
  <c r="P1817" s="1"/>
  <c r="I1807"/>
  <c r="P1816" s="1"/>
  <c r="I1657"/>
  <c r="I1658"/>
  <c r="AA1655"/>
  <c r="G29" i="13" s="1"/>
  <c r="G30" s="1"/>
  <c r="P1648" i="5"/>
  <c r="D107" i="6"/>
  <c r="B1993" i="5"/>
  <c r="AA1508"/>
  <c r="G29" i="14" s="1"/>
  <c r="I1513" i="5"/>
  <c r="I1514"/>
  <c r="I2018"/>
  <c r="I2017"/>
  <c r="AA1445"/>
  <c r="G9" i="14" s="1"/>
  <c r="I1448" i="5"/>
  <c r="I1447"/>
  <c r="B2665"/>
  <c r="E140" i="6"/>
  <c r="E85"/>
  <c r="B1534" i="5"/>
  <c r="I1700"/>
  <c r="I1699"/>
  <c r="N1706" s="1"/>
  <c r="I1576"/>
  <c r="I1577"/>
  <c r="I1555"/>
  <c r="I1556"/>
  <c r="D82" i="6"/>
  <c r="B1468" i="5"/>
  <c r="AA1466" s="1"/>
  <c r="G13" i="14" s="1"/>
  <c r="D86" i="6"/>
  <c r="B1552" i="5"/>
  <c r="AA1550" s="1"/>
  <c r="D87" i="6"/>
  <c r="B1573" i="5"/>
  <c r="AA1571" s="1"/>
  <c r="G13" i="13" s="1"/>
  <c r="G14" s="1"/>
  <c r="E92" i="6"/>
  <c r="B1681" i="5"/>
  <c r="D85" i="6"/>
  <c r="B1531" i="5"/>
  <c r="D81" i="6"/>
  <c r="AA1823" i="5" l="1"/>
  <c r="G57" i="17" s="1"/>
  <c r="I1826" i="5"/>
  <c r="I1825"/>
  <c r="V23" i="17"/>
  <c r="G18"/>
  <c r="P17"/>
  <c r="B140" i="12" s="1"/>
  <c r="DD17" i="17"/>
  <c r="N1854" i="5"/>
  <c r="N1811"/>
  <c r="N1790"/>
  <c r="V17" i="13"/>
  <c r="C32" i="20" s="1"/>
  <c r="N1643" i="5"/>
  <c r="N1622"/>
  <c r="AA1487"/>
  <c r="G25" i="14" s="1"/>
  <c r="V17" s="1"/>
  <c r="N1497" i="5"/>
  <c r="G22" i="17"/>
  <c r="P21"/>
  <c r="B144" i="12" s="1"/>
  <c r="D103" i="6" s="1"/>
  <c r="D53" i="25"/>
  <c r="J54"/>
  <c r="G54" s="1"/>
  <c r="E53"/>
  <c r="C54"/>
  <c r="D54" s="1"/>
  <c r="B2623" i="5"/>
  <c r="I2624" s="1"/>
  <c r="P2633" s="1"/>
  <c r="B1951"/>
  <c r="I1952" s="1"/>
  <c r="C46" i="25"/>
  <c r="D46" s="1"/>
  <c r="C45"/>
  <c r="F45" s="1"/>
  <c r="J46" s="1"/>
  <c r="H46" s="1"/>
  <c r="A46" s="1"/>
  <c r="DD21" i="17"/>
  <c r="E36" i="21"/>
  <c r="I1489" i="5"/>
  <c r="I1501" s="1"/>
  <c r="D28" i="21"/>
  <c r="P13" i="17"/>
  <c r="B136" i="12" s="1"/>
  <c r="D102" i="6" s="1"/>
  <c r="D104"/>
  <c r="DD61" i="17"/>
  <c r="E50" i="25"/>
  <c r="C42"/>
  <c r="G14" i="17"/>
  <c r="DD13"/>
  <c r="B2641" i="5"/>
  <c r="I2641" s="1"/>
  <c r="I2653" s="1"/>
  <c r="I1850"/>
  <c r="P1859" s="1"/>
  <c r="I1849"/>
  <c r="P1858" s="1"/>
  <c r="P61" i="17"/>
  <c r="B184" i="12" s="1"/>
  <c r="D108" i="6" s="1"/>
  <c r="G62" i="17"/>
  <c r="E56" i="25"/>
  <c r="N1623" i="5"/>
  <c r="N1644"/>
  <c r="D101" i="6"/>
  <c r="B1954" i="5"/>
  <c r="I1954" s="1"/>
  <c r="P1963" s="1"/>
  <c r="E30" i="21"/>
  <c r="DD9" i="17"/>
  <c r="DC9" s="1"/>
  <c r="C30" i="20"/>
  <c r="C29"/>
  <c r="G10" i="17"/>
  <c r="V12"/>
  <c r="C40" i="25"/>
  <c r="E40" s="1"/>
  <c r="P9" i="17"/>
  <c r="B132" i="12" s="1"/>
  <c r="E101" i="6" s="1"/>
  <c r="E47" i="25"/>
  <c r="C48"/>
  <c r="D48" s="1"/>
  <c r="DD25" i="17"/>
  <c r="P25"/>
  <c r="B148" i="12" s="1"/>
  <c r="E103" i="6" s="1"/>
  <c r="G26" i="17"/>
  <c r="I1712" i="5"/>
  <c r="N1707"/>
  <c r="I1606"/>
  <c r="N1601"/>
  <c r="I1607"/>
  <c r="N1602"/>
  <c r="P1522"/>
  <c r="N1517"/>
  <c r="P1523"/>
  <c r="N1518"/>
  <c r="I1745"/>
  <c r="I1744"/>
  <c r="V27" i="17"/>
  <c r="G34"/>
  <c r="DD33"/>
  <c r="P33"/>
  <c r="B156" i="12" s="1"/>
  <c r="N1728" i="5"/>
  <c r="P1733"/>
  <c r="N1727"/>
  <c r="P1732"/>
  <c r="G27" i="21"/>
  <c r="G29"/>
  <c r="G9" i="13"/>
  <c r="G10" s="1"/>
  <c r="J68" i="25"/>
  <c r="J67"/>
  <c r="H62"/>
  <c r="A62" s="1"/>
  <c r="G62"/>
  <c r="H53"/>
  <c r="A53" s="1"/>
  <c r="G53"/>
  <c r="H61"/>
  <c r="A61" s="1"/>
  <c r="G61"/>
  <c r="G30" i="21"/>
  <c r="G28"/>
  <c r="E67" i="25"/>
  <c r="D67"/>
  <c r="I1867" i="5"/>
  <c r="I1868"/>
  <c r="H36" i="21"/>
  <c r="G36"/>
  <c r="E39" i="25"/>
  <c r="D39"/>
  <c r="P7" i="17"/>
  <c r="B130" i="12" s="1"/>
  <c r="C58" i="25"/>
  <c r="C57"/>
  <c r="J21" i="21"/>
  <c r="H21" s="1"/>
  <c r="J22"/>
  <c r="H22" s="1"/>
  <c r="D68" i="25"/>
  <c r="E68"/>
  <c r="H35" i="21"/>
  <c r="G35"/>
  <c r="D22"/>
  <c r="E22"/>
  <c r="E21"/>
  <c r="D21"/>
  <c r="G10" i="14"/>
  <c r="V13"/>
  <c r="G30"/>
  <c r="V18"/>
  <c r="I1931" i="5"/>
  <c r="I1943" s="1"/>
  <c r="I1930"/>
  <c r="I1942" s="1"/>
  <c r="AA1991"/>
  <c r="H55" i="17" s="1"/>
  <c r="I1670" i="5"/>
  <c r="N1665"/>
  <c r="G46" i="17"/>
  <c r="DD45"/>
  <c r="P45"/>
  <c r="B168" i="12" s="1"/>
  <c r="B1975" i="5"/>
  <c r="E106" i="6"/>
  <c r="V15" i="13"/>
  <c r="G14" i="14"/>
  <c r="V14"/>
  <c r="I1993" i="5"/>
  <c r="I2005" s="1"/>
  <c r="I1994"/>
  <c r="I2006" s="1"/>
  <c r="V18" i="13"/>
  <c r="N1664" i="5"/>
  <c r="I1669"/>
  <c r="H8" i="17"/>
  <c r="DA7"/>
  <c r="P2026" i="5"/>
  <c r="P2027"/>
  <c r="I2665"/>
  <c r="I2666"/>
  <c r="B2599"/>
  <c r="D137" i="6"/>
  <c r="P1564" i="5"/>
  <c r="P1586"/>
  <c r="I1532"/>
  <c r="I1544" s="1"/>
  <c r="I1531"/>
  <c r="AA1676"/>
  <c r="G33" i="13" s="1"/>
  <c r="G34" s="1"/>
  <c r="I1681" i="5"/>
  <c r="I1682"/>
  <c r="I1574"/>
  <c r="I1586" s="1"/>
  <c r="I1573"/>
  <c r="N1580" s="1"/>
  <c r="I1553"/>
  <c r="I1565" s="1"/>
  <c r="I1552"/>
  <c r="N1559" s="1"/>
  <c r="I1469"/>
  <c r="I1468"/>
  <c r="N1475" s="1"/>
  <c r="P1565"/>
  <c r="P1585"/>
  <c r="I1711"/>
  <c r="AA1529"/>
  <c r="I1534"/>
  <c r="I1535"/>
  <c r="P1460"/>
  <c r="N1455"/>
  <c r="I1460"/>
  <c r="C12" i="4"/>
  <c r="A1430" i="5"/>
  <c r="AT1428"/>
  <c r="AS1428"/>
  <c r="AR1428"/>
  <c r="AQ1428"/>
  <c r="AL1428"/>
  <c r="AK1428"/>
  <c r="AJ1428"/>
  <c r="AI1428"/>
  <c r="AH1428"/>
  <c r="AP1428" s="1"/>
  <c r="AG1428"/>
  <c r="AO1428" s="1"/>
  <c r="AF1428"/>
  <c r="AN1428" s="1"/>
  <c r="AT1427"/>
  <c r="AS1427"/>
  <c r="AR1427"/>
  <c r="AQ1427"/>
  <c r="AL1427"/>
  <c r="AK1427"/>
  <c r="AJ1427"/>
  <c r="AI1427"/>
  <c r="AH1427"/>
  <c r="AP1427" s="1"/>
  <c r="AG1427"/>
  <c r="AO1427" s="1"/>
  <c r="AF1427"/>
  <c r="A1427"/>
  <c r="A1425"/>
  <c r="A1410"/>
  <c r="AT1408"/>
  <c r="AS1408"/>
  <c r="AL1408"/>
  <c r="AK1408"/>
  <c r="AJ1408"/>
  <c r="AR1408" s="1"/>
  <c r="AI1408"/>
  <c r="AQ1408" s="1"/>
  <c r="AH1408"/>
  <c r="AP1408" s="1"/>
  <c r="AG1408"/>
  <c r="AO1408" s="1"/>
  <c r="AF1408"/>
  <c r="AN1408" s="1"/>
  <c r="AT1407"/>
  <c r="AS1407"/>
  <c r="AL1407"/>
  <c r="AK1407"/>
  <c r="AJ1407"/>
  <c r="AR1407" s="1"/>
  <c r="AI1407"/>
  <c r="AQ1407" s="1"/>
  <c r="AH1407"/>
  <c r="AP1407" s="1"/>
  <c r="AG1407"/>
  <c r="AF1407"/>
  <c r="AN1407" s="1"/>
  <c r="A1407"/>
  <c r="A1405"/>
  <c r="A1387"/>
  <c r="A1390"/>
  <c r="AT1388"/>
  <c r="AS1388"/>
  <c r="AL1388"/>
  <c r="AK1388"/>
  <c r="AJ1388"/>
  <c r="AR1388" s="1"/>
  <c r="AI1388"/>
  <c r="AQ1388" s="1"/>
  <c r="AH1388"/>
  <c r="AP1388" s="1"/>
  <c r="AG1388"/>
  <c r="AO1388" s="1"/>
  <c r="AF1388"/>
  <c r="AN1388" s="1"/>
  <c r="AT1387"/>
  <c r="AS1387"/>
  <c r="AL1387"/>
  <c r="AK1387"/>
  <c r="AJ1387"/>
  <c r="AR1387" s="1"/>
  <c r="AI1387"/>
  <c r="AQ1387" s="1"/>
  <c r="AH1387"/>
  <c r="AP1387" s="1"/>
  <c r="AG1387"/>
  <c r="AO1387" s="1"/>
  <c r="AF1387"/>
  <c r="A1370"/>
  <c r="AT1368"/>
  <c r="AS1368"/>
  <c r="AL1368"/>
  <c r="AK1368"/>
  <c r="AJ1368"/>
  <c r="AR1368" s="1"/>
  <c r="AI1368"/>
  <c r="AQ1368" s="1"/>
  <c r="AH1368"/>
  <c r="AP1368" s="1"/>
  <c r="AG1368"/>
  <c r="AO1368" s="1"/>
  <c r="AF1368"/>
  <c r="AN1368" s="1"/>
  <c r="AT1367"/>
  <c r="AS1367"/>
  <c r="AL1367"/>
  <c r="AK1367"/>
  <c r="AJ1367"/>
  <c r="AR1367" s="1"/>
  <c r="AI1367"/>
  <c r="AQ1367" s="1"/>
  <c r="AH1367"/>
  <c r="AP1367" s="1"/>
  <c r="AG1367"/>
  <c r="AF1367"/>
  <c r="AN1367" s="1"/>
  <c r="A1367"/>
  <c r="A1365"/>
  <c r="A1347"/>
  <c r="A1350"/>
  <c r="AT1348"/>
  <c r="AS1348"/>
  <c r="AR1348"/>
  <c r="AL1348"/>
  <c r="AK1348"/>
  <c r="AJ1348"/>
  <c r="AI1348"/>
  <c r="AQ1348" s="1"/>
  <c r="AH1348"/>
  <c r="AP1348" s="1"/>
  <c r="AG1348"/>
  <c r="AO1348" s="1"/>
  <c r="AF1348"/>
  <c r="AN1348" s="1"/>
  <c r="AT1347"/>
  <c r="AS1347"/>
  <c r="AR1347"/>
  <c r="AL1347"/>
  <c r="AK1347"/>
  <c r="AJ1347"/>
  <c r="AI1347"/>
  <c r="AQ1347" s="1"/>
  <c r="AH1347"/>
  <c r="AP1347" s="1"/>
  <c r="AG1347"/>
  <c r="AO1347" s="1"/>
  <c r="AF1347"/>
  <c r="A1330"/>
  <c r="AT1328"/>
  <c r="AS1328"/>
  <c r="AR1328"/>
  <c r="AL1328"/>
  <c r="AK1328"/>
  <c r="AJ1328"/>
  <c r="AI1328"/>
  <c r="AQ1328" s="1"/>
  <c r="AH1328"/>
  <c r="AP1328" s="1"/>
  <c r="AG1328"/>
  <c r="AO1328" s="1"/>
  <c r="AF1328"/>
  <c r="AN1328" s="1"/>
  <c r="AT1327"/>
  <c r="AS1327"/>
  <c r="AR1327"/>
  <c r="AL1327"/>
  <c r="AK1327"/>
  <c r="AJ1327"/>
  <c r="AI1327"/>
  <c r="AQ1327" s="1"/>
  <c r="AH1327"/>
  <c r="AP1327" s="1"/>
  <c r="AG1327"/>
  <c r="AO1327" s="1"/>
  <c r="AF1327"/>
  <c r="A1327"/>
  <c r="A1325"/>
  <c r="A1310"/>
  <c r="AT1308"/>
  <c r="AS1308"/>
  <c r="AR1308"/>
  <c r="AQ1308"/>
  <c r="AL1308"/>
  <c r="AK1308"/>
  <c r="AJ1308"/>
  <c r="AI1308"/>
  <c r="AH1308"/>
  <c r="AP1308" s="1"/>
  <c r="AG1308"/>
  <c r="AO1308" s="1"/>
  <c r="AF1308"/>
  <c r="AN1308" s="1"/>
  <c r="AT1307"/>
  <c r="AS1307"/>
  <c r="AR1307"/>
  <c r="AQ1307"/>
  <c r="AL1307"/>
  <c r="AK1307"/>
  <c r="AJ1307"/>
  <c r="AI1307"/>
  <c r="AH1307"/>
  <c r="AP1307" s="1"/>
  <c r="AG1307"/>
  <c r="AO1307" s="1"/>
  <c r="AF1307"/>
  <c r="A1307"/>
  <c r="A1305"/>
  <c r="A1290"/>
  <c r="AT1288"/>
  <c r="AS1288"/>
  <c r="AR1288"/>
  <c r="AQ1288"/>
  <c r="AL1288"/>
  <c r="AK1288"/>
  <c r="AJ1288"/>
  <c r="AI1288"/>
  <c r="AH1288"/>
  <c r="AP1288" s="1"/>
  <c r="AG1288"/>
  <c r="AO1288" s="1"/>
  <c r="AF1288"/>
  <c r="AN1288" s="1"/>
  <c r="AT1287"/>
  <c r="AS1287"/>
  <c r="AR1287"/>
  <c r="AQ1287"/>
  <c r="AL1287"/>
  <c r="AK1287"/>
  <c r="AJ1287"/>
  <c r="AI1287"/>
  <c r="AH1287"/>
  <c r="AP1287" s="1"/>
  <c r="AG1287"/>
  <c r="AF1287"/>
  <c r="AN1287" s="1"/>
  <c r="A1287"/>
  <c r="A1285"/>
  <c r="A1270"/>
  <c r="AT1268"/>
  <c r="AS1268"/>
  <c r="AR1268"/>
  <c r="AQ1268"/>
  <c r="AL1268"/>
  <c r="AK1268"/>
  <c r="AJ1268"/>
  <c r="AI1268"/>
  <c r="AH1268"/>
  <c r="AP1268" s="1"/>
  <c r="AG1268"/>
  <c r="AO1268" s="1"/>
  <c r="AF1268"/>
  <c r="AN1268" s="1"/>
  <c r="AT1267"/>
  <c r="AS1267"/>
  <c r="AR1267"/>
  <c r="AQ1267"/>
  <c r="AL1267"/>
  <c r="AK1267"/>
  <c r="AJ1267"/>
  <c r="AI1267"/>
  <c r="AH1267"/>
  <c r="AP1267" s="1"/>
  <c r="AG1267"/>
  <c r="AO1267" s="1"/>
  <c r="AF1267"/>
  <c r="A1267"/>
  <c r="A1265"/>
  <c r="A1250"/>
  <c r="AT1248"/>
  <c r="AS1248"/>
  <c r="AR1248"/>
  <c r="AL1248"/>
  <c r="AK1248"/>
  <c r="AJ1248"/>
  <c r="AI1248"/>
  <c r="AQ1248" s="1"/>
  <c r="AH1248"/>
  <c r="AP1248" s="1"/>
  <c r="AG1248"/>
  <c r="AO1248" s="1"/>
  <c r="AF1248"/>
  <c r="AN1248" s="1"/>
  <c r="AT1247"/>
  <c r="AS1247"/>
  <c r="AR1247"/>
  <c r="AL1247"/>
  <c r="AK1247"/>
  <c r="AJ1247"/>
  <c r="AI1247"/>
  <c r="AQ1247" s="1"/>
  <c r="AH1247"/>
  <c r="AP1247" s="1"/>
  <c r="AG1247"/>
  <c r="AF1247"/>
  <c r="AN1247" s="1"/>
  <c r="A1247"/>
  <c r="A1245"/>
  <c r="A1227"/>
  <c r="A1230"/>
  <c r="AT1228"/>
  <c r="AS1228"/>
  <c r="AR1228"/>
  <c r="AL1228"/>
  <c r="AK1228"/>
  <c r="AJ1228"/>
  <c r="AI1228"/>
  <c r="AQ1228" s="1"/>
  <c r="AH1228"/>
  <c r="AP1228" s="1"/>
  <c r="AG1228"/>
  <c r="AO1228" s="1"/>
  <c r="AF1228"/>
  <c r="AN1228" s="1"/>
  <c r="AT1227"/>
  <c r="AS1227"/>
  <c r="AR1227"/>
  <c r="AL1227"/>
  <c r="AK1227"/>
  <c r="AJ1227"/>
  <c r="AI1227"/>
  <c r="AQ1227" s="1"/>
  <c r="AH1227"/>
  <c r="AP1227" s="1"/>
  <c r="AG1227"/>
  <c r="AO1227" s="1"/>
  <c r="AF1227"/>
  <c r="A1210"/>
  <c r="AT1208"/>
  <c r="AS1208"/>
  <c r="AR1208"/>
  <c r="AL1208"/>
  <c r="AK1208"/>
  <c r="AJ1208"/>
  <c r="AI1208"/>
  <c r="AQ1208" s="1"/>
  <c r="AH1208"/>
  <c r="AP1208" s="1"/>
  <c r="AG1208"/>
  <c r="AO1208" s="1"/>
  <c r="AF1208"/>
  <c r="AN1208" s="1"/>
  <c r="AT1207"/>
  <c r="AS1207"/>
  <c r="AR1207"/>
  <c r="AL1207"/>
  <c r="AK1207"/>
  <c r="AJ1207"/>
  <c r="AI1207"/>
  <c r="AQ1207" s="1"/>
  <c r="AH1207"/>
  <c r="AP1207" s="1"/>
  <c r="AG1207"/>
  <c r="AF1207"/>
  <c r="AN1207" s="1"/>
  <c r="A1207"/>
  <c r="A1205"/>
  <c r="A1187"/>
  <c r="A1190"/>
  <c r="AT1188"/>
  <c r="AS1188"/>
  <c r="AR1188"/>
  <c r="AL1188"/>
  <c r="AK1188"/>
  <c r="AJ1188"/>
  <c r="AI1188"/>
  <c r="AQ1188" s="1"/>
  <c r="AH1188"/>
  <c r="AP1188" s="1"/>
  <c r="AG1188"/>
  <c r="AO1188" s="1"/>
  <c r="AF1188"/>
  <c r="AN1188" s="1"/>
  <c r="AT1187"/>
  <c r="AS1187"/>
  <c r="AL1187"/>
  <c r="AK1187"/>
  <c r="AJ1187"/>
  <c r="AR1187" s="1"/>
  <c r="AI1187"/>
  <c r="AQ1187" s="1"/>
  <c r="AH1187"/>
  <c r="AP1187" s="1"/>
  <c r="AG1187"/>
  <c r="AO1187" s="1"/>
  <c r="AF1187"/>
  <c r="A1170"/>
  <c r="AT1168"/>
  <c r="AS1168"/>
  <c r="AR1168"/>
  <c r="AQ1168"/>
  <c r="AL1168"/>
  <c r="AK1168"/>
  <c r="AJ1168"/>
  <c r="AI1168"/>
  <c r="AH1168"/>
  <c r="AP1168" s="1"/>
  <c r="AG1168"/>
  <c r="AO1168" s="1"/>
  <c r="AF1168"/>
  <c r="AN1168" s="1"/>
  <c r="AT1167"/>
  <c r="AS1167"/>
  <c r="AR1167"/>
  <c r="AQ1167"/>
  <c r="AL1167"/>
  <c r="AK1167"/>
  <c r="AJ1167"/>
  <c r="AI1167"/>
  <c r="AH1167"/>
  <c r="AP1167" s="1"/>
  <c r="AG1167"/>
  <c r="AO1167" s="1"/>
  <c r="AF1167"/>
  <c r="A1167"/>
  <c r="A1165"/>
  <c r="A1150"/>
  <c r="AT1148"/>
  <c r="AS1148"/>
  <c r="AL1148"/>
  <c r="AK1148"/>
  <c r="AJ1148"/>
  <c r="AR1148" s="1"/>
  <c r="AI1148"/>
  <c r="AQ1148" s="1"/>
  <c r="AH1148"/>
  <c r="AP1148" s="1"/>
  <c r="AG1148"/>
  <c r="AO1148" s="1"/>
  <c r="AF1148"/>
  <c r="AN1148" s="1"/>
  <c r="AT1147"/>
  <c r="AS1147"/>
  <c r="AR1147"/>
  <c r="AL1147"/>
  <c r="AK1147"/>
  <c r="AJ1147"/>
  <c r="AI1147"/>
  <c r="AQ1147" s="1"/>
  <c r="AH1147"/>
  <c r="AP1147" s="1"/>
  <c r="AG1147"/>
  <c r="AO1147" s="1"/>
  <c r="AF1147"/>
  <c r="A1147"/>
  <c r="A1145"/>
  <c r="A1130"/>
  <c r="AT1128"/>
  <c r="AS1128"/>
  <c r="AR1128"/>
  <c r="AQ1128"/>
  <c r="AL1128"/>
  <c r="AK1128"/>
  <c r="AJ1128"/>
  <c r="AI1128"/>
  <c r="AH1128"/>
  <c r="AP1128" s="1"/>
  <c r="AG1128"/>
  <c r="AO1128" s="1"/>
  <c r="AF1128"/>
  <c r="AN1128" s="1"/>
  <c r="AT1127"/>
  <c r="AS1127"/>
  <c r="AR1127"/>
  <c r="AQ1127"/>
  <c r="AL1127"/>
  <c r="AK1127"/>
  <c r="AJ1127"/>
  <c r="AI1127"/>
  <c r="AH1127"/>
  <c r="AP1127" s="1"/>
  <c r="AG1127"/>
  <c r="AF1127"/>
  <c r="AN1127" s="1"/>
  <c r="A1127"/>
  <c r="A1125"/>
  <c r="A1110"/>
  <c r="AT1108"/>
  <c r="AS1108"/>
  <c r="AL1108"/>
  <c r="AK1108"/>
  <c r="AJ1108"/>
  <c r="AR1108" s="1"/>
  <c r="AI1108"/>
  <c r="AQ1108" s="1"/>
  <c r="AH1108"/>
  <c r="AP1108" s="1"/>
  <c r="AG1108"/>
  <c r="AO1108" s="1"/>
  <c r="AF1108"/>
  <c r="AN1108" s="1"/>
  <c r="AT1107"/>
  <c r="AS1107"/>
  <c r="AL1107"/>
  <c r="AK1107"/>
  <c r="AJ1107"/>
  <c r="AR1107" s="1"/>
  <c r="AI1107"/>
  <c r="AQ1107" s="1"/>
  <c r="AH1107"/>
  <c r="AP1107" s="1"/>
  <c r="AG1107"/>
  <c r="AO1107" s="1"/>
  <c r="AF1107"/>
  <c r="A1107"/>
  <c r="A1105"/>
  <c r="A1090"/>
  <c r="AT1088"/>
  <c r="AS1088"/>
  <c r="AR1088"/>
  <c r="AL1088"/>
  <c r="AK1088"/>
  <c r="AJ1088"/>
  <c r="AI1088"/>
  <c r="AQ1088" s="1"/>
  <c r="AH1088"/>
  <c r="AP1088" s="1"/>
  <c r="AG1088"/>
  <c r="AO1088" s="1"/>
  <c r="AF1088"/>
  <c r="AN1088" s="1"/>
  <c r="AT1087"/>
  <c r="AS1087"/>
  <c r="AR1087"/>
  <c r="AL1087"/>
  <c r="AK1087"/>
  <c r="AJ1087"/>
  <c r="AI1087"/>
  <c r="AQ1087" s="1"/>
  <c r="AH1087"/>
  <c r="AP1087" s="1"/>
  <c r="AG1087"/>
  <c r="AF1087"/>
  <c r="AN1087" s="1"/>
  <c r="A1087"/>
  <c r="A1085"/>
  <c r="A1067"/>
  <c r="A1070"/>
  <c r="AT1068"/>
  <c r="AS1068"/>
  <c r="AL1068"/>
  <c r="AK1068"/>
  <c r="AJ1068"/>
  <c r="AR1068" s="1"/>
  <c r="AI1068"/>
  <c r="AQ1068" s="1"/>
  <c r="AH1068"/>
  <c r="AP1068" s="1"/>
  <c r="AG1068"/>
  <c r="AO1068" s="1"/>
  <c r="AF1068"/>
  <c r="AN1068" s="1"/>
  <c r="AT1067"/>
  <c r="AS1067"/>
  <c r="AL1067"/>
  <c r="AK1067"/>
  <c r="AJ1067"/>
  <c r="AR1067" s="1"/>
  <c r="AI1067"/>
  <c r="AQ1067" s="1"/>
  <c r="AH1067"/>
  <c r="AP1067" s="1"/>
  <c r="AG1067"/>
  <c r="AO1067" s="1"/>
  <c r="AF1067"/>
  <c r="A1050"/>
  <c r="AT1048"/>
  <c r="AS1048"/>
  <c r="AR1048"/>
  <c r="AL1048"/>
  <c r="AK1048"/>
  <c r="AJ1048"/>
  <c r="AI1048"/>
  <c r="AQ1048" s="1"/>
  <c r="AH1048"/>
  <c r="AP1048" s="1"/>
  <c r="AG1048"/>
  <c r="AO1048" s="1"/>
  <c r="AF1048"/>
  <c r="AN1048" s="1"/>
  <c r="AT1047"/>
  <c r="AS1047"/>
  <c r="AR1047"/>
  <c r="AL1047"/>
  <c r="AK1047"/>
  <c r="AJ1047"/>
  <c r="AI1047"/>
  <c r="AQ1047" s="1"/>
  <c r="AH1047"/>
  <c r="AP1047" s="1"/>
  <c r="AG1047"/>
  <c r="AF1047"/>
  <c r="AN1047" s="1"/>
  <c r="A1047"/>
  <c r="A1045"/>
  <c r="A1027"/>
  <c r="A1030"/>
  <c r="AT1028"/>
  <c r="AS1028"/>
  <c r="AL1028"/>
  <c r="AK1028"/>
  <c r="AJ1028"/>
  <c r="AR1028" s="1"/>
  <c r="AI1028"/>
  <c r="AQ1028" s="1"/>
  <c r="AH1028"/>
  <c r="AP1028" s="1"/>
  <c r="AG1028"/>
  <c r="AO1028" s="1"/>
  <c r="AF1028"/>
  <c r="AN1028" s="1"/>
  <c r="AT1027"/>
  <c r="AS1027"/>
  <c r="AL1027"/>
  <c r="AK1027"/>
  <c r="AJ1027"/>
  <c r="AR1027" s="1"/>
  <c r="AI1027"/>
  <c r="AQ1027" s="1"/>
  <c r="AH1027"/>
  <c r="AP1027" s="1"/>
  <c r="AG1027"/>
  <c r="AO1027" s="1"/>
  <c r="AF1027"/>
  <c r="A1010"/>
  <c r="AT1008"/>
  <c r="AS1008"/>
  <c r="AR1008"/>
  <c r="AL1008"/>
  <c r="AK1008"/>
  <c r="AJ1008"/>
  <c r="AI1008"/>
  <c r="AQ1008" s="1"/>
  <c r="AH1008"/>
  <c r="AP1008" s="1"/>
  <c r="AG1008"/>
  <c r="AO1008" s="1"/>
  <c r="AF1008"/>
  <c r="AN1008" s="1"/>
  <c r="AT1007"/>
  <c r="AS1007"/>
  <c r="AR1007"/>
  <c r="AL1007"/>
  <c r="AK1007"/>
  <c r="AJ1007"/>
  <c r="AI1007"/>
  <c r="AQ1007" s="1"/>
  <c r="AH1007"/>
  <c r="AP1007" s="1"/>
  <c r="AG1007"/>
  <c r="AO1007" s="1"/>
  <c r="AF1007"/>
  <c r="A1007"/>
  <c r="A1005"/>
  <c r="A990"/>
  <c r="AT988"/>
  <c r="AS988"/>
  <c r="AR988"/>
  <c r="AL988"/>
  <c r="AK988"/>
  <c r="AJ988"/>
  <c r="AI988"/>
  <c r="AQ988" s="1"/>
  <c r="AH988"/>
  <c r="AP988" s="1"/>
  <c r="AG988"/>
  <c r="AO988" s="1"/>
  <c r="AF988"/>
  <c r="AN988" s="1"/>
  <c r="AT987"/>
  <c r="AS987"/>
  <c r="AR987"/>
  <c r="AL987"/>
  <c r="AK987"/>
  <c r="AJ987"/>
  <c r="AI987"/>
  <c r="AQ987" s="1"/>
  <c r="AH987"/>
  <c r="AP987" s="1"/>
  <c r="AG987"/>
  <c r="AO987" s="1"/>
  <c r="AF987"/>
  <c r="A987"/>
  <c r="A985"/>
  <c r="A970"/>
  <c r="AT968"/>
  <c r="AS968"/>
  <c r="AR968"/>
  <c r="AQ968"/>
  <c r="AL968"/>
  <c r="AK968"/>
  <c r="AJ968"/>
  <c r="AI968"/>
  <c r="AH968"/>
  <c r="AP968" s="1"/>
  <c r="AG968"/>
  <c r="AO968" s="1"/>
  <c r="AF968"/>
  <c r="AN968" s="1"/>
  <c r="AT967"/>
  <c r="AS967"/>
  <c r="AR967"/>
  <c r="AQ967"/>
  <c r="AL967"/>
  <c r="AK967"/>
  <c r="AJ967"/>
  <c r="AI967"/>
  <c r="AH967"/>
  <c r="AP967" s="1"/>
  <c r="AG967"/>
  <c r="AF967"/>
  <c r="AN967" s="1"/>
  <c r="A967"/>
  <c r="A965"/>
  <c r="A950"/>
  <c r="AT948"/>
  <c r="AS948"/>
  <c r="AR948"/>
  <c r="AQ948"/>
  <c r="AL948"/>
  <c r="AK948"/>
  <c r="AJ948"/>
  <c r="AI948"/>
  <c r="AH948"/>
  <c r="AP948" s="1"/>
  <c r="AG948"/>
  <c r="AO948" s="1"/>
  <c r="AF948"/>
  <c r="AN948" s="1"/>
  <c r="AT947"/>
  <c r="AS947"/>
  <c r="AR947"/>
  <c r="AQ947"/>
  <c r="AL947"/>
  <c r="AK947"/>
  <c r="AJ947"/>
  <c r="AI947"/>
  <c r="AH947"/>
  <c r="AP947" s="1"/>
  <c r="AG947"/>
  <c r="AO947" s="1"/>
  <c r="AF947"/>
  <c r="A947"/>
  <c r="A945"/>
  <c r="A930"/>
  <c r="AT928"/>
  <c r="AS928"/>
  <c r="AR928"/>
  <c r="AL928"/>
  <c r="AK928"/>
  <c r="AJ928"/>
  <c r="AI928"/>
  <c r="AQ928" s="1"/>
  <c r="AH928"/>
  <c r="AP928" s="1"/>
  <c r="AG928"/>
  <c r="AO928" s="1"/>
  <c r="AF928"/>
  <c r="AN928" s="1"/>
  <c r="AT927"/>
  <c r="AS927"/>
  <c r="AL927"/>
  <c r="AK927"/>
  <c r="AJ927"/>
  <c r="AR927" s="1"/>
  <c r="AI927"/>
  <c r="AQ927" s="1"/>
  <c r="AH927"/>
  <c r="AP927" s="1"/>
  <c r="AG927"/>
  <c r="AF927"/>
  <c r="AN927" s="1"/>
  <c r="A927"/>
  <c r="A925"/>
  <c r="A907"/>
  <c r="A910"/>
  <c r="AT908"/>
  <c r="AS908"/>
  <c r="AL908"/>
  <c r="AK908"/>
  <c r="AJ908"/>
  <c r="AR908" s="1"/>
  <c r="AI908"/>
  <c r="AQ908" s="1"/>
  <c r="AH908"/>
  <c r="AP908" s="1"/>
  <c r="AG908"/>
  <c r="AO908" s="1"/>
  <c r="AF908"/>
  <c r="AN908" s="1"/>
  <c r="AT907"/>
  <c r="AS907"/>
  <c r="AL907"/>
  <c r="AK907"/>
  <c r="AJ907"/>
  <c r="AR907" s="1"/>
  <c r="AI907"/>
  <c r="AQ907" s="1"/>
  <c r="AH907"/>
  <c r="AP907" s="1"/>
  <c r="AG907"/>
  <c r="AO907" s="1"/>
  <c r="AF907"/>
  <c r="A890"/>
  <c r="AT888"/>
  <c r="AS888"/>
  <c r="AR888"/>
  <c r="AQ888"/>
  <c r="AL888"/>
  <c r="AK888"/>
  <c r="AJ888"/>
  <c r="AI888"/>
  <c r="AH888"/>
  <c r="AP888" s="1"/>
  <c r="AG888"/>
  <c r="AO888" s="1"/>
  <c r="AF888"/>
  <c r="AN888" s="1"/>
  <c r="AT887"/>
  <c r="AS887"/>
  <c r="AR887"/>
  <c r="AQ887"/>
  <c r="AL887"/>
  <c r="AK887"/>
  <c r="AJ887"/>
  <c r="AI887"/>
  <c r="AH887"/>
  <c r="AP887" s="1"/>
  <c r="AG887"/>
  <c r="AF887"/>
  <c r="AN887" s="1"/>
  <c r="A887"/>
  <c r="A885"/>
  <c r="A867"/>
  <c r="A870"/>
  <c r="AT868"/>
  <c r="AS868"/>
  <c r="AR868"/>
  <c r="AQ868"/>
  <c r="AL868"/>
  <c r="AK868"/>
  <c r="AJ868"/>
  <c r="AI868"/>
  <c r="AH868"/>
  <c r="AP868" s="1"/>
  <c r="AG868"/>
  <c r="AO868" s="1"/>
  <c r="AF868"/>
  <c r="AN868" s="1"/>
  <c r="AT867"/>
  <c r="AS867"/>
  <c r="AR867"/>
  <c r="AQ867"/>
  <c r="AL867"/>
  <c r="AK867"/>
  <c r="AJ867"/>
  <c r="AI867"/>
  <c r="AH867"/>
  <c r="AP867" s="1"/>
  <c r="AG867"/>
  <c r="AO867" s="1"/>
  <c r="AF867"/>
  <c r="A850"/>
  <c r="AT848"/>
  <c r="AS848"/>
  <c r="AL848"/>
  <c r="AK848"/>
  <c r="AJ848"/>
  <c r="AR848" s="1"/>
  <c r="AI848"/>
  <c r="AQ848" s="1"/>
  <c r="AH848"/>
  <c r="AP848" s="1"/>
  <c r="AG848"/>
  <c r="AO848" s="1"/>
  <c r="AF848"/>
  <c r="AN848" s="1"/>
  <c r="AT847"/>
  <c r="AS847"/>
  <c r="AL847"/>
  <c r="AK847"/>
  <c r="AJ847"/>
  <c r="AR847" s="1"/>
  <c r="AI847"/>
  <c r="AQ847" s="1"/>
  <c r="AH847"/>
  <c r="AP847" s="1"/>
  <c r="AG847"/>
  <c r="AO847" s="1"/>
  <c r="AF847"/>
  <c r="A847"/>
  <c r="A845"/>
  <c r="A830"/>
  <c r="AT828"/>
  <c r="AS828"/>
  <c r="AL828"/>
  <c r="AK828"/>
  <c r="AJ828"/>
  <c r="AR828" s="1"/>
  <c r="AI828"/>
  <c r="AQ828" s="1"/>
  <c r="AH828"/>
  <c r="AP828" s="1"/>
  <c r="AG828"/>
  <c r="AO828" s="1"/>
  <c r="AF828"/>
  <c r="AN828" s="1"/>
  <c r="AT827"/>
  <c r="AS827"/>
  <c r="AL827"/>
  <c r="AK827"/>
  <c r="AJ827"/>
  <c r="AR827" s="1"/>
  <c r="AI827"/>
  <c r="AQ827" s="1"/>
  <c r="AH827"/>
  <c r="AP827" s="1"/>
  <c r="AG827"/>
  <c r="AO827" s="1"/>
  <c r="AF827"/>
  <c r="A827"/>
  <c r="A825"/>
  <c r="A810"/>
  <c r="AT808"/>
  <c r="AS808"/>
  <c r="AR808"/>
  <c r="AL808"/>
  <c r="AK808"/>
  <c r="AJ808"/>
  <c r="AI808"/>
  <c r="AQ808" s="1"/>
  <c r="AH808"/>
  <c r="AP808" s="1"/>
  <c r="AG808"/>
  <c r="AO808" s="1"/>
  <c r="AF808"/>
  <c r="AN808" s="1"/>
  <c r="AT807"/>
  <c r="AS807"/>
  <c r="AR807"/>
  <c r="AL807"/>
  <c r="AK807"/>
  <c r="AJ807"/>
  <c r="AI807"/>
  <c r="AQ807" s="1"/>
  <c r="AH807"/>
  <c r="AP807" s="1"/>
  <c r="AG807"/>
  <c r="AF807"/>
  <c r="AN807" s="1"/>
  <c r="A807"/>
  <c r="A805"/>
  <c r="A790"/>
  <c r="AT788"/>
  <c r="AS788"/>
  <c r="AR788"/>
  <c r="AL788"/>
  <c r="AK788"/>
  <c r="AJ788"/>
  <c r="AI788"/>
  <c r="AQ788" s="1"/>
  <c r="AH788"/>
  <c r="AP788" s="1"/>
  <c r="AG788"/>
  <c r="AO788" s="1"/>
  <c r="AF788"/>
  <c r="AN788" s="1"/>
  <c r="AT787"/>
  <c r="AS787"/>
  <c r="AL787"/>
  <c r="AK787"/>
  <c r="AJ787"/>
  <c r="AR787" s="1"/>
  <c r="AI787"/>
  <c r="AQ787" s="1"/>
  <c r="AH787"/>
  <c r="AP787" s="1"/>
  <c r="AG787"/>
  <c r="AO787" s="1"/>
  <c r="AF787"/>
  <c r="A787"/>
  <c r="A785"/>
  <c r="A770"/>
  <c r="AT768"/>
  <c r="AS768"/>
  <c r="AR768"/>
  <c r="AL768"/>
  <c r="AK768"/>
  <c r="AJ768"/>
  <c r="AI768"/>
  <c r="AQ768" s="1"/>
  <c r="AH768"/>
  <c r="AP768" s="1"/>
  <c r="AG768"/>
  <c r="AO768" s="1"/>
  <c r="AF768"/>
  <c r="AN768" s="1"/>
  <c r="AT767"/>
  <c r="AS767"/>
  <c r="AR767"/>
  <c r="AL767"/>
  <c r="AK767"/>
  <c r="AJ767"/>
  <c r="AI767"/>
  <c r="AQ767" s="1"/>
  <c r="AH767"/>
  <c r="AP767" s="1"/>
  <c r="AG767"/>
  <c r="AF767"/>
  <c r="AN767" s="1"/>
  <c r="A767"/>
  <c r="A765"/>
  <c r="A747"/>
  <c r="A750"/>
  <c r="AT748"/>
  <c r="AS748"/>
  <c r="AL748"/>
  <c r="AK748"/>
  <c r="AJ748"/>
  <c r="AR748" s="1"/>
  <c r="AI748"/>
  <c r="AQ748" s="1"/>
  <c r="AH748"/>
  <c r="AP748" s="1"/>
  <c r="AG748"/>
  <c r="AO748" s="1"/>
  <c r="AF748"/>
  <c r="AN748" s="1"/>
  <c r="AT747"/>
  <c r="AS747"/>
  <c r="AL747"/>
  <c r="AK747"/>
  <c r="AJ747"/>
  <c r="AR747" s="1"/>
  <c r="AI747"/>
  <c r="AQ747" s="1"/>
  <c r="AH747"/>
  <c r="AP747" s="1"/>
  <c r="AG747"/>
  <c r="AO747" s="1"/>
  <c r="AF747"/>
  <c r="A730"/>
  <c r="AT728"/>
  <c r="AS728"/>
  <c r="AL728"/>
  <c r="AK728"/>
  <c r="AJ728"/>
  <c r="AR728" s="1"/>
  <c r="AI728"/>
  <c r="AQ728" s="1"/>
  <c r="AH728"/>
  <c r="AP728" s="1"/>
  <c r="AG728"/>
  <c r="AO728" s="1"/>
  <c r="AF728"/>
  <c r="AN728" s="1"/>
  <c r="AT727"/>
  <c r="AS727"/>
  <c r="AL727"/>
  <c r="AK727"/>
  <c r="AJ727"/>
  <c r="AR727" s="1"/>
  <c r="AI727"/>
  <c r="AQ727" s="1"/>
  <c r="AH727"/>
  <c r="AP727" s="1"/>
  <c r="AG727"/>
  <c r="AF727"/>
  <c r="AN727" s="1"/>
  <c r="A727"/>
  <c r="A725"/>
  <c r="A707"/>
  <c r="A710"/>
  <c r="AT708"/>
  <c r="AS708"/>
  <c r="AR708"/>
  <c r="AL708"/>
  <c r="AK708"/>
  <c r="AJ708"/>
  <c r="AI708"/>
  <c r="AQ708" s="1"/>
  <c r="AH708"/>
  <c r="AP708" s="1"/>
  <c r="AG708"/>
  <c r="AO708" s="1"/>
  <c r="AF708"/>
  <c r="AN708" s="1"/>
  <c r="AT707"/>
  <c r="AS707"/>
  <c r="AL707"/>
  <c r="AK707"/>
  <c r="AJ707"/>
  <c r="AR707" s="1"/>
  <c r="AI707"/>
  <c r="AQ707" s="1"/>
  <c r="AH707"/>
  <c r="AP707" s="1"/>
  <c r="AG707"/>
  <c r="AO707" s="1"/>
  <c r="AF707"/>
  <c r="A690"/>
  <c r="AT688"/>
  <c r="AS688"/>
  <c r="AR688"/>
  <c r="AQ688"/>
  <c r="AL688"/>
  <c r="AK688"/>
  <c r="AJ688"/>
  <c r="AI688"/>
  <c r="AH688"/>
  <c r="AP688" s="1"/>
  <c r="AG688"/>
  <c r="AO688" s="1"/>
  <c r="AF688"/>
  <c r="AN688" s="1"/>
  <c r="AT687"/>
  <c r="AS687"/>
  <c r="AR687"/>
  <c r="AQ687"/>
  <c r="AL687"/>
  <c r="AK687"/>
  <c r="AJ687"/>
  <c r="AI687"/>
  <c r="AH687"/>
  <c r="AP687" s="1"/>
  <c r="AG687"/>
  <c r="AO687" s="1"/>
  <c r="AF687"/>
  <c r="A687"/>
  <c r="A685"/>
  <c r="A670"/>
  <c r="AT668"/>
  <c r="AS668"/>
  <c r="AR668"/>
  <c r="AL668"/>
  <c r="AK668"/>
  <c r="AJ668"/>
  <c r="AI668"/>
  <c r="AQ668" s="1"/>
  <c r="AH668"/>
  <c r="AP668" s="1"/>
  <c r="AG668"/>
  <c r="AO668" s="1"/>
  <c r="AF668"/>
  <c r="AN668" s="1"/>
  <c r="AT667"/>
  <c r="AS667"/>
  <c r="AR667"/>
  <c r="AL667"/>
  <c r="AK667"/>
  <c r="AJ667"/>
  <c r="AI667"/>
  <c r="AQ667" s="1"/>
  <c r="AH667"/>
  <c r="AP667" s="1"/>
  <c r="AG667"/>
  <c r="AO667" s="1"/>
  <c r="AF667"/>
  <c r="A667"/>
  <c r="A665"/>
  <c r="A650"/>
  <c r="AT648"/>
  <c r="AS648"/>
  <c r="AR648"/>
  <c r="AL648"/>
  <c r="AK648"/>
  <c r="AJ648"/>
  <c r="AI648"/>
  <c r="AQ648" s="1"/>
  <c r="AH648"/>
  <c r="AP648" s="1"/>
  <c r="AG648"/>
  <c r="AO648" s="1"/>
  <c r="AF648"/>
  <c r="AN648" s="1"/>
  <c r="AT647"/>
  <c r="AS647"/>
  <c r="AR647"/>
  <c r="AL647"/>
  <c r="AK647"/>
  <c r="AJ647"/>
  <c r="AI647"/>
  <c r="AQ647" s="1"/>
  <c r="AH647"/>
  <c r="AP647" s="1"/>
  <c r="AG647"/>
  <c r="AF647"/>
  <c r="AN647" s="1"/>
  <c r="A647"/>
  <c r="A645"/>
  <c r="A630"/>
  <c r="AT628"/>
  <c r="AS628"/>
  <c r="AR628"/>
  <c r="AL628"/>
  <c r="AK628"/>
  <c r="AJ628"/>
  <c r="AI628"/>
  <c r="AQ628" s="1"/>
  <c r="AH628"/>
  <c r="AP628" s="1"/>
  <c r="AG628"/>
  <c r="AO628" s="1"/>
  <c r="AF628"/>
  <c r="AN628" s="1"/>
  <c r="AT627"/>
  <c r="AS627"/>
  <c r="AR627"/>
  <c r="AQ627"/>
  <c r="AL627"/>
  <c r="AK627"/>
  <c r="AJ627"/>
  <c r="AI627"/>
  <c r="AH627"/>
  <c r="AP627" s="1"/>
  <c r="AG627"/>
  <c r="AO627" s="1"/>
  <c r="AF627"/>
  <c r="A627"/>
  <c r="A625"/>
  <c r="A610"/>
  <c r="AT608"/>
  <c r="AS608"/>
  <c r="AR608"/>
  <c r="AQ608"/>
  <c r="AL608"/>
  <c r="AK608"/>
  <c r="AJ608"/>
  <c r="AI608"/>
  <c r="AH608"/>
  <c r="AP608" s="1"/>
  <c r="AG608"/>
  <c r="AO608" s="1"/>
  <c r="AF608"/>
  <c r="AN608" s="1"/>
  <c r="AT607"/>
  <c r="AS607"/>
  <c r="AR607"/>
  <c r="AQ607"/>
  <c r="AL607"/>
  <c r="AK607"/>
  <c r="AJ607"/>
  <c r="AI607"/>
  <c r="AH607"/>
  <c r="AP607" s="1"/>
  <c r="AG607"/>
  <c r="AF607"/>
  <c r="AN607" s="1"/>
  <c r="A607"/>
  <c r="A605"/>
  <c r="A587"/>
  <c r="A590"/>
  <c r="AT588"/>
  <c r="AS588"/>
  <c r="AR588"/>
  <c r="AQ588"/>
  <c r="AL588"/>
  <c r="AK588"/>
  <c r="AJ588"/>
  <c r="AI588"/>
  <c r="AH588"/>
  <c r="AP588" s="1"/>
  <c r="AG588"/>
  <c r="AO588" s="1"/>
  <c r="AF588"/>
  <c r="AN588" s="1"/>
  <c r="AT587"/>
  <c r="AS587"/>
  <c r="AR587"/>
  <c r="AQ587"/>
  <c r="AL587"/>
  <c r="AK587"/>
  <c r="AJ587"/>
  <c r="AI587"/>
  <c r="AH587"/>
  <c r="AP587" s="1"/>
  <c r="AG587"/>
  <c r="AO587" s="1"/>
  <c r="AF587"/>
  <c r="A570"/>
  <c r="AT568"/>
  <c r="AS568"/>
  <c r="AR568"/>
  <c r="AL568"/>
  <c r="AK568"/>
  <c r="AJ568"/>
  <c r="AI568"/>
  <c r="AQ568" s="1"/>
  <c r="AH568"/>
  <c r="AP568" s="1"/>
  <c r="AG568"/>
  <c r="AO568" s="1"/>
  <c r="AF568"/>
  <c r="AN568" s="1"/>
  <c r="AT567"/>
  <c r="AS567"/>
  <c r="AR567"/>
  <c r="AL567"/>
  <c r="AK567"/>
  <c r="AJ567"/>
  <c r="AI567"/>
  <c r="AQ567" s="1"/>
  <c r="AH567"/>
  <c r="AP567" s="1"/>
  <c r="AG567"/>
  <c r="AF567"/>
  <c r="AN567" s="1"/>
  <c r="A567"/>
  <c r="A565"/>
  <c r="A547"/>
  <c r="A550"/>
  <c r="AT548"/>
  <c r="AS548"/>
  <c r="AR548"/>
  <c r="AQ548"/>
  <c r="AL548"/>
  <c r="AK548"/>
  <c r="AJ548"/>
  <c r="AI548"/>
  <c r="AH548"/>
  <c r="AP548" s="1"/>
  <c r="AG548"/>
  <c r="AO548" s="1"/>
  <c r="AF548"/>
  <c r="AN548" s="1"/>
  <c r="AT547"/>
  <c r="AS547"/>
  <c r="AR547"/>
  <c r="AQ547"/>
  <c r="AL547"/>
  <c r="AK547"/>
  <c r="AJ547"/>
  <c r="AI547"/>
  <c r="AH547"/>
  <c r="AP547" s="1"/>
  <c r="AG547"/>
  <c r="AO547" s="1"/>
  <c r="AF547"/>
  <c r="A530"/>
  <c r="AT528"/>
  <c r="AS528"/>
  <c r="AL528"/>
  <c r="AK528"/>
  <c r="AJ528"/>
  <c r="AR528" s="1"/>
  <c r="AI528"/>
  <c r="AQ528" s="1"/>
  <c r="AH528"/>
  <c r="AP528" s="1"/>
  <c r="AG528"/>
  <c r="AO528" s="1"/>
  <c r="AF528"/>
  <c r="AN528" s="1"/>
  <c r="AT527"/>
  <c r="AS527"/>
  <c r="AL527"/>
  <c r="AK527"/>
  <c r="AJ527"/>
  <c r="AR527" s="1"/>
  <c r="AI527"/>
  <c r="AQ527" s="1"/>
  <c r="AH527"/>
  <c r="AP527" s="1"/>
  <c r="AG527"/>
  <c r="AO527" s="1"/>
  <c r="AF527"/>
  <c r="A527"/>
  <c r="A525"/>
  <c r="A510"/>
  <c r="AT508"/>
  <c r="AS508"/>
  <c r="AR508"/>
  <c r="AL508"/>
  <c r="AK508"/>
  <c r="AJ508"/>
  <c r="AI508"/>
  <c r="AQ508" s="1"/>
  <c r="AH508"/>
  <c r="AP508" s="1"/>
  <c r="AG508"/>
  <c r="AO508" s="1"/>
  <c r="AF508"/>
  <c r="AN508" s="1"/>
  <c r="AT507"/>
  <c r="AS507"/>
  <c r="AR507"/>
  <c r="AL507"/>
  <c r="AK507"/>
  <c r="AJ507"/>
  <c r="AI507"/>
  <c r="AQ507" s="1"/>
  <c r="AH507"/>
  <c r="AP507" s="1"/>
  <c r="AG507"/>
  <c r="AO507" s="1"/>
  <c r="AF507"/>
  <c r="A507"/>
  <c r="A505"/>
  <c r="A490"/>
  <c r="AT488"/>
  <c r="AS488"/>
  <c r="AL488"/>
  <c r="AK488"/>
  <c r="AJ488"/>
  <c r="AR488" s="1"/>
  <c r="AI488"/>
  <c r="AQ488" s="1"/>
  <c r="AH488"/>
  <c r="AP488" s="1"/>
  <c r="AG488"/>
  <c r="AO488" s="1"/>
  <c r="AF488"/>
  <c r="AN488" s="1"/>
  <c r="AT487"/>
  <c r="AS487"/>
  <c r="AL487"/>
  <c r="AK487"/>
  <c r="AJ487"/>
  <c r="AR487" s="1"/>
  <c r="AI487"/>
  <c r="AQ487" s="1"/>
  <c r="AH487"/>
  <c r="AP487" s="1"/>
  <c r="AG487"/>
  <c r="AF487"/>
  <c r="AN487" s="1"/>
  <c r="A487"/>
  <c r="A485"/>
  <c r="A470"/>
  <c r="AT468"/>
  <c r="AS468"/>
  <c r="AR468"/>
  <c r="AQ468"/>
  <c r="AL468"/>
  <c r="AK468"/>
  <c r="AJ468"/>
  <c r="AI468"/>
  <c r="AH468"/>
  <c r="AP468" s="1"/>
  <c r="AG468"/>
  <c r="AO468" s="1"/>
  <c r="AF468"/>
  <c r="AN468" s="1"/>
  <c r="AT467"/>
  <c r="AS467"/>
  <c r="AR467"/>
  <c r="AL467"/>
  <c r="AK467"/>
  <c r="AJ467"/>
  <c r="AI467"/>
  <c r="AQ467" s="1"/>
  <c r="AH467"/>
  <c r="AP467" s="1"/>
  <c r="AG467"/>
  <c r="AO467" s="1"/>
  <c r="AF467"/>
  <c r="A467"/>
  <c r="A465"/>
  <c r="A450"/>
  <c r="AT448"/>
  <c r="AS448"/>
  <c r="AL448"/>
  <c r="AK448"/>
  <c r="AJ448"/>
  <c r="AR448" s="1"/>
  <c r="AI448"/>
  <c r="AQ448" s="1"/>
  <c r="AH448"/>
  <c r="AP448" s="1"/>
  <c r="AG448"/>
  <c r="AO448" s="1"/>
  <c r="AF448"/>
  <c r="AN448" s="1"/>
  <c r="AT447"/>
  <c r="AS447"/>
  <c r="AL447"/>
  <c r="AK447"/>
  <c r="AJ447"/>
  <c r="AR447" s="1"/>
  <c r="AI447"/>
  <c r="AQ447" s="1"/>
  <c r="AH447"/>
  <c r="AP447" s="1"/>
  <c r="AG447"/>
  <c r="AF447"/>
  <c r="AN447" s="1"/>
  <c r="A447"/>
  <c r="A445"/>
  <c r="A427"/>
  <c r="A430"/>
  <c r="AT428"/>
  <c r="AS428"/>
  <c r="AL428"/>
  <c r="AK428"/>
  <c r="AJ428"/>
  <c r="AR428" s="1"/>
  <c r="AI428"/>
  <c r="AQ428" s="1"/>
  <c r="AH428"/>
  <c r="AP428" s="1"/>
  <c r="AG428"/>
  <c r="AO428" s="1"/>
  <c r="AF428"/>
  <c r="AN428" s="1"/>
  <c r="AT427"/>
  <c r="AS427"/>
  <c r="AL427"/>
  <c r="AK427"/>
  <c r="AJ427"/>
  <c r="AR427" s="1"/>
  <c r="AI427"/>
  <c r="AQ427" s="1"/>
  <c r="AH427"/>
  <c r="AP427" s="1"/>
  <c r="AG427"/>
  <c r="AO427" s="1"/>
  <c r="AF427"/>
  <c r="A410"/>
  <c r="AT408"/>
  <c r="AS408"/>
  <c r="AR408"/>
  <c r="AL408"/>
  <c r="AK408"/>
  <c r="AJ408"/>
  <c r="AI408"/>
  <c r="AQ408" s="1"/>
  <c r="AH408"/>
  <c r="AP408" s="1"/>
  <c r="AG408"/>
  <c r="AO408" s="1"/>
  <c r="AF408"/>
  <c r="AN408" s="1"/>
  <c r="AT407"/>
  <c r="AS407"/>
  <c r="AR407"/>
  <c r="AL407"/>
  <c r="AK407"/>
  <c r="AJ407"/>
  <c r="AI407"/>
  <c r="AQ407" s="1"/>
  <c r="AH407"/>
  <c r="AP407" s="1"/>
  <c r="AG407"/>
  <c r="AF407"/>
  <c r="AN407" s="1"/>
  <c r="A407"/>
  <c r="A405"/>
  <c r="A387"/>
  <c r="A390"/>
  <c r="AT388"/>
  <c r="AS388"/>
  <c r="AR388"/>
  <c r="AL388"/>
  <c r="AK388"/>
  <c r="AJ388"/>
  <c r="AI388"/>
  <c r="AQ388" s="1"/>
  <c r="AH388"/>
  <c r="AP388" s="1"/>
  <c r="AG388"/>
  <c r="AO388" s="1"/>
  <c r="AF388"/>
  <c r="AN388" s="1"/>
  <c r="AT387"/>
  <c r="AS387"/>
  <c r="AR387"/>
  <c r="AL387"/>
  <c r="AK387"/>
  <c r="AJ387"/>
  <c r="AI387"/>
  <c r="AQ387" s="1"/>
  <c r="AH387"/>
  <c r="AP387" s="1"/>
  <c r="AG387"/>
  <c r="AO387" s="1"/>
  <c r="AF387"/>
  <c r="A370"/>
  <c r="AT368"/>
  <c r="AS368"/>
  <c r="AL368"/>
  <c r="AK368"/>
  <c r="AJ368"/>
  <c r="AR368" s="1"/>
  <c r="AI368"/>
  <c r="AQ368" s="1"/>
  <c r="AH368"/>
  <c r="AP368" s="1"/>
  <c r="AG368"/>
  <c r="AO368" s="1"/>
  <c r="AF368"/>
  <c r="AN368" s="1"/>
  <c r="AT367"/>
  <c r="AS367"/>
  <c r="AL367"/>
  <c r="AK367"/>
  <c r="AJ367"/>
  <c r="AR367" s="1"/>
  <c r="AI367"/>
  <c r="AQ367" s="1"/>
  <c r="AH367"/>
  <c r="AP367" s="1"/>
  <c r="AG367"/>
  <c r="AO367" s="1"/>
  <c r="AF367"/>
  <c r="A367"/>
  <c r="A365"/>
  <c r="A350"/>
  <c r="AT348"/>
  <c r="AS348"/>
  <c r="AR348"/>
  <c r="AQ348"/>
  <c r="AL348"/>
  <c r="AK348"/>
  <c r="AJ348"/>
  <c r="AI348"/>
  <c r="AH348"/>
  <c r="AP348" s="1"/>
  <c r="AG348"/>
  <c r="AO348" s="1"/>
  <c r="AF348"/>
  <c r="AN348" s="1"/>
  <c r="AT347"/>
  <c r="AS347"/>
  <c r="AR347"/>
  <c r="AQ347"/>
  <c r="AL347"/>
  <c r="AK347"/>
  <c r="AJ347"/>
  <c r="AI347"/>
  <c r="AH347"/>
  <c r="AP347" s="1"/>
  <c r="AG347"/>
  <c r="AO347" s="1"/>
  <c r="AF347"/>
  <c r="A347"/>
  <c r="A345"/>
  <c r="A330"/>
  <c r="AT328"/>
  <c r="AS328"/>
  <c r="AR328"/>
  <c r="AL328"/>
  <c r="AK328"/>
  <c r="AJ328"/>
  <c r="AI328"/>
  <c r="AQ328" s="1"/>
  <c r="AH328"/>
  <c r="AP328" s="1"/>
  <c r="AG328"/>
  <c r="AO328" s="1"/>
  <c r="AF328"/>
  <c r="AN328" s="1"/>
  <c r="AT327"/>
  <c r="AS327"/>
  <c r="AR327"/>
  <c r="AL327"/>
  <c r="AK327"/>
  <c r="AJ327"/>
  <c r="AI327"/>
  <c r="AQ327" s="1"/>
  <c r="AH327"/>
  <c r="AP327" s="1"/>
  <c r="AG327"/>
  <c r="AF327"/>
  <c r="AN327" s="1"/>
  <c r="A327"/>
  <c r="A325"/>
  <c r="A310"/>
  <c r="AT308"/>
  <c r="AS308"/>
  <c r="AR308"/>
  <c r="AL308"/>
  <c r="AK308"/>
  <c r="AJ308"/>
  <c r="AI308"/>
  <c r="AQ308" s="1"/>
  <c r="AH308"/>
  <c r="AP308" s="1"/>
  <c r="AG308"/>
  <c r="AO308" s="1"/>
  <c r="AF308"/>
  <c r="AN308" s="1"/>
  <c r="AT307"/>
  <c r="AS307"/>
  <c r="AR307"/>
  <c r="AQ307"/>
  <c r="AL307"/>
  <c r="AK307"/>
  <c r="AJ307"/>
  <c r="AI307"/>
  <c r="AH307"/>
  <c r="AP307" s="1"/>
  <c r="AG307"/>
  <c r="AO307" s="1"/>
  <c r="AF307"/>
  <c r="A307"/>
  <c r="A305"/>
  <c r="A290"/>
  <c r="AT288"/>
  <c r="AS288"/>
  <c r="AR288"/>
  <c r="AQ288"/>
  <c r="AL288"/>
  <c r="AK288"/>
  <c r="AJ288"/>
  <c r="AI288"/>
  <c r="AH288"/>
  <c r="AP288" s="1"/>
  <c r="AG288"/>
  <c r="AO288" s="1"/>
  <c r="AF288"/>
  <c r="AN288" s="1"/>
  <c r="AT287"/>
  <c r="AS287"/>
  <c r="AR287"/>
  <c r="AQ287"/>
  <c r="AL287"/>
  <c r="AK287"/>
  <c r="AJ287"/>
  <c r="AI287"/>
  <c r="AH287"/>
  <c r="AP287" s="1"/>
  <c r="AG287"/>
  <c r="AF287"/>
  <c r="AN287" s="1"/>
  <c r="A287"/>
  <c r="A285"/>
  <c r="A267"/>
  <c r="A270"/>
  <c r="AT268"/>
  <c r="AS268"/>
  <c r="AR268"/>
  <c r="AL268"/>
  <c r="AK268"/>
  <c r="AJ268"/>
  <c r="AI268"/>
  <c r="AQ268" s="1"/>
  <c r="AH268"/>
  <c r="AP268" s="1"/>
  <c r="AG268"/>
  <c r="AO268" s="1"/>
  <c r="AF268"/>
  <c r="AN268" s="1"/>
  <c r="AT267"/>
  <c r="AS267"/>
  <c r="AR267"/>
  <c r="AL267"/>
  <c r="AK267"/>
  <c r="AJ267"/>
  <c r="AI267"/>
  <c r="AQ267" s="1"/>
  <c r="AH267"/>
  <c r="AP267" s="1"/>
  <c r="AG267"/>
  <c r="AO267" s="1"/>
  <c r="AF267"/>
  <c r="A250"/>
  <c r="AT248"/>
  <c r="AS248"/>
  <c r="AR248"/>
  <c r="AL248"/>
  <c r="AK248"/>
  <c r="AJ248"/>
  <c r="AI248"/>
  <c r="AQ248" s="1"/>
  <c r="AH248"/>
  <c r="AP248" s="1"/>
  <c r="AG248"/>
  <c r="AO248" s="1"/>
  <c r="AF248"/>
  <c r="AN248" s="1"/>
  <c r="AT247"/>
  <c r="AS247"/>
  <c r="AR247"/>
  <c r="AL247"/>
  <c r="AK247"/>
  <c r="AJ247"/>
  <c r="AI247"/>
  <c r="AQ247" s="1"/>
  <c r="AH247"/>
  <c r="AP247" s="1"/>
  <c r="AG247"/>
  <c r="AF247"/>
  <c r="AN247" s="1"/>
  <c r="A247"/>
  <c r="A245"/>
  <c r="A227"/>
  <c r="A230"/>
  <c r="AT228"/>
  <c r="AS228"/>
  <c r="AR228"/>
  <c r="AL228"/>
  <c r="AK228"/>
  <c r="AJ228"/>
  <c r="AI228"/>
  <c r="AQ228" s="1"/>
  <c r="AH228"/>
  <c r="AP228" s="1"/>
  <c r="AG228"/>
  <c r="AO228" s="1"/>
  <c r="AF228"/>
  <c r="AN228" s="1"/>
  <c r="AT227"/>
  <c r="AS227"/>
  <c r="AR227"/>
  <c r="AL227"/>
  <c r="AK227"/>
  <c r="AJ227"/>
  <c r="AI227"/>
  <c r="AQ227" s="1"/>
  <c r="AH227"/>
  <c r="AP227" s="1"/>
  <c r="AG227"/>
  <c r="AO227" s="1"/>
  <c r="AF227"/>
  <c r="A210"/>
  <c r="AT208"/>
  <c r="AS208"/>
  <c r="AR208"/>
  <c r="AQ208"/>
  <c r="AL208"/>
  <c r="AK208"/>
  <c r="AJ208"/>
  <c r="AI208"/>
  <c r="AH208"/>
  <c r="AP208" s="1"/>
  <c r="AG208"/>
  <c r="AO208" s="1"/>
  <c r="AF208"/>
  <c r="AN208" s="1"/>
  <c r="AT207"/>
  <c r="AS207"/>
  <c r="AR207"/>
  <c r="AQ207"/>
  <c r="AL207"/>
  <c r="AK207"/>
  <c r="AJ207"/>
  <c r="AI207"/>
  <c r="AH207"/>
  <c r="AP207" s="1"/>
  <c r="AG207"/>
  <c r="AO207" s="1"/>
  <c r="AF207"/>
  <c r="A207"/>
  <c r="A205"/>
  <c r="A190"/>
  <c r="AT188"/>
  <c r="AS188"/>
  <c r="AR188"/>
  <c r="AL188"/>
  <c r="AK188"/>
  <c r="AJ188"/>
  <c r="AI188"/>
  <c r="AQ188" s="1"/>
  <c r="AH188"/>
  <c r="AP188" s="1"/>
  <c r="AG188"/>
  <c r="AO188" s="1"/>
  <c r="AF188"/>
  <c r="AN188" s="1"/>
  <c r="AT187"/>
  <c r="AS187"/>
  <c r="AR187"/>
  <c r="AL187"/>
  <c r="AK187"/>
  <c r="AJ187"/>
  <c r="AI187"/>
  <c r="AQ187" s="1"/>
  <c r="AH187"/>
  <c r="AP187" s="1"/>
  <c r="AG187"/>
  <c r="AO187" s="1"/>
  <c r="AF187"/>
  <c r="A187"/>
  <c r="A185"/>
  <c r="A170"/>
  <c r="AT168"/>
  <c r="AS168"/>
  <c r="AR168"/>
  <c r="AL168"/>
  <c r="AK168"/>
  <c r="AJ168"/>
  <c r="AI168"/>
  <c r="AQ168" s="1"/>
  <c r="AH168"/>
  <c r="AP168" s="1"/>
  <c r="AG168"/>
  <c r="AO168" s="1"/>
  <c r="AF168"/>
  <c r="AN168" s="1"/>
  <c r="AT167"/>
  <c r="AS167"/>
  <c r="AR167"/>
  <c r="AL167"/>
  <c r="AK167"/>
  <c r="AJ167"/>
  <c r="AI167"/>
  <c r="AQ167" s="1"/>
  <c r="AH167"/>
  <c r="AP167" s="1"/>
  <c r="AG167"/>
  <c r="AF167"/>
  <c r="A167"/>
  <c r="A165"/>
  <c r="A150"/>
  <c r="AT148"/>
  <c r="AS148"/>
  <c r="AR148"/>
  <c r="AQ148"/>
  <c r="AL148"/>
  <c r="AK148"/>
  <c r="AJ148"/>
  <c r="AI148"/>
  <c r="AH148"/>
  <c r="AP148" s="1"/>
  <c r="AG148"/>
  <c r="AO148" s="1"/>
  <c r="AF148"/>
  <c r="AN148" s="1"/>
  <c r="AT147"/>
  <c r="AS147"/>
  <c r="AR147"/>
  <c r="AQ147"/>
  <c r="AL147"/>
  <c r="AK147"/>
  <c r="AJ147"/>
  <c r="AI147"/>
  <c r="AH147"/>
  <c r="AP147" s="1"/>
  <c r="AG147"/>
  <c r="AO147" s="1"/>
  <c r="AF147"/>
  <c r="A147"/>
  <c r="A145"/>
  <c r="A130"/>
  <c r="AT128"/>
  <c r="AS128"/>
  <c r="AR128"/>
  <c r="AQ128"/>
  <c r="AL128"/>
  <c r="AK128"/>
  <c r="AJ128"/>
  <c r="AI128"/>
  <c r="AH128"/>
  <c r="AP128" s="1"/>
  <c r="AG128"/>
  <c r="AO128" s="1"/>
  <c r="AF128"/>
  <c r="AN128" s="1"/>
  <c r="AT127"/>
  <c r="AS127"/>
  <c r="AR127"/>
  <c r="AQ127"/>
  <c r="AL127"/>
  <c r="AK127"/>
  <c r="AJ127"/>
  <c r="AI127"/>
  <c r="AH127"/>
  <c r="AP127" s="1"/>
  <c r="AG127"/>
  <c r="AO127" s="1"/>
  <c r="AF127"/>
  <c r="A127"/>
  <c r="A125"/>
  <c r="A110"/>
  <c r="AT108"/>
  <c r="AS108"/>
  <c r="AR108"/>
  <c r="AL108"/>
  <c r="AK108"/>
  <c r="AJ108"/>
  <c r="AI108"/>
  <c r="AQ108" s="1"/>
  <c r="AH108"/>
  <c r="AP108" s="1"/>
  <c r="AG108"/>
  <c r="AO108" s="1"/>
  <c r="AF108"/>
  <c r="AN108" s="1"/>
  <c r="AT107"/>
  <c r="AS107"/>
  <c r="AR107"/>
  <c r="AL107"/>
  <c r="AK107"/>
  <c r="AJ107"/>
  <c r="AI107"/>
  <c r="AQ107" s="1"/>
  <c r="AH107"/>
  <c r="AP107" s="1"/>
  <c r="AG107"/>
  <c r="AO107" s="1"/>
  <c r="AF107"/>
  <c r="A107"/>
  <c r="A105"/>
  <c r="A90"/>
  <c r="AT88"/>
  <c r="AS88"/>
  <c r="AR88"/>
  <c r="AQ88"/>
  <c r="AL88"/>
  <c r="AK88"/>
  <c r="AJ88"/>
  <c r="AI88"/>
  <c r="AH88"/>
  <c r="AP88" s="1"/>
  <c r="AG88"/>
  <c r="AO88" s="1"/>
  <c r="AF88"/>
  <c r="AN88" s="1"/>
  <c r="AT87"/>
  <c r="AS87"/>
  <c r="AR87"/>
  <c r="AQ87"/>
  <c r="AL87"/>
  <c r="AK87"/>
  <c r="AJ87"/>
  <c r="AI87"/>
  <c r="AH87"/>
  <c r="AP87" s="1"/>
  <c r="AG87"/>
  <c r="AO87" s="1"/>
  <c r="AF87"/>
  <c r="A87"/>
  <c r="A85"/>
  <c r="A70"/>
  <c r="AT68"/>
  <c r="AS68"/>
  <c r="AR68"/>
  <c r="AL68"/>
  <c r="AK68"/>
  <c r="AJ68"/>
  <c r="AI68"/>
  <c r="AQ68" s="1"/>
  <c r="AH68"/>
  <c r="AP68" s="1"/>
  <c r="AG68"/>
  <c r="AO68" s="1"/>
  <c r="AF68"/>
  <c r="AN68" s="1"/>
  <c r="AT67"/>
  <c r="AS67"/>
  <c r="AR67"/>
  <c r="AL67"/>
  <c r="AK67"/>
  <c r="AJ67"/>
  <c r="AI67"/>
  <c r="AQ67" s="1"/>
  <c r="AH67"/>
  <c r="AP67" s="1"/>
  <c r="AG67"/>
  <c r="AO67" s="1"/>
  <c r="AF67"/>
  <c r="A67"/>
  <c r="A65"/>
  <c r="P7" i="6"/>
  <c r="Q7"/>
  <c r="P8"/>
  <c r="Q8"/>
  <c r="P9"/>
  <c r="Q9"/>
  <c r="P10"/>
  <c r="Q10"/>
  <c r="P11"/>
  <c r="Q11"/>
  <c r="P12"/>
  <c r="Q12"/>
  <c r="P13"/>
  <c r="Q13"/>
  <c r="P14"/>
  <c r="Q14"/>
  <c r="P15"/>
  <c r="Q15"/>
  <c r="P16"/>
  <c r="Q16"/>
  <c r="P17"/>
  <c r="Q17"/>
  <c r="P18"/>
  <c r="Q18"/>
  <c r="P19"/>
  <c r="Q19"/>
  <c r="P20"/>
  <c r="Q20"/>
  <c r="P21"/>
  <c r="Q21"/>
  <c r="P22"/>
  <c r="Q22"/>
  <c r="P23"/>
  <c r="Q23"/>
  <c r="P24"/>
  <c r="Q24"/>
  <c r="P25"/>
  <c r="Q25"/>
  <c r="P26"/>
  <c r="Q26"/>
  <c r="P27"/>
  <c r="Q27"/>
  <c r="P28"/>
  <c r="Q28"/>
  <c r="P29"/>
  <c r="Q29"/>
  <c r="P30"/>
  <c r="Q30"/>
  <c r="P31"/>
  <c r="Q31"/>
  <c r="P32"/>
  <c r="Q32"/>
  <c r="P33"/>
  <c r="Q33"/>
  <c r="P34"/>
  <c r="Q34"/>
  <c r="P35"/>
  <c r="Q35"/>
  <c r="P36"/>
  <c r="Q36"/>
  <c r="P37"/>
  <c r="Q37"/>
  <c r="P38"/>
  <c r="Q38"/>
  <c r="P39"/>
  <c r="Q39"/>
  <c r="P40"/>
  <c r="Q40"/>
  <c r="P41"/>
  <c r="Q41"/>
  <c r="P42"/>
  <c r="Q42"/>
  <c r="P43"/>
  <c r="Q43"/>
  <c r="P44"/>
  <c r="Q44"/>
  <c r="P45"/>
  <c r="Q45"/>
  <c r="P46"/>
  <c r="Q46"/>
  <c r="P47"/>
  <c r="Q47"/>
  <c r="P48"/>
  <c r="Q48"/>
  <c r="P49"/>
  <c r="Q49"/>
  <c r="P50"/>
  <c r="Q50"/>
  <c r="P51"/>
  <c r="Q51"/>
  <c r="P52"/>
  <c r="Q52"/>
  <c r="P53"/>
  <c r="Q53"/>
  <c r="P54"/>
  <c r="Q54"/>
  <c r="P55"/>
  <c r="Q55"/>
  <c r="P56"/>
  <c r="Q56"/>
  <c r="P57"/>
  <c r="Q57"/>
  <c r="P58"/>
  <c r="Q58"/>
  <c r="P59"/>
  <c r="Q59"/>
  <c r="P60"/>
  <c r="Q60"/>
  <c r="P61"/>
  <c r="Q61"/>
  <c r="P62"/>
  <c r="Q62"/>
  <c r="P63"/>
  <c r="Q63"/>
  <c r="P64"/>
  <c r="Q64"/>
  <c r="P65"/>
  <c r="Q65"/>
  <c r="P66"/>
  <c r="Q66"/>
  <c r="P67"/>
  <c r="Q67"/>
  <c r="P68"/>
  <c r="Q68"/>
  <c r="P69"/>
  <c r="Q69"/>
  <c r="P70"/>
  <c r="Q70"/>
  <c r="P71"/>
  <c r="Q71"/>
  <c r="P72"/>
  <c r="Q72"/>
  <c r="P73"/>
  <c r="Q73"/>
  <c r="P74"/>
  <c r="Q74"/>
  <c r="P75"/>
  <c r="Q75"/>
  <c r="P76"/>
  <c r="Q76"/>
  <c r="P77"/>
  <c r="Q77"/>
  <c r="Q6"/>
  <c r="P6"/>
  <c r="A50" i="5"/>
  <c r="AS48"/>
  <c r="AQ48"/>
  <c r="AL48"/>
  <c r="AT48" s="1"/>
  <c r="AK48"/>
  <c r="AJ48"/>
  <c r="AR48" s="1"/>
  <c r="AI48"/>
  <c r="AH48"/>
  <c r="AP48" s="1"/>
  <c r="AG48"/>
  <c r="AO48" s="1"/>
  <c r="AF48"/>
  <c r="AN48" s="1"/>
  <c r="AS47"/>
  <c r="AQ47"/>
  <c r="AL47"/>
  <c r="AT47" s="1"/>
  <c r="AK47"/>
  <c r="AJ47"/>
  <c r="AR47" s="1"/>
  <c r="AI47"/>
  <c r="AH47"/>
  <c r="AP47" s="1"/>
  <c r="AG47"/>
  <c r="AO47" s="1"/>
  <c r="AF47"/>
  <c r="A47"/>
  <c r="A45"/>
  <c r="A30"/>
  <c r="AS28"/>
  <c r="AQ28"/>
  <c r="AL28"/>
  <c r="AT28" s="1"/>
  <c r="AK28"/>
  <c r="AJ28"/>
  <c r="AR28" s="1"/>
  <c r="AI28"/>
  <c r="AH28"/>
  <c r="AP28" s="1"/>
  <c r="AG28"/>
  <c r="AO28" s="1"/>
  <c r="AF28"/>
  <c r="AN28" s="1"/>
  <c r="AS27"/>
  <c r="AQ27"/>
  <c r="AL27"/>
  <c r="AT27" s="1"/>
  <c r="AK27"/>
  <c r="AJ27"/>
  <c r="AR27" s="1"/>
  <c r="AI27"/>
  <c r="AH27"/>
  <c r="AP27" s="1"/>
  <c r="AG27"/>
  <c r="AO27" s="1"/>
  <c r="AF27"/>
  <c r="A27"/>
  <c r="A25"/>
  <c r="B72" i="7"/>
  <c r="A72"/>
  <c r="B70"/>
  <c r="A70"/>
  <c r="B68"/>
  <c r="A68"/>
  <c r="B63"/>
  <c r="A63"/>
  <c r="B61"/>
  <c r="A61"/>
  <c r="B59"/>
  <c r="A59"/>
  <c r="B54"/>
  <c r="A54"/>
  <c r="B52"/>
  <c r="A52"/>
  <c r="B50"/>
  <c r="A50"/>
  <c r="B45"/>
  <c r="A45"/>
  <c r="B43"/>
  <c r="A43"/>
  <c r="B41"/>
  <c r="A41"/>
  <c r="B36"/>
  <c r="A36"/>
  <c r="B34"/>
  <c r="A34"/>
  <c r="B32"/>
  <c r="A32"/>
  <c r="B27"/>
  <c r="A27"/>
  <c r="B25"/>
  <c r="A25"/>
  <c r="B23"/>
  <c r="A23"/>
  <c r="B18"/>
  <c r="A18"/>
  <c r="B16"/>
  <c r="A16"/>
  <c r="B14"/>
  <c r="A14"/>
  <c r="B9"/>
  <c r="B7"/>
  <c r="B5"/>
  <c r="A9"/>
  <c r="A7"/>
  <c r="A5"/>
  <c r="L44" i="2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AG7" i="5"/>
  <c r="AO7" s="1"/>
  <c r="AH7"/>
  <c r="AP7" s="1"/>
  <c r="AI7"/>
  <c r="AQ7" s="1"/>
  <c r="AJ7"/>
  <c r="AR7" s="1"/>
  <c r="AK7"/>
  <c r="AS7" s="1"/>
  <c r="AL7"/>
  <c r="AT7" s="1"/>
  <c r="AG8"/>
  <c r="AO8" s="1"/>
  <c r="AH8"/>
  <c r="AP8" s="1"/>
  <c r="AI8"/>
  <c r="AQ8" s="1"/>
  <c r="AJ8"/>
  <c r="AR8" s="1"/>
  <c r="AK8"/>
  <c r="AS8" s="1"/>
  <c r="AL8"/>
  <c r="AT8" s="1"/>
  <c r="AF8"/>
  <c r="AN8" s="1"/>
  <c r="AF7"/>
  <c r="A7" i="6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6"/>
  <c r="A87" i="4"/>
  <c r="A86"/>
  <c r="A85"/>
  <c r="A84"/>
  <c r="A83"/>
  <c r="A82"/>
  <c r="A76"/>
  <c r="A75"/>
  <c r="A74"/>
  <c r="A73"/>
  <c r="A72"/>
  <c r="A71"/>
  <c r="A65"/>
  <c r="A64"/>
  <c r="A63"/>
  <c r="A62"/>
  <c r="A61"/>
  <c r="A60"/>
  <c r="A54"/>
  <c r="A53"/>
  <c r="A52"/>
  <c r="A51"/>
  <c r="A50"/>
  <c r="A49"/>
  <c r="A43"/>
  <c r="A42"/>
  <c r="A41"/>
  <c r="A40"/>
  <c r="A39"/>
  <c r="A38"/>
  <c r="A32"/>
  <c r="A31"/>
  <c r="A30"/>
  <c r="A29"/>
  <c r="A28"/>
  <c r="A27"/>
  <c r="A21"/>
  <c r="A20"/>
  <c r="A19"/>
  <c r="A18"/>
  <c r="A17"/>
  <c r="A16"/>
  <c r="A10"/>
  <c r="A9"/>
  <c r="A8"/>
  <c r="A7"/>
  <c r="A6"/>
  <c r="A5"/>
  <c r="B88"/>
  <c r="B86"/>
  <c r="B84"/>
  <c r="B82"/>
  <c r="B77"/>
  <c r="B75"/>
  <c r="B73"/>
  <c r="B71"/>
  <c r="B66"/>
  <c r="B64"/>
  <c r="B62"/>
  <c r="B60"/>
  <c r="B55"/>
  <c r="B53"/>
  <c r="B51"/>
  <c r="B49"/>
  <c r="B44"/>
  <c r="B42"/>
  <c r="B40"/>
  <c r="B38"/>
  <c r="B33"/>
  <c r="B31"/>
  <c r="B29"/>
  <c r="B27"/>
  <c r="B22"/>
  <c r="B20"/>
  <c r="B18"/>
  <c r="B16"/>
  <c r="B11"/>
  <c r="B9"/>
  <c r="B7"/>
  <c r="J159" i="2"/>
  <c r="J157"/>
  <c r="J155"/>
  <c r="J153"/>
  <c r="J189"/>
  <c r="J151"/>
  <c r="J149"/>
  <c r="J147"/>
  <c r="J145"/>
  <c r="J143"/>
  <c r="J135"/>
  <c r="J133"/>
  <c r="J131"/>
  <c r="J129"/>
  <c r="J127"/>
  <c r="J125"/>
  <c r="J123"/>
  <c r="J119"/>
  <c r="J95"/>
  <c r="J91"/>
  <c r="J87"/>
  <c r="J85"/>
  <c r="J83"/>
  <c r="J81"/>
  <c r="J117"/>
  <c r="J115"/>
  <c r="J113"/>
  <c r="J77"/>
  <c r="J75"/>
  <c r="J105"/>
  <c r="J103"/>
  <c r="J101"/>
  <c r="J99"/>
  <c r="J97"/>
  <c r="J93"/>
  <c r="J89"/>
  <c r="J79"/>
  <c r="B5" i="4"/>
  <c r="A46" i="2"/>
  <c r="A47"/>
  <c r="L47" s="1"/>
  <c r="A48"/>
  <c r="L48" s="1"/>
  <c r="A49"/>
  <c r="L49" s="1"/>
  <c r="A50"/>
  <c r="L50" s="1"/>
  <c r="A51"/>
  <c r="L51" s="1"/>
  <c r="A52"/>
  <c r="L52" s="1"/>
  <c r="A53"/>
  <c r="L53" s="1"/>
  <c r="A54"/>
  <c r="L54" s="1"/>
  <c r="A55"/>
  <c r="L55" s="1"/>
  <c r="A56"/>
  <c r="L56" s="1"/>
  <c r="A57"/>
  <c r="L57" s="1"/>
  <c r="A58"/>
  <c r="L58" s="1"/>
  <c r="A59"/>
  <c r="L59" s="1"/>
  <c r="A60"/>
  <c r="L60" s="1"/>
  <c r="A61"/>
  <c r="L61" s="1"/>
  <c r="A62"/>
  <c r="L62" s="1"/>
  <c r="A63"/>
  <c r="L63" s="1"/>
  <c r="A64"/>
  <c r="L64" s="1"/>
  <c r="A65"/>
  <c r="L65" s="1"/>
  <c r="A66"/>
  <c r="L66" s="1"/>
  <c r="A67"/>
  <c r="L67" s="1"/>
  <c r="A68"/>
  <c r="L68" s="1"/>
  <c r="A45"/>
  <c r="L45" s="1"/>
  <c r="A9"/>
  <c r="L9" s="1"/>
  <c r="A10"/>
  <c r="L10" s="1"/>
  <c r="A11"/>
  <c r="L11" s="1"/>
  <c r="A12"/>
  <c r="L12" s="1"/>
  <c r="A13"/>
  <c r="A14"/>
  <c r="L14" s="1"/>
  <c r="A15"/>
  <c r="L15" s="1"/>
  <c r="A16"/>
  <c r="L16" s="1"/>
  <c r="A17"/>
  <c r="L17" s="1"/>
  <c r="A18"/>
  <c r="L18" s="1"/>
  <c r="A19"/>
  <c r="L19" s="1"/>
  <c r="A20"/>
  <c r="L20" s="1"/>
  <c r="A21"/>
  <c r="L21" s="1"/>
  <c r="A22"/>
  <c r="L22" s="1"/>
  <c r="A23"/>
  <c r="L23" s="1"/>
  <c r="A24"/>
  <c r="L24" s="1"/>
  <c r="A25"/>
  <c r="L25" s="1"/>
  <c r="A26"/>
  <c r="L26" s="1"/>
  <c r="A27"/>
  <c r="L27" s="1"/>
  <c r="A28"/>
  <c r="L28" s="1"/>
  <c r="A29"/>
  <c r="L29" s="1"/>
  <c r="A30"/>
  <c r="L30" s="1"/>
  <c r="A31"/>
  <c r="L31" s="1"/>
  <c r="A32"/>
  <c r="L32" s="1"/>
  <c r="A33"/>
  <c r="L33" s="1"/>
  <c r="A34"/>
  <c r="L34" s="1"/>
  <c r="A35"/>
  <c r="L35" s="1"/>
  <c r="A36"/>
  <c r="L36" s="1"/>
  <c r="A37"/>
  <c r="L37" s="1"/>
  <c r="A38"/>
  <c r="L38" s="1"/>
  <c r="A39"/>
  <c r="L39" s="1"/>
  <c r="A8"/>
  <c r="F14" i="5"/>
  <c r="A7" s="1"/>
  <c r="I1838" l="1"/>
  <c r="N1833"/>
  <c r="I1837"/>
  <c r="N1832"/>
  <c r="V33" i="17"/>
  <c r="DD57"/>
  <c r="P57"/>
  <c r="B180" i="12" s="1"/>
  <c r="G58" i="17"/>
  <c r="C31" i="20"/>
  <c r="E31" s="1"/>
  <c r="E102" i="6"/>
  <c r="B1891" i="5"/>
  <c r="C44" i="25"/>
  <c r="C43"/>
  <c r="AA1949" i="5"/>
  <c r="H39" i="17" s="1"/>
  <c r="V16" s="1"/>
  <c r="N1560" i="5"/>
  <c r="G26" i="14"/>
  <c r="N1496" i="5"/>
  <c r="G46" i="25"/>
  <c r="B1909" i="5"/>
  <c r="I1910" s="1"/>
  <c r="I1922" s="1"/>
  <c r="H54" i="25"/>
  <c r="A54" s="1"/>
  <c r="J45"/>
  <c r="H45" s="1"/>
  <c r="A45" s="1"/>
  <c r="E54"/>
  <c r="I2623" i="5"/>
  <c r="P2632" s="1"/>
  <c r="I1951"/>
  <c r="I1963" s="1"/>
  <c r="E45" i="25"/>
  <c r="E46"/>
  <c r="D45"/>
  <c r="B1888" i="5"/>
  <c r="I1889" s="1"/>
  <c r="I1901" s="1"/>
  <c r="B22" i="22"/>
  <c r="B21"/>
  <c r="B2014" i="5"/>
  <c r="I2015" s="1"/>
  <c r="I2642"/>
  <c r="I2654" s="1"/>
  <c r="DC13" i="17"/>
  <c r="DC17" s="1"/>
  <c r="I1955" i="5"/>
  <c r="P1964" s="1"/>
  <c r="B21" i="31"/>
  <c r="B22"/>
  <c r="B1870" i="5"/>
  <c r="I1870" s="1"/>
  <c r="P1879" s="1"/>
  <c r="D40" i="25"/>
  <c r="D30" i="20"/>
  <c r="E30"/>
  <c r="D29"/>
  <c r="E29"/>
  <c r="E48" i="25"/>
  <c r="B1912" i="5"/>
  <c r="P1753"/>
  <c r="N1748"/>
  <c r="P1754"/>
  <c r="N1749"/>
  <c r="C31" i="21"/>
  <c r="C32"/>
  <c r="C51" i="25"/>
  <c r="C52"/>
  <c r="E104" i="6"/>
  <c r="B1933" i="5"/>
  <c r="AA1928" s="1"/>
  <c r="H31" i="17" s="1"/>
  <c r="DA31" s="1"/>
  <c r="V1187" i="5"/>
  <c r="V850"/>
  <c r="V707"/>
  <c r="DC21" i="17"/>
  <c r="G5" i="13"/>
  <c r="G6" s="1"/>
  <c r="V13"/>
  <c r="H68" i="25"/>
  <c r="A68" s="1"/>
  <c r="G68"/>
  <c r="G67"/>
  <c r="H67"/>
  <c r="A67" s="1"/>
  <c r="G22" i="21"/>
  <c r="V18" i="17"/>
  <c r="G21" i="21"/>
  <c r="D42" i="25"/>
  <c r="E42"/>
  <c r="D57"/>
  <c r="E57"/>
  <c r="D58"/>
  <c r="E58"/>
  <c r="I1880" i="5"/>
  <c r="N1875"/>
  <c r="E41" i="25"/>
  <c r="D41"/>
  <c r="N1874" i="5"/>
  <c r="I1879"/>
  <c r="C33" i="20"/>
  <c r="C34"/>
  <c r="C26" i="21"/>
  <c r="C25"/>
  <c r="C27" i="20"/>
  <c r="C28"/>
  <c r="C34" i="21"/>
  <c r="C33"/>
  <c r="C24"/>
  <c r="C23"/>
  <c r="F23" s="1"/>
  <c r="V207" i="5"/>
  <c r="V687"/>
  <c r="D32" i="20"/>
  <c r="E32"/>
  <c r="I1975" i="5"/>
  <c r="I1976"/>
  <c r="N2001"/>
  <c r="P55" i="17"/>
  <c r="B178" i="12" s="1"/>
  <c r="H56" i="17"/>
  <c r="DA55"/>
  <c r="AA2012" i="5"/>
  <c r="H63" i="17" s="1"/>
  <c r="V19" s="1"/>
  <c r="V19" i="13"/>
  <c r="V14"/>
  <c r="D106" i="6"/>
  <c r="B1972" i="5"/>
  <c r="I1964"/>
  <c r="N1959"/>
  <c r="N2000"/>
  <c r="B2683"/>
  <c r="D141" i="6"/>
  <c r="N1581" i="5"/>
  <c r="I1481"/>
  <c r="N1476"/>
  <c r="V347"/>
  <c r="V1387"/>
  <c r="V1347"/>
  <c r="V1310"/>
  <c r="V1267"/>
  <c r="V1167"/>
  <c r="V1067"/>
  <c r="V1007"/>
  <c r="V947"/>
  <c r="V870"/>
  <c r="V730"/>
  <c r="V507"/>
  <c r="V427"/>
  <c r="V187"/>
  <c r="AN167"/>
  <c r="V170"/>
  <c r="V167"/>
  <c r="V130"/>
  <c r="L46" i="2"/>
  <c r="K72" i="7"/>
  <c r="L70"/>
  <c r="AO70" s="1"/>
  <c r="J70"/>
  <c r="K68"/>
  <c r="L63"/>
  <c r="J63"/>
  <c r="K61"/>
  <c r="L59"/>
  <c r="J59"/>
  <c r="K54"/>
  <c r="L52"/>
  <c r="AO52" s="1"/>
  <c r="J52"/>
  <c r="K50"/>
  <c r="L45"/>
  <c r="J45"/>
  <c r="K43"/>
  <c r="L41"/>
  <c r="J41"/>
  <c r="K36"/>
  <c r="L34"/>
  <c r="AO34" s="1"/>
  <c r="J34"/>
  <c r="K32"/>
  <c r="L27"/>
  <c r="J27"/>
  <c r="K25"/>
  <c r="L23"/>
  <c r="J23"/>
  <c r="K18"/>
  <c r="L16"/>
  <c r="AO16" s="1"/>
  <c r="J16"/>
  <c r="K14"/>
  <c r="L7"/>
  <c r="AO7" s="1"/>
  <c r="L5"/>
  <c r="K9"/>
  <c r="J7"/>
  <c r="J5"/>
  <c r="L72"/>
  <c r="J72"/>
  <c r="K70"/>
  <c r="L68"/>
  <c r="J68"/>
  <c r="K63"/>
  <c r="L61"/>
  <c r="AO61" s="1"/>
  <c r="J61"/>
  <c r="K59"/>
  <c r="L54"/>
  <c r="J54"/>
  <c r="K52"/>
  <c r="L50"/>
  <c r="J50"/>
  <c r="K45"/>
  <c r="L43"/>
  <c r="AO43" s="1"/>
  <c r="J43"/>
  <c r="K41"/>
  <c r="L36"/>
  <c r="J36"/>
  <c r="K34"/>
  <c r="L32"/>
  <c r="J32"/>
  <c r="K27"/>
  <c r="L25"/>
  <c r="AO25" s="1"/>
  <c r="J25"/>
  <c r="K23"/>
  <c r="L18"/>
  <c r="J18"/>
  <c r="K16"/>
  <c r="L14"/>
  <c r="J14"/>
  <c r="L9"/>
  <c r="K7"/>
  <c r="K5"/>
  <c r="J9"/>
  <c r="L13" i="2"/>
  <c r="L88" i="4"/>
  <c r="J88"/>
  <c r="K86"/>
  <c r="L84"/>
  <c r="J84"/>
  <c r="K82"/>
  <c r="L77"/>
  <c r="J77"/>
  <c r="K75"/>
  <c r="L73"/>
  <c r="J73"/>
  <c r="K71"/>
  <c r="L66"/>
  <c r="J66"/>
  <c r="K64"/>
  <c r="L62"/>
  <c r="J62"/>
  <c r="K60"/>
  <c r="L55"/>
  <c r="J55"/>
  <c r="K53"/>
  <c r="L51"/>
  <c r="J51"/>
  <c r="K49"/>
  <c r="L44"/>
  <c r="J44"/>
  <c r="K42"/>
  <c r="L40"/>
  <c r="J40"/>
  <c r="K38"/>
  <c r="L33"/>
  <c r="J33"/>
  <c r="K31"/>
  <c r="L29"/>
  <c r="J29"/>
  <c r="K27"/>
  <c r="L22"/>
  <c r="J22"/>
  <c r="K20"/>
  <c r="L18"/>
  <c r="J18"/>
  <c r="K16"/>
  <c r="J7"/>
  <c r="L7"/>
  <c r="K9"/>
  <c r="J11"/>
  <c r="L11"/>
  <c r="K5"/>
  <c r="K88"/>
  <c r="L86"/>
  <c r="J86"/>
  <c r="K84"/>
  <c r="L82"/>
  <c r="J82"/>
  <c r="K77"/>
  <c r="L75"/>
  <c r="J75"/>
  <c r="K73"/>
  <c r="L71"/>
  <c r="J71"/>
  <c r="K66"/>
  <c r="L64"/>
  <c r="J64"/>
  <c r="K62"/>
  <c r="L60"/>
  <c r="J60"/>
  <c r="K55"/>
  <c r="L53"/>
  <c r="J53"/>
  <c r="K51"/>
  <c r="L49"/>
  <c r="J49"/>
  <c r="K44"/>
  <c r="L42"/>
  <c r="J42"/>
  <c r="K40"/>
  <c r="L38"/>
  <c r="J38"/>
  <c r="K33"/>
  <c r="L31"/>
  <c r="J31"/>
  <c r="K29"/>
  <c r="L27"/>
  <c r="J27"/>
  <c r="K22"/>
  <c r="L20"/>
  <c r="J20"/>
  <c r="K18"/>
  <c r="L16"/>
  <c r="J16"/>
  <c r="K7"/>
  <c r="J9"/>
  <c r="L9"/>
  <c r="K11"/>
  <c r="L5"/>
  <c r="J5"/>
  <c r="V1430" i="5"/>
  <c r="V1210"/>
  <c r="V910"/>
  <c r="V867"/>
  <c r="V830"/>
  <c r="V787"/>
  <c r="V590"/>
  <c r="V547"/>
  <c r="V530"/>
  <c r="V470"/>
  <c r="V387"/>
  <c r="V310"/>
  <c r="V267"/>
  <c r="V150"/>
  <c r="V87"/>
  <c r="V67"/>
  <c r="V30"/>
  <c r="P2675"/>
  <c r="I2600"/>
  <c r="I2612" s="1"/>
  <c r="I2599"/>
  <c r="I2611" s="1"/>
  <c r="P2674"/>
  <c r="P1543"/>
  <c r="N1538"/>
  <c r="P1690"/>
  <c r="N1685"/>
  <c r="I1543"/>
  <c r="N1539"/>
  <c r="P1544"/>
  <c r="I1480"/>
  <c r="I1564"/>
  <c r="I1585"/>
  <c r="N1686"/>
  <c r="P1691"/>
  <c r="F3055"/>
  <c r="F3053"/>
  <c r="F3034"/>
  <c r="F3032"/>
  <c r="F3013"/>
  <c r="F3011"/>
  <c r="F2952"/>
  <c r="F2950"/>
  <c r="F2931"/>
  <c r="F2929"/>
  <c r="F2830"/>
  <c r="F2828"/>
  <c r="F2812"/>
  <c r="F2811"/>
  <c r="F2791"/>
  <c r="F2790"/>
  <c r="F2770"/>
  <c r="F2769"/>
  <c r="F2749"/>
  <c r="F2748"/>
  <c r="F2728"/>
  <c r="F2727"/>
  <c r="F2707"/>
  <c r="F2706"/>
  <c r="F2686"/>
  <c r="F2685"/>
  <c r="F2665"/>
  <c r="F2664"/>
  <c r="F2644"/>
  <c r="F2643"/>
  <c r="F2623"/>
  <c r="F2622"/>
  <c r="F2602"/>
  <c r="F2601"/>
  <c r="F2581"/>
  <c r="F2580"/>
  <c r="F2560"/>
  <c r="F2559"/>
  <c r="F2539"/>
  <c r="F2538"/>
  <c r="F2518"/>
  <c r="F2517"/>
  <c r="F2017"/>
  <c r="F2016"/>
  <c r="F1996"/>
  <c r="F1995"/>
  <c r="F1975"/>
  <c r="F1974"/>
  <c r="F1954"/>
  <c r="F1953"/>
  <c r="F1933"/>
  <c r="F1932"/>
  <c r="F1912"/>
  <c r="F1911"/>
  <c r="F1891"/>
  <c r="F1890"/>
  <c r="F1870"/>
  <c r="F1869"/>
  <c r="F1849"/>
  <c r="F1848"/>
  <c r="F1828"/>
  <c r="F1827"/>
  <c r="F1807"/>
  <c r="F1806"/>
  <c r="F1786"/>
  <c r="F1785"/>
  <c r="F1765"/>
  <c r="F1764"/>
  <c r="F1744"/>
  <c r="F1743"/>
  <c r="F1723"/>
  <c r="F1722"/>
  <c r="F1702"/>
  <c r="F1701"/>
  <c r="F1681"/>
  <c r="F1680"/>
  <c r="F1660"/>
  <c r="F1659"/>
  <c r="F1639"/>
  <c r="F1638"/>
  <c r="F1618"/>
  <c r="F1617"/>
  <c r="F1597"/>
  <c r="F1596"/>
  <c r="F1576"/>
  <c r="F1575"/>
  <c r="F1555"/>
  <c r="F1554"/>
  <c r="F1534"/>
  <c r="F1533"/>
  <c r="F1513"/>
  <c r="F1512"/>
  <c r="F1492"/>
  <c r="F1491"/>
  <c r="F1471"/>
  <c r="F1470"/>
  <c r="F3058"/>
  <c r="F3057"/>
  <c r="F3037"/>
  <c r="F3036"/>
  <c r="F3016"/>
  <c r="F3015"/>
  <c r="F2955"/>
  <c r="F2954"/>
  <c r="F2934"/>
  <c r="F2933"/>
  <c r="F2833"/>
  <c r="F2832"/>
  <c r="F2809"/>
  <c r="F2807"/>
  <c r="F2788"/>
  <c r="F2786"/>
  <c r="F2767"/>
  <c r="F2765"/>
  <c r="F2746"/>
  <c r="F2744"/>
  <c r="F2725"/>
  <c r="F2723"/>
  <c r="F2704"/>
  <c r="F2702"/>
  <c r="F2683"/>
  <c r="F2681"/>
  <c r="F2662"/>
  <c r="F2660"/>
  <c r="F2641"/>
  <c r="F2639"/>
  <c r="F2620"/>
  <c r="F2618"/>
  <c r="F2599"/>
  <c r="F2597"/>
  <c r="F2578"/>
  <c r="F2576"/>
  <c r="F2557"/>
  <c r="F2555"/>
  <c r="F2536"/>
  <c r="F2534"/>
  <c r="F2515"/>
  <c r="F2513"/>
  <c r="F2014"/>
  <c r="F2012"/>
  <c r="F1993"/>
  <c r="F1991"/>
  <c r="F1972"/>
  <c r="F1970"/>
  <c r="F1951"/>
  <c r="F1949"/>
  <c r="F1930"/>
  <c r="F1928"/>
  <c r="F1909"/>
  <c r="F1907"/>
  <c r="F1888"/>
  <c r="F1886"/>
  <c r="F1867"/>
  <c r="F1865"/>
  <c r="F1846"/>
  <c r="F1844"/>
  <c r="F1825"/>
  <c r="F1823"/>
  <c r="F1804"/>
  <c r="F1802"/>
  <c r="F1783"/>
  <c r="F1781"/>
  <c r="F1762"/>
  <c r="F1760"/>
  <c r="F1741"/>
  <c r="F1739"/>
  <c r="F1720"/>
  <c r="F1718"/>
  <c r="F1699"/>
  <c r="F1697"/>
  <c r="F1678"/>
  <c r="F1676"/>
  <c r="F1657"/>
  <c r="F1655"/>
  <c r="F1636"/>
  <c r="F1634"/>
  <c r="F1615"/>
  <c r="F1613"/>
  <c r="F1594"/>
  <c r="F1592"/>
  <c r="F1573"/>
  <c r="F1571"/>
  <c r="F1552"/>
  <c r="F1550"/>
  <c r="F1531"/>
  <c r="F1529"/>
  <c r="F1510"/>
  <c r="F1508"/>
  <c r="F1489"/>
  <c r="F1487"/>
  <c r="F1468"/>
  <c r="F1466"/>
  <c r="F2037"/>
  <c r="F2033"/>
  <c r="F2038"/>
  <c r="F2035"/>
  <c r="F2338"/>
  <c r="F2498"/>
  <c r="F2078"/>
  <c r="F2118"/>
  <c r="F2158"/>
  <c r="F2218"/>
  <c r="F2418"/>
  <c r="F2874"/>
  <c r="F2996"/>
  <c r="F2971"/>
  <c r="F2975"/>
  <c r="F2995"/>
  <c r="F2889"/>
  <c r="F2893"/>
  <c r="F2911"/>
  <c r="F2891"/>
  <c r="F2909"/>
  <c r="F2849"/>
  <c r="F2873"/>
  <c r="F2437"/>
  <c r="F2438"/>
  <c r="F2455"/>
  <c r="F2477"/>
  <c r="F2457"/>
  <c r="F2497"/>
  <c r="F2357"/>
  <c r="F2358"/>
  <c r="F2375"/>
  <c r="F2397"/>
  <c r="F2377"/>
  <c r="F2417"/>
  <c r="F2277"/>
  <c r="F2278"/>
  <c r="F2238"/>
  <c r="F2237"/>
  <c r="F2197"/>
  <c r="F2198"/>
  <c r="F2215"/>
  <c r="F2318"/>
  <c r="F2335"/>
  <c r="F2255"/>
  <c r="F2217"/>
  <c r="F2257"/>
  <c r="F2297"/>
  <c r="F2337"/>
  <c r="F2177"/>
  <c r="F2157"/>
  <c r="F2137"/>
  <c r="F2117"/>
  <c r="F2097"/>
  <c r="F2077"/>
  <c r="F2057"/>
  <c r="F2258"/>
  <c r="F2378"/>
  <c r="F2058"/>
  <c r="F2098"/>
  <c r="F2138"/>
  <c r="F2178"/>
  <c r="F2298"/>
  <c r="F2458"/>
  <c r="F2914"/>
  <c r="F2976"/>
  <c r="F2993"/>
  <c r="F2973"/>
  <c r="F2991"/>
  <c r="F2894"/>
  <c r="F2913"/>
  <c r="F2854"/>
  <c r="F2853"/>
  <c r="F2871"/>
  <c r="F2851"/>
  <c r="F2869"/>
  <c r="F2473"/>
  <c r="F2433"/>
  <c r="F2478"/>
  <c r="F2495"/>
  <c r="F2435"/>
  <c r="F2453"/>
  <c r="F2475"/>
  <c r="F2493"/>
  <c r="F2393"/>
  <c r="F2353"/>
  <c r="F2398"/>
  <c r="F2415"/>
  <c r="F2355"/>
  <c r="F2373"/>
  <c r="F2395"/>
  <c r="F2413"/>
  <c r="F2313"/>
  <c r="F2273"/>
  <c r="F2233"/>
  <c r="F2193"/>
  <c r="F2295"/>
  <c r="F2317"/>
  <c r="F2195"/>
  <c r="F2213"/>
  <c r="F2235"/>
  <c r="F2253"/>
  <c r="F2275"/>
  <c r="F2293"/>
  <c r="F2315"/>
  <c r="F2333"/>
  <c r="F2175"/>
  <c r="F2173"/>
  <c r="F2155"/>
  <c r="F2153"/>
  <c r="F2135"/>
  <c r="F2133"/>
  <c r="F2115"/>
  <c r="F2113"/>
  <c r="F2095"/>
  <c r="F2093"/>
  <c r="F2075"/>
  <c r="F2073"/>
  <c r="F2055"/>
  <c r="F2053"/>
  <c r="F1450"/>
  <c r="F1447"/>
  <c r="F1449"/>
  <c r="F1445"/>
  <c r="L8" i="2"/>
  <c r="AE1574" i="5" s="1"/>
  <c r="I1459"/>
  <c r="V330"/>
  <c r="V107"/>
  <c r="V1150"/>
  <c r="V1327"/>
  <c r="V570"/>
  <c r="V630"/>
  <c r="V670"/>
  <c r="V690"/>
  <c r="Z685" s="1"/>
  <c r="V750"/>
  <c r="V50"/>
  <c r="V147"/>
  <c r="V230"/>
  <c r="V410"/>
  <c r="V990"/>
  <c r="V1010"/>
  <c r="V1030"/>
  <c r="V1110"/>
  <c r="V1230"/>
  <c r="V667"/>
  <c r="J161" i="2"/>
  <c r="J165"/>
  <c r="J169"/>
  <c r="J173"/>
  <c r="J177"/>
  <c r="J179"/>
  <c r="J181"/>
  <c r="J183"/>
  <c r="J185"/>
  <c r="J187"/>
  <c r="V70" i="5"/>
  <c r="Z65" s="1"/>
  <c r="V190"/>
  <c r="V227"/>
  <c r="Z225" s="1"/>
  <c r="V250"/>
  <c r="V270"/>
  <c r="V290"/>
  <c r="V307"/>
  <c r="Z305" s="1"/>
  <c r="V370"/>
  <c r="V367"/>
  <c r="V510"/>
  <c r="Z505" s="1"/>
  <c r="V527"/>
  <c r="V550"/>
  <c r="V587"/>
  <c r="V610"/>
  <c r="V770"/>
  <c r="V790"/>
  <c r="Z785" s="1"/>
  <c r="V810"/>
  <c r="V827"/>
  <c r="V847"/>
  <c r="Z845" s="1"/>
  <c r="V890"/>
  <c r="V907"/>
  <c r="V950"/>
  <c r="V970"/>
  <c r="V987"/>
  <c r="V1070"/>
  <c r="V90"/>
  <c r="Z85" s="1"/>
  <c r="V110"/>
  <c r="V127"/>
  <c r="Z125" s="1"/>
  <c r="V390"/>
  <c r="V430"/>
  <c r="V450"/>
  <c r="V467"/>
  <c r="V710"/>
  <c r="Z705" s="1"/>
  <c r="V747"/>
  <c r="V930"/>
  <c r="V1027"/>
  <c r="V1050"/>
  <c r="V1090"/>
  <c r="V1130"/>
  <c r="V1147"/>
  <c r="V1170"/>
  <c r="Z1165" s="1"/>
  <c r="V1190"/>
  <c r="Z1185" s="1"/>
  <c r="V1227"/>
  <c r="V1250"/>
  <c r="V1270"/>
  <c r="V1290"/>
  <c r="V1307"/>
  <c r="Z1305" s="1"/>
  <c r="V1350"/>
  <c r="V1390"/>
  <c r="Z1385" s="1"/>
  <c r="V1427"/>
  <c r="Z1425" s="1"/>
  <c r="V1107"/>
  <c r="AV1086"/>
  <c r="AV1046"/>
  <c r="AV966"/>
  <c r="AV606"/>
  <c r="AV566"/>
  <c r="V490"/>
  <c r="AV486"/>
  <c r="J121" i="2"/>
  <c r="C117" s="1"/>
  <c r="V1330" i="5"/>
  <c r="V1410"/>
  <c r="AV1406"/>
  <c r="V1370"/>
  <c r="AV1366"/>
  <c r="AV1286"/>
  <c r="AV1246"/>
  <c r="AV1206"/>
  <c r="AV1126"/>
  <c r="AV926"/>
  <c r="AV886"/>
  <c r="AV806"/>
  <c r="AV766"/>
  <c r="AV726"/>
  <c r="AV446"/>
  <c r="AV406"/>
  <c r="AV326"/>
  <c r="AV286"/>
  <c r="AV246"/>
  <c r="V210"/>
  <c r="AV166"/>
  <c r="AV1266"/>
  <c r="AV1146"/>
  <c r="AV1006"/>
  <c r="AV946"/>
  <c r="AV686"/>
  <c r="V627"/>
  <c r="AV626"/>
  <c r="AV366"/>
  <c r="V350"/>
  <c r="Z345" s="1"/>
  <c r="AV306"/>
  <c r="AV126"/>
  <c r="AV86"/>
  <c r="J163" i="2"/>
  <c r="J167"/>
  <c r="J171"/>
  <c r="J175"/>
  <c r="F145" i="5"/>
  <c r="V650"/>
  <c r="AV646"/>
  <c r="I27"/>
  <c r="I39" s="1"/>
  <c r="I50"/>
  <c r="P59" s="1"/>
  <c r="E6" i="6"/>
  <c r="D13"/>
  <c r="D12"/>
  <c r="D11"/>
  <c r="D10"/>
  <c r="D9"/>
  <c r="D8"/>
  <c r="D7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F65" i="5"/>
  <c r="F67"/>
  <c r="I70"/>
  <c r="P79" s="1"/>
  <c r="F85"/>
  <c r="F87"/>
  <c r="I90"/>
  <c r="P99" s="1"/>
  <c r="F105"/>
  <c r="F107"/>
  <c r="I110"/>
  <c r="P119" s="1"/>
  <c r="F125"/>
  <c r="F127"/>
  <c r="I130"/>
  <c r="P139" s="1"/>
  <c r="I7"/>
  <c r="I19" s="1"/>
  <c r="G72" i="7"/>
  <c r="H70"/>
  <c r="F70"/>
  <c r="G68"/>
  <c r="H63"/>
  <c r="F63"/>
  <c r="G61"/>
  <c r="H59"/>
  <c r="F59"/>
  <c r="G54"/>
  <c r="H52"/>
  <c r="F52"/>
  <c r="G50"/>
  <c r="H45"/>
  <c r="F45"/>
  <c r="G43"/>
  <c r="H41"/>
  <c r="F41"/>
  <c r="G36"/>
  <c r="H34"/>
  <c r="F34"/>
  <c r="G32"/>
  <c r="H27"/>
  <c r="F27"/>
  <c r="G25"/>
  <c r="H23"/>
  <c r="F23"/>
  <c r="G18"/>
  <c r="H16"/>
  <c r="F16"/>
  <c r="G14"/>
  <c r="H9"/>
  <c r="F9"/>
  <c r="G7"/>
  <c r="H5"/>
  <c r="F5"/>
  <c r="G87" i="4"/>
  <c r="H86"/>
  <c r="F86"/>
  <c r="G85"/>
  <c r="H84"/>
  <c r="F84"/>
  <c r="G83"/>
  <c r="H82"/>
  <c r="F82"/>
  <c r="G76"/>
  <c r="H75"/>
  <c r="F75"/>
  <c r="G74"/>
  <c r="H73"/>
  <c r="F73"/>
  <c r="G72"/>
  <c r="H71"/>
  <c r="F71"/>
  <c r="G65"/>
  <c r="H64"/>
  <c r="F64"/>
  <c r="G63"/>
  <c r="H62"/>
  <c r="F62"/>
  <c r="G61"/>
  <c r="H60"/>
  <c r="F60"/>
  <c r="G54"/>
  <c r="H53"/>
  <c r="F53"/>
  <c r="G52"/>
  <c r="H51"/>
  <c r="F51"/>
  <c r="G50"/>
  <c r="H49"/>
  <c r="F49"/>
  <c r="G43"/>
  <c r="H42"/>
  <c r="F42"/>
  <c r="G41"/>
  <c r="H40"/>
  <c r="F40"/>
  <c r="G39"/>
  <c r="H38"/>
  <c r="F38"/>
  <c r="G32"/>
  <c r="H31"/>
  <c r="F31"/>
  <c r="G30"/>
  <c r="H29"/>
  <c r="F29"/>
  <c r="G28"/>
  <c r="H27"/>
  <c r="F27"/>
  <c r="G21"/>
  <c r="H20"/>
  <c r="F20"/>
  <c r="G19"/>
  <c r="H18"/>
  <c r="F18"/>
  <c r="G17"/>
  <c r="H16"/>
  <c r="F16"/>
  <c r="G10"/>
  <c r="H9"/>
  <c r="F9"/>
  <c r="G8"/>
  <c r="H7"/>
  <c r="F7"/>
  <c r="G6"/>
  <c r="H5"/>
  <c r="F5"/>
  <c r="F1167" i="5"/>
  <c r="F1165"/>
  <c r="F1147"/>
  <c r="F1145"/>
  <c r="F847"/>
  <c r="F845"/>
  <c r="F827"/>
  <c r="F825"/>
  <c r="F627"/>
  <c r="F625"/>
  <c r="F527"/>
  <c r="F525"/>
  <c r="F507"/>
  <c r="F505"/>
  <c r="F207"/>
  <c r="F205"/>
  <c r="F187"/>
  <c r="F185"/>
  <c r="H72" i="7"/>
  <c r="F72"/>
  <c r="G70"/>
  <c r="H68"/>
  <c r="F68"/>
  <c r="G63"/>
  <c r="H61"/>
  <c r="F61"/>
  <c r="G59"/>
  <c r="H54"/>
  <c r="F54"/>
  <c r="G52"/>
  <c r="H50"/>
  <c r="F50"/>
  <c r="G45"/>
  <c r="H43"/>
  <c r="F43"/>
  <c r="G41"/>
  <c r="H36"/>
  <c r="F36"/>
  <c r="G34"/>
  <c r="H32"/>
  <c r="F32"/>
  <c r="G27"/>
  <c r="H25"/>
  <c r="F25"/>
  <c r="G23"/>
  <c r="H18"/>
  <c r="F18"/>
  <c r="G16"/>
  <c r="H14"/>
  <c r="F14"/>
  <c r="G9"/>
  <c r="H7"/>
  <c r="F7"/>
  <c r="G5"/>
  <c r="H87" i="4"/>
  <c r="F87"/>
  <c r="G86"/>
  <c r="H85"/>
  <c r="F85"/>
  <c r="G84"/>
  <c r="H83"/>
  <c r="F83"/>
  <c r="G82"/>
  <c r="H76"/>
  <c r="F76"/>
  <c r="G75"/>
  <c r="H74"/>
  <c r="F74"/>
  <c r="G73"/>
  <c r="H72"/>
  <c r="F72"/>
  <c r="G71"/>
  <c r="H65"/>
  <c r="F65"/>
  <c r="G64"/>
  <c r="H63"/>
  <c r="F63"/>
  <c r="G62"/>
  <c r="H61"/>
  <c r="F61"/>
  <c r="G60"/>
  <c r="H54"/>
  <c r="F54"/>
  <c r="G53"/>
  <c r="H52"/>
  <c r="F52"/>
  <c r="G51"/>
  <c r="H50"/>
  <c r="F50"/>
  <c r="G49"/>
  <c r="H43"/>
  <c r="F43"/>
  <c r="G42"/>
  <c r="H41"/>
  <c r="F41"/>
  <c r="G40"/>
  <c r="H39"/>
  <c r="F39"/>
  <c r="G38"/>
  <c r="H32"/>
  <c r="F32"/>
  <c r="G31"/>
  <c r="H30"/>
  <c r="F30"/>
  <c r="G29"/>
  <c r="H28"/>
  <c r="F28"/>
  <c r="G27"/>
  <c r="H21"/>
  <c r="F21"/>
  <c r="G20"/>
  <c r="H19"/>
  <c r="F19"/>
  <c r="G18"/>
  <c r="H17"/>
  <c r="F17"/>
  <c r="G16"/>
  <c r="H10"/>
  <c r="F10"/>
  <c r="G9"/>
  <c r="H8"/>
  <c r="F8"/>
  <c r="G7"/>
  <c r="H6"/>
  <c r="F6"/>
  <c r="G5"/>
  <c r="F1327" i="5"/>
  <c r="F1325"/>
  <c r="F1307"/>
  <c r="F1305"/>
  <c r="F1107"/>
  <c r="F1105"/>
  <c r="F1007"/>
  <c r="F1005"/>
  <c r="F987"/>
  <c r="F985"/>
  <c r="F687"/>
  <c r="F685"/>
  <c r="F667"/>
  <c r="F665"/>
  <c r="F367"/>
  <c r="F365"/>
  <c r="F347"/>
  <c r="F345"/>
  <c r="F147"/>
  <c r="F30"/>
  <c r="I30"/>
  <c r="P39" s="1"/>
  <c r="I47"/>
  <c r="I59" s="1"/>
  <c r="D6" i="6"/>
  <c r="E13"/>
  <c r="E12"/>
  <c r="E11"/>
  <c r="E10"/>
  <c r="E9"/>
  <c r="E8"/>
  <c r="E7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F70" i="5"/>
  <c r="I67"/>
  <c r="F90"/>
  <c r="I87"/>
  <c r="F110"/>
  <c r="I107"/>
  <c r="F130"/>
  <c r="I127"/>
  <c r="F150"/>
  <c r="I150"/>
  <c r="P159" s="1"/>
  <c r="I167"/>
  <c r="I179" s="1"/>
  <c r="F190"/>
  <c r="I187"/>
  <c r="I199" s="1"/>
  <c r="F210"/>
  <c r="I207"/>
  <c r="I219" s="1"/>
  <c r="I227"/>
  <c r="AE227" s="1"/>
  <c r="I247"/>
  <c r="I267"/>
  <c r="AE267" s="1"/>
  <c r="I287"/>
  <c r="I299" s="1"/>
  <c r="F310"/>
  <c r="F330"/>
  <c r="I330"/>
  <c r="AE328" s="1"/>
  <c r="I350"/>
  <c r="P359" s="1"/>
  <c r="I370"/>
  <c r="AE368" s="1"/>
  <c r="I390"/>
  <c r="P399" s="1"/>
  <c r="F410"/>
  <c r="I410"/>
  <c r="P419" s="1"/>
  <c r="I430"/>
  <c r="AE428" s="1"/>
  <c r="F450"/>
  <c r="I450"/>
  <c r="AE448" s="1"/>
  <c r="I467"/>
  <c r="I470"/>
  <c r="AE468" s="1"/>
  <c r="I487"/>
  <c r="I499" s="1"/>
  <c r="F510"/>
  <c r="I507"/>
  <c r="I519" s="1"/>
  <c r="F530"/>
  <c r="I527"/>
  <c r="I539" s="1"/>
  <c r="I547"/>
  <c r="AE547" s="1"/>
  <c r="I567"/>
  <c r="I587"/>
  <c r="AE587" s="1"/>
  <c r="I607"/>
  <c r="I619" s="1"/>
  <c r="F630"/>
  <c r="I627"/>
  <c r="I639" s="1"/>
  <c r="F650"/>
  <c r="I650"/>
  <c r="I670"/>
  <c r="AE668" s="1"/>
  <c r="I690"/>
  <c r="I710"/>
  <c r="P719" s="1"/>
  <c r="F730"/>
  <c r="I730"/>
  <c r="P739" s="1"/>
  <c r="I750"/>
  <c r="F770"/>
  <c r="I770"/>
  <c r="I787"/>
  <c r="I799" s="1"/>
  <c r="I790"/>
  <c r="P799" s="1"/>
  <c r="I807"/>
  <c r="AE807" s="1"/>
  <c r="F830"/>
  <c r="I827"/>
  <c r="I839" s="1"/>
  <c r="F850"/>
  <c r="I847"/>
  <c r="I859" s="1"/>
  <c r="I867"/>
  <c r="N874" s="1"/>
  <c r="I887"/>
  <c r="AE887" s="1"/>
  <c r="I907"/>
  <c r="I927"/>
  <c r="AE927" s="1"/>
  <c r="F950"/>
  <c r="F970"/>
  <c r="I970"/>
  <c r="I990"/>
  <c r="AE988" s="1"/>
  <c r="I1010"/>
  <c r="I1030"/>
  <c r="AE1028" s="1"/>
  <c r="F1050"/>
  <c r="I1050"/>
  <c r="AE1048" s="1"/>
  <c r="I1070"/>
  <c r="F1090"/>
  <c r="I1090"/>
  <c r="I1110"/>
  <c r="I1127"/>
  <c r="I1139" s="1"/>
  <c r="F1150"/>
  <c r="I1147"/>
  <c r="I1159" s="1"/>
  <c r="F1170"/>
  <c r="I1167"/>
  <c r="I1179" s="1"/>
  <c r="I1187"/>
  <c r="AE1187" s="1"/>
  <c r="I1207"/>
  <c r="I1227"/>
  <c r="AE1227" s="1"/>
  <c r="I1247"/>
  <c r="I1259" s="1"/>
  <c r="F1270"/>
  <c r="F1290"/>
  <c r="I1290"/>
  <c r="AE1288" s="1"/>
  <c r="I1310"/>
  <c r="I1330"/>
  <c r="P1339" s="1"/>
  <c r="I1350"/>
  <c r="F1370"/>
  <c r="I1370"/>
  <c r="I1390"/>
  <c r="P1399" s="1"/>
  <c r="F1410"/>
  <c r="I1410"/>
  <c r="P1419" s="1"/>
  <c r="I1427"/>
  <c r="I1430"/>
  <c r="AE1428" s="1"/>
  <c r="I147"/>
  <c r="F170"/>
  <c r="I170"/>
  <c r="P179" s="1"/>
  <c r="I190"/>
  <c r="AE188" s="1"/>
  <c r="I210"/>
  <c r="I230"/>
  <c r="N234" s="1"/>
  <c r="F250"/>
  <c r="I250"/>
  <c r="AE248" s="1"/>
  <c r="I270"/>
  <c r="P279" s="1"/>
  <c r="F290"/>
  <c r="I290"/>
  <c r="P299" s="1"/>
  <c r="I307"/>
  <c r="AE307" s="1"/>
  <c r="I310"/>
  <c r="I327"/>
  <c r="I339" s="1"/>
  <c r="F350"/>
  <c r="I347"/>
  <c r="AE347" s="1"/>
  <c r="F370"/>
  <c r="I367"/>
  <c r="AE367" s="1"/>
  <c r="I387"/>
  <c r="I407"/>
  <c r="I419" s="1"/>
  <c r="I427"/>
  <c r="I439" s="1"/>
  <c r="I447"/>
  <c r="I459" s="1"/>
  <c r="F470"/>
  <c r="F490"/>
  <c r="I490"/>
  <c r="P499" s="1"/>
  <c r="I510"/>
  <c r="AE508" s="1"/>
  <c r="I530"/>
  <c r="I550"/>
  <c r="AE548" s="1"/>
  <c r="F570"/>
  <c r="I570"/>
  <c r="AE568" s="1"/>
  <c r="I590"/>
  <c r="P599" s="1"/>
  <c r="F610"/>
  <c r="I610"/>
  <c r="P619" s="1"/>
  <c r="I630"/>
  <c r="I647"/>
  <c r="F670"/>
  <c r="I667"/>
  <c r="F690"/>
  <c r="I687"/>
  <c r="I707"/>
  <c r="I727"/>
  <c r="I739" s="1"/>
  <c r="I747"/>
  <c r="I759" s="1"/>
  <c r="I767"/>
  <c r="F790"/>
  <c r="F810"/>
  <c r="I810"/>
  <c r="P819" s="1"/>
  <c r="I830"/>
  <c r="I850"/>
  <c r="P859" s="1"/>
  <c r="I870"/>
  <c r="F890"/>
  <c r="I890"/>
  <c r="I910"/>
  <c r="P919" s="1"/>
  <c r="F930"/>
  <c r="I930"/>
  <c r="P939" s="1"/>
  <c r="I947"/>
  <c r="I959" s="1"/>
  <c r="I950"/>
  <c r="P959" s="1"/>
  <c r="I967"/>
  <c r="F990"/>
  <c r="I987"/>
  <c r="F1010"/>
  <c r="I1007"/>
  <c r="I1027"/>
  <c r="I1047"/>
  <c r="I1059" s="1"/>
  <c r="I1067"/>
  <c r="AE1067" s="1"/>
  <c r="I1087"/>
  <c r="F1110"/>
  <c r="I1107"/>
  <c r="F1130"/>
  <c r="I1130"/>
  <c r="I1150"/>
  <c r="AE1148" s="1"/>
  <c r="I1170"/>
  <c r="P1179" s="1"/>
  <c r="I1190"/>
  <c r="P1199" s="1"/>
  <c r="F1210"/>
  <c r="I1210"/>
  <c r="P1219" s="1"/>
  <c r="I1230"/>
  <c r="F1250"/>
  <c r="I1250"/>
  <c r="I1267"/>
  <c r="AE1267" s="1"/>
  <c r="I1270"/>
  <c r="P1279" s="1"/>
  <c r="I1287"/>
  <c r="AE1287" s="1"/>
  <c r="F1310"/>
  <c r="I1307"/>
  <c r="AE1307" s="1"/>
  <c r="F1330"/>
  <c r="I1327"/>
  <c r="AE1327" s="1"/>
  <c r="I1347"/>
  <c r="I1367"/>
  <c r="I1379" s="1"/>
  <c r="I1387"/>
  <c r="I1407"/>
  <c r="AE1407" s="1"/>
  <c r="F1430"/>
  <c r="V10"/>
  <c r="V7"/>
  <c r="A5"/>
  <c r="F10" s="1"/>
  <c r="A10"/>
  <c r="AV1426"/>
  <c r="AN1427"/>
  <c r="AV1425" s="1"/>
  <c r="AO1407"/>
  <c r="AV1405" s="1"/>
  <c r="AV1386"/>
  <c r="AN1387"/>
  <c r="AV1385" s="1"/>
  <c r="AO1367"/>
  <c r="AV1365" s="1"/>
  <c r="AV1346"/>
  <c r="AN1347"/>
  <c r="AV1345" s="1"/>
  <c r="AV1326"/>
  <c r="AN1327"/>
  <c r="AV1325" s="1"/>
  <c r="AV1306"/>
  <c r="AN1307"/>
  <c r="AV1305" s="1"/>
  <c r="AO1287"/>
  <c r="AV1285" s="1"/>
  <c r="AN1267"/>
  <c r="AV1265" s="1"/>
  <c r="AO1247"/>
  <c r="AV1245" s="1"/>
  <c r="AV1226"/>
  <c r="AN1227"/>
  <c r="AV1225" s="1"/>
  <c r="AO1207"/>
  <c r="AV1205" s="1"/>
  <c r="AV1186"/>
  <c r="AN1187"/>
  <c r="AV1185" s="1"/>
  <c r="AV1166"/>
  <c r="AN1167"/>
  <c r="AV1165" s="1"/>
  <c r="AN1147"/>
  <c r="AV1145" s="1"/>
  <c r="AO1127"/>
  <c r="AV1125" s="1"/>
  <c r="AV1106"/>
  <c r="AN1107"/>
  <c r="AV1105" s="1"/>
  <c r="AO1087"/>
  <c r="AV1085" s="1"/>
  <c r="AV1066"/>
  <c r="AN1067"/>
  <c r="AV1065" s="1"/>
  <c r="AO1047"/>
  <c r="AV1045" s="1"/>
  <c r="AV1026"/>
  <c r="AN1027"/>
  <c r="AV1025" s="1"/>
  <c r="AN1007"/>
  <c r="AV1005" s="1"/>
  <c r="AV986"/>
  <c r="AN987"/>
  <c r="AV985" s="1"/>
  <c r="AO967"/>
  <c r="AV965" s="1"/>
  <c r="AN947"/>
  <c r="AV945" s="1"/>
  <c r="AO927"/>
  <c r="AV925" s="1"/>
  <c r="AV906"/>
  <c r="AN907"/>
  <c r="AV905" s="1"/>
  <c r="AO887"/>
  <c r="AV885" s="1"/>
  <c r="AV866"/>
  <c r="AN867"/>
  <c r="AV865" s="1"/>
  <c r="AV846"/>
  <c r="AN847"/>
  <c r="AV845" s="1"/>
  <c r="AV826"/>
  <c r="AN827"/>
  <c r="AV825" s="1"/>
  <c r="AO807"/>
  <c r="AV805" s="1"/>
  <c r="AV786"/>
  <c r="AN787"/>
  <c r="AV785" s="1"/>
  <c r="AO767"/>
  <c r="AV765" s="1"/>
  <c r="AV746"/>
  <c r="AN747"/>
  <c r="AV745" s="1"/>
  <c r="AO727"/>
  <c r="AV725" s="1"/>
  <c r="AV706"/>
  <c r="AN707"/>
  <c r="AV705" s="1"/>
  <c r="AN687"/>
  <c r="AV685" s="1"/>
  <c r="AV666"/>
  <c r="AN667"/>
  <c r="AV665" s="1"/>
  <c r="AO647"/>
  <c r="AV645" s="1"/>
  <c r="AN627"/>
  <c r="AV625" s="1"/>
  <c r="AO607"/>
  <c r="AV605" s="1"/>
  <c r="AV586"/>
  <c r="AN587"/>
  <c r="AV585" s="1"/>
  <c r="AO567"/>
  <c r="AV565" s="1"/>
  <c r="AV546"/>
  <c r="AN547"/>
  <c r="AV545" s="1"/>
  <c r="Z545"/>
  <c r="AV526"/>
  <c r="AN527"/>
  <c r="AV525" s="1"/>
  <c r="AV506"/>
  <c r="AN507"/>
  <c r="AV505" s="1"/>
  <c r="AO487"/>
  <c r="AV485" s="1"/>
  <c r="AV466"/>
  <c r="AN467"/>
  <c r="AV465" s="1"/>
  <c r="AO447"/>
  <c r="AV445" s="1"/>
  <c r="AV426"/>
  <c r="AN427"/>
  <c r="AV425" s="1"/>
  <c r="AO407"/>
  <c r="AV405" s="1"/>
  <c r="AV386"/>
  <c r="AN387"/>
  <c r="AV385" s="1"/>
  <c r="AN367"/>
  <c r="AV365" s="1"/>
  <c r="AV346"/>
  <c r="AN347"/>
  <c r="AV345" s="1"/>
  <c r="AO327"/>
  <c r="AV325" s="1"/>
  <c r="AN307"/>
  <c r="AV305" s="1"/>
  <c r="AO287"/>
  <c r="AV285" s="1"/>
  <c r="AV266"/>
  <c r="AN267"/>
  <c r="AV265" s="1"/>
  <c r="AO247"/>
  <c r="AV245" s="1"/>
  <c r="AV226"/>
  <c r="AN227"/>
  <c r="AV225" s="1"/>
  <c r="AV206"/>
  <c r="AN207"/>
  <c r="AV205" s="1"/>
  <c r="AV186"/>
  <c r="AN187"/>
  <c r="AV185" s="1"/>
  <c r="AO167"/>
  <c r="AV146"/>
  <c r="AN147"/>
  <c r="AV145" s="1"/>
  <c r="AN127"/>
  <c r="AV125" s="1"/>
  <c r="AV106"/>
  <c r="AN107"/>
  <c r="AV105" s="1"/>
  <c r="AN87"/>
  <c r="AV85" s="1"/>
  <c r="AV66"/>
  <c r="AN67"/>
  <c r="AV65" s="1"/>
  <c r="AV46"/>
  <c r="AV26"/>
  <c r="F1425"/>
  <c r="F1427"/>
  <c r="F1265"/>
  <c r="F1267"/>
  <c r="F945"/>
  <c r="F947"/>
  <c r="F785"/>
  <c r="F787"/>
  <c r="F465"/>
  <c r="F467"/>
  <c r="F305"/>
  <c r="F307"/>
  <c r="F1285"/>
  <c r="F1287"/>
  <c r="V1287"/>
  <c r="F1309"/>
  <c r="F1329"/>
  <c r="A1345"/>
  <c r="F1365"/>
  <c r="F1367"/>
  <c r="V1367"/>
  <c r="A1385"/>
  <c r="F1405"/>
  <c r="F1407"/>
  <c r="V1407"/>
  <c r="F1429"/>
  <c r="F1289"/>
  <c r="F1369"/>
  <c r="F1409"/>
  <c r="F1125"/>
  <c r="F1127"/>
  <c r="V1127"/>
  <c r="F1149"/>
  <c r="F1169"/>
  <c r="A1185"/>
  <c r="F1205"/>
  <c r="F1207"/>
  <c r="V1207"/>
  <c r="A1225"/>
  <c r="F1245"/>
  <c r="F1247"/>
  <c r="V1247"/>
  <c r="F1269"/>
  <c r="F1129"/>
  <c r="F1209"/>
  <c r="F1249"/>
  <c r="F965"/>
  <c r="F967"/>
  <c r="V967"/>
  <c r="F989"/>
  <c r="F1009"/>
  <c r="A1025"/>
  <c r="F1045"/>
  <c r="F1047"/>
  <c r="V1047"/>
  <c r="A1065"/>
  <c r="F1085"/>
  <c r="F1087"/>
  <c r="V1087"/>
  <c r="F1109"/>
  <c r="F969"/>
  <c r="F1049"/>
  <c r="F1089"/>
  <c r="F805"/>
  <c r="F807"/>
  <c r="V807"/>
  <c r="F829"/>
  <c r="F849"/>
  <c r="A865"/>
  <c r="F885"/>
  <c r="F887"/>
  <c r="V887"/>
  <c r="A905"/>
  <c r="F925"/>
  <c r="F927"/>
  <c r="V927"/>
  <c r="F949"/>
  <c r="F809"/>
  <c r="F889"/>
  <c r="F929"/>
  <c r="F645"/>
  <c r="F647"/>
  <c r="V647"/>
  <c r="F669"/>
  <c r="F689"/>
  <c r="A705"/>
  <c r="F725"/>
  <c r="F727"/>
  <c r="V727"/>
  <c r="A745"/>
  <c r="F765"/>
  <c r="F767"/>
  <c r="V767"/>
  <c r="F789"/>
  <c r="F649"/>
  <c r="F729"/>
  <c r="F769"/>
  <c r="F485"/>
  <c r="F487"/>
  <c r="V487"/>
  <c r="F509"/>
  <c r="F529"/>
  <c r="A545"/>
  <c r="F565"/>
  <c r="F567"/>
  <c r="V567"/>
  <c r="A585"/>
  <c r="F605"/>
  <c r="F607"/>
  <c r="V607"/>
  <c r="F629"/>
  <c r="F489"/>
  <c r="F569"/>
  <c r="F609"/>
  <c r="F325"/>
  <c r="F327"/>
  <c r="V327"/>
  <c r="F349"/>
  <c r="F369"/>
  <c r="A385"/>
  <c r="F405"/>
  <c r="F407"/>
  <c r="V407"/>
  <c r="A425"/>
  <c r="F445"/>
  <c r="F447"/>
  <c r="V447"/>
  <c r="F469"/>
  <c r="F329"/>
  <c r="F409"/>
  <c r="F449"/>
  <c r="F165"/>
  <c r="F167"/>
  <c r="F189"/>
  <c r="F209"/>
  <c r="A225"/>
  <c r="F245"/>
  <c r="F247"/>
  <c r="V247"/>
  <c r="A265"/>
  <c r="F285"/>
  <c r="F287"/>
  <c r="V287"/>
  <c r="F309"/>
  <c r="F169"/>
  <c r="F249"/>
  <c r="F289"/>
  <c r="F149"/>
  <c r="F129"/>
  <c r="F109"/>
  <c r="F89"/>
  <c r="F69"/>
  <c r="V47"/>
  <c r="V27"/>
  <c r="F50"/>
  <c r="F45"/>
  <c r="F47"/>
  <c r="F25"/>
  <c r="F27"/>
  <c r="AN47"/>
  <c r="AV45" s="1"/>
  <c r="F49"/>
  <c r="AN27"/>
  <c r="AV25" s="1"/>
  <c r="F29"/>
  <c r="AV6"/>
  <c r="AN7"/>
  <c r="AV5" s="1"/>
  <c r="C63" i="25" l="1"/>
  <c r="C64"/>
  <c r="E107" i="6"/>
  <c r="B1996" i="5"/>
  <c r="D31" i="20"/>
  <c r="I1891" i="5"/>
  <c r="P1900" s="1"/>
  <c r="I1892"/>
  <c r="P1901" s="1"/>
  <c r="E44" i="25"/>
  <c r="D44"/>
  <c r="F43"/>
  <c r="D43"/>
  <c r="E43"/>
  <c r="DA39" i="17"/>
  <c r="N1958" i="5"/>
  <c r="H40" i="17"/>
  <c r="P39"/>
  <c r="B162" i="12" s="1"/>
  <c r="D143" i="6" s="1"/>
  <c r="AA1886" i="5"/>
  <c r="H15" i="17" s="1"/>
  <c r="V13" s="1"/>
  <c r="B24" i="31" s="1"/>
  <c r="C24" s="1"/>
  <c r="Z1345" i="5"/>
  <c r="Z1265"/>
  <c r="O40" i="4" s="1"/>
  <c r="N42" s="1"/>
  <c r="Z1225" i="5"/>
  <c r="Z1145"/>
  <c r="O7" i="4" s="1"/>
  <c r="N9" s="1"/>
  <c r="Z1065" i="5"/>
  <c r="O52" i="7" s="1"/>
  <c r="N54" s="1"/>
  <c r="Z1005" i="5"/>
  <c r="O25" i="7" s="1"/>
  <c r="N27" s="1"/>
  <c r="Z945" i="5"/>
  <c r="P86" i="4" s="1"/>
  <c r="O88" s="1"/>
  <c r="Z905" i="5"/>
  <c r="Z865"/>
  <c r="Z825"/>
  <c r="P53" i="4" s="1"/>
  <c r="O55" s="1"/>
  <c r="I1909" i="5"/>
  <c r="I1921" s="1"/>
  <c r="Z585"/>
  <c r="N50" i="7" s="1"/>
  <c r="M52" s="1"/>
  <c r="G45" i="25"/>
  <c r="Z525" i="5"/>
  <c r="N23" i="7" s="1"/>
  <c r="M25" s="1"/>
  <c r="Z425" i="5"/>
  <c r="P73" i="4" s="1"/>
  <c r="N77" s="1"/>
  <c r="Z465" i="5"/>
  <c r="Z385"/>
  <c r="P62" i="4" s="1"/>
  <c r="N66" s="1"/>
  <c r="I1239" i="5"/>
  <c r="P1039"/>
  <c r="Z265"/>
  <c r="P29" i="4" s="1"/>
  <c r="N33" s="1"/>
  <c r="Z205" i="5"/>
  <c r="Z145"/>
  <c r="C129" i="2"/>
  <c r="C123"/>
  <c r="C115"/>
  <c r="C131"/>
  <c r="C121"/>
  <c r="C113"/>
  <c r="AC2473" i="5"/>
  <c r="G24" i="10" s="1"/>
  <c r="C147" i="2"/>
  <c r="AC2393" i="5"/>
  <c r="G24" i="9" s="1"/>
  <c r="V15" i="17"/>
  <c r="B28" i="22" s="1"/>
  <c r="I1888" i="5"/>
  <c r="I899"/>
  <c r="AC2073"/>
  <c r="E13" i="10" s="1"/>
  <c r="AC2153" i="5"/>
  <c r="E29" i="10" s="1"/>
  <c r="B36" i="22"/>
  <c r="B35"/>
  <c r="B30"/>
  <c r="B29"/>
  <c r="C22"/>
  <c r="D22"/>
  <c r="B34"/>
  <c r="B33"/>
  <c r="D21"/>
  <c r="C21"/>
  <c r="AE128" i="5"/>
  <c r="C169" i="2"/>
  <c r="C185"/>
  <c r="C179"/>
  <c r="I2014" i="5"/>
  <c r="I2026" s="1"/>
  <c r="AV165"/>
  <c r="O6" i="4" s="1"/>
  <c r="C163" i="2"/>
  <c r="C177"/>
  <c r="C153"/>
  <c r="I1871" i="5"/>
  <c r="P1880" s="1"/>
  <c r="P31" i="17"/>
  <c r="B154" i="12" s="1"/>
  <c r="E142" i="6" s="1"/>
  <c r="AE48" i="5"/>
  <c r="AE88"/>
  <c r="N354"/>
  <c r="N594"/>
  <c r="AE1387"/>
  <c r="AE1248"/>
  <c r="AE1228"/>
  <c r="AE1128"/>
  <c r="AE1107"/>
  <c r="AE1087"/>
  <c r="AE1007"/>
  <c r="AE987"/>
  <c r="AE967"/>
  <c r="AE888"/>
  <c r="AE868"/>
  <c r="AE828"/>
  <c r="AE767"/>
  <c r="AE687"/>
  <c r="AE667"/>
  <c r="AE528"/>
  <c r="AE208"/>
  <c r="AE147"/>
  <c r="AE1427"/>
  <c r="AE1368"/>
  <c r="AE1348"/>
  <c r="AE1308"/>
  <c r="AE1207"/>
  <c r="AE1088"/>
  <c r="AE1068"/>
  <c r="AE968"/>
  <c r="AE907"/>
  <c r="AE768"/>
  <c r="AE748"/>
  <c r="AE648"/>
  <c r="AE567"/>
  <c r="AE467"/>
  <c r="AE247"/>
  <c r="B36" i="31"/>
  <c r="B35"/>
  <c r="B33"/>
  <c r="B34"/>
  <c r="C21"/>
  <c r="D21"/>
  <c r="C30" i="25"/>
  <c r="E30" s="1"/>
  <c r="B29" i="31"/>
  <c r="B30"/>
  <c r="D22"/>
  <c r="C22"/>
  <c r="C145" i="2"/>
  <c r="Z185" i="5"/>
  <c r="P7" i="4" s="1"/>
  <c r="N11" s="1"/>
  <c r="N694" i="5"/>
  <c r="H32" i="17"/>
  <c r="I1912" i="5"/>
  <c r="AE1910" s="1"/>
  <c r="AA1907"/>
  <c r="H23" i="17" s="1"/>
  <c r="I1913" i="5"/>
  <c r="E31" i="21"/>
  <c r="D31"/>
  <c r="E32"/>
  <c r="D32"/>
  <c r="I10" i="5"/>
  <c r="P19" s="1"/>
  <c r="P61" i="4"/>
  <c r="P63"/>
  <c r="P65"/>
  <c r="P64"/>
  <c r="O66" s="1"/>
  <c r="F51" i="25"/>
  <c r="E51"/>
  <c r="D51"/>
  <c r="I1933" i="5"/>
  <c r="AE1931" s="1"/>
  <c r="I1934"/>
  <c r="E52" i="25"/>
  <c r="D52"/>
  <c r="N394" i="5"/>
  <c r="N314"/>
  <c r="AE127"/>
  <c r="I139"/>
  <c r="AE107"/>
  <c r="I119"/>
  <c r="AE87"/>
  <c r="I99"/>
  <c r="AE67"/>
  <c r="I79"/>
  <c r="C135" i="2"/>
  <c r="C127"/>
  <c r="C119"/>
  <c r="C133"/>
  <c r="C125"/>
  <c r="P559" i="5"/>
  <c r="Z1025"/>
  <c r="O34" i="7" s="1"/>
  <c r="N36" s="1"/>
  <c r="AP36" s="1"/>
  <c r="Z625" i="5"/>
  <c r="N68" i="7" s="1"/>
  <c r="M70" s="1"/>
  <c r="P1299" i="5"/>
  <c r="AE1448"/>
  <c r="DC25" i="17"/>
  <c r="C24" i="20"/>
  <c r="C23"/>
  <c r="V12" i="13"/>
  <c r="C29" i="25"/>
  <c r="D29" s="1"/>
  <c r="C37"/>
  <c r="F37" s="1"/>
  <c r="F39" s="1"/>
  <c r="C38"/>
  <c r="J23" i="21"/>
  <c r="G23" s="1"/>
  <c r="J24"/>
  <c r="G24" s="1"/>
  <c r="F25"/>
  <c r="D24"/>
  <c r="E24"/>
  <c r="D34"/>
  <c r="E34"/>
  <c r="D27" i="20"/>
  <c r="E27"/>
  <c r="D26" i="21"/>
  <c r="E26"/>
  <c r="D33" i="20"/>
  <c r="E33"/>
  <c r="C25"/>
  <c r="C26"/>
  <c r="C35"/>
  <c r="C36"/>
  <c r="D23" i="21"/>
  <c r="E23"/>
  <c r="D33"/>
  <c r="E33"/>
  <c r="D28" i="20"/>
  <c r="E28"/>
  <c r="D25" i="21"/>
  <c r="E25"/>
  <c r="D34" i="20"/>
  <c r="E34"/>
  <c r="AA1970" i="5"/>
  <c r="H47" i="17" s="1"/>
  <c r="V17" s="1"/>
  <c r="I1972" i="5"/>
  <c r="I1984" s="1"/>
  <c r="I1973"/>
  <c r="I1985" s="1"/>
  <c r="DA63" i="17"/>
  <c r="P63"/>
  <c r="B186" i="12" s="1"/>
  <c r="H64" i="17"/>
  <c r="I2027" i="5"/>
  <c r="N2022"/>
  <c r="P1985"/>
  <c r="B2746"/>
  <c r="D144" i="6"/>
  <c r="P1984" i="5"/>
  <c r="I2683"/>
  <c r="AE2683" s="1"/>
  <c r="I2684"/>
  <c r="N114"/>
  <c r="AC2053"/>
  <c r="E9" i="10" s="1"/>
  <c r="AC2093" i="5"/>
  <c r="E17" i="10" s="1"/>
  <c r="AC2113" i="5"/>
  <c r="E21" i="10" s="1"/>
  <c r="AC2133" i="5"/>
  <c r="E25" i="10" s="1"/>
  <c r="AC2173" i="5"/>
  <c r="E33" i="10" s="1"/>
  <c r="AC2313" i="5"/>
  <c r="E29" i="9" s="1"/>
  <c r="AC2273" i="5"/>
  <c r="E21" i="9" s="1"/>
  <c r="AC2233" i="5"/>
  <c r="E13" i="9" s="1"/>
  <c r="AC2193" i="5"/>
  <c r="E5" i="9" s="1"/>
  <c r="AC2293" i="5"/>
  <c r="E25" i="9" s="1"/>
  <c r="AC2353" i="5"/>
  <c r="G8" i="9" s="1"/>
  <c r="AC2433" i="5"/>
  <c r="G8" i="10" s="1"/>
  <c r="AC2849" i="5"/>
  <c r="H12" i="9" s="1"/>
  <c r="AC2991" i="5"/>
  <c r="I20" i="10" s="1"/>
  <c r="AC1466" i="5"/>
  <c r="E13" i="14" s="1"/>
  <c r="AC1487" i="5"/>
  <c r="E25" i="14" s="1"/>
  <c r="AC1508" i="5"/>
  <c r="E29" i="14" s="1"/>
  <c r="AC1529" i="5"/>
  <c r="AC1550"/>
  <c r="AC1571"/>
  <c r="AC1592"/>
  <c r="AC1613"/>
  <c r="AC1634"/>
  <c r="AC1655"/>
  <c r="AC1676"/>
  <c r="AC1697"/>
  <c r="E9" i="17" s="1"/>
  <c r="AC1718" i="5"/>
  <c r="E13" i="17" s="1"/>
  <c r="AC1739" i="5"/>
  <c r="E25" i="17" s="1"/>
  <c r="AC1760" i="5"/>
  <c r="E29" i="17" s="1"/>
  <c r="AC1781" i="5"/>
  <c r="E41" i="17" s="1"/>
  <c r="AC1802" i="5"/>
  <c r="E45" i="17" s="1"/>
  <c r="AC1823" i="5"/>
  <c r="E57" i="17" s="1"/>
  <c r="AC1844" i="5"/>
  <c r="E61" i="17" s="1"/>
  <c r="AC1865" i="5"/>
  <c r="G8" i="17" s="1"/>
  <c r="AC1886" i="5"/>
  <c r="G16" i="17" s="1"/>
  <c r="AC1907" i="5"/>
  <c r="G24" i="17" s="1"/>
  <c r="AC1928" i="5"/>
  <c r="G32" i="17" s="1"/>
  <c r="AC1949" i="5"/>
  <c r="G40" i="17" s="1"/>
  <c r="AC1970" i="5"/>
  <c r="G48" i="17" s="1"/>
  <c r="AC1991" i="5"/>
  <c r="G56" i="17" s="1"/>
  <c r="AC2012" i="5"/>
  <c r="G64" i="17" s="1"/>
  <c r="AC2513" i="5"/>
  <c r="G8" i="13" s="1"/>
  <c r="AC2534" i="5"/>
  <c r="G16" i="13" s="1"/>
  <c r="AC2555" i="5"/>
  <c r="G24" i="13" s="1"/>
  <c r="AC2576" i="5"/>
  <c r="G32" i="13" s="1"/>
  <c r="AC2597" i="5"/>
  <c r="G8" i="14" s="1"/>
  <c r="AC2618" i="5"/>
  <c r="G16" i="14" s="1"/>
  <c r="AC2639" i="5"/>
  <c r="G24" i="14" s="1"/>
  <c r="AC2660" i="5"/>
  <c r="G32" i="14" s="1"/>
  <c r="AC2681" i="5"/>
  <c r="H12" i="17" s="1"/>
  <c r="AC2702" i="5"/>
  <c r="H28" i="17" s="1"/>
  <c r="AC2723" i="5"/>
  <c r="H44" i="17" s="1"/>
  <c r="AC2744" i="5"/>
  <c r="H60" i="17" s="1"/>
  <c r="AC2765" i="5"/>
  <c r="H12" i="13" s="1"/>
  <c r="AC2786" i="5"/>
  <c r="H28" i="13" s="1"/>
  <c r="AC2807" i="5"/>
  <c r="H12" i="14" s="1"/>
  <c r="AE488" i="5"/>
  <c r="AE788"/>
  <c r="P1359"/>
  <c r="I1439"/>
  <c r="N1114"/>
  <c r="C165" i="2"/>
  <c r="P30" i="4"/>
  <c r="O29"/>
  <c r="N28"/>
  <c r="O30"/>
  <c r="N1354" i="5"/>
  <c r="Z1325"/>
  <c r="P60" i="4" s="1"/>
  <c r="M66" s="1"/>
  <c r="Z1105" i="5"/>
  <c r="O70" i="7" s="1"/>
  <c r="N72" s="1"/>
  <c r="N1014" i="5"/>
  <c r="N994"/>
  <c r="N514"/>
  <c r="Z105"/>
  <c r="O50" i="7" s="1"/>
  <c r="M54" s="1"/>
  <c r="N94" i="5"/>
  <c r="AE647"/>
  <c r="C155" i="2"/>
  <c r="C187"/>
  <c r="C173"/>
  <c r="C189"/>
  <c r="C181"/>
  <c r="C161"/>
  <c r="C171"/>
  <c r="C143"/>
  <c r="C157"/>
  <c r="C149"/>
  <c r="C183"/>
  <c r="C175"/>
  <c r="C167"/>
  <c r="C159"/>
  <c r="C151"/>
  <c r="AE27" i="5"/>
  <c r="P239"/>
  <c r="P379"/>
  <c r="P439"/>
  <c r="AE148"/>
  <c r="P339"/>
  <c r="I819"/>
  <c r="N69" i="7"/>
  <c r="N60"/>
  <c r="N51"/>
  <c r="N42"/>
  <c r="N33"/>
  <c r="N32"/>
  <c r="M34" s="1"/>
  <c r="N24"/>
  <c r="P87" i="4"/>
  <c r="P85"/>
  <c r="P84"/>
  <c r="N88" s="1"/>
  <c r="P83"/>
  <c r="N83"/>
  <c r="P76"/>
  <c r="P74"/>
  <c r="P72"/>
  <c r="N72"/>
  <c r="N61"/>
  <c r="P54"/>
  <c r="P52"/>
  <c r="P51"/>
  <c r="N55" s="1"/>
  <c r="P50"/>
  <c r="N50"/>
  <c r="P43"/>
  <c r="P41"/>
  <c r="P40"/>
  <c r="N44" s="1"/>
  <c r="P39"/>
  <c r="N39"/>
  <c r="P32"/>
  <c r="P28"/>
  <c r="P21"/>
  <c r="P19"/>
  <c r="P18"/>
  <c r="N22" s="1"/>
  <c r="P17"/>
  <c r="P16"/>
  <c r="M22" s="1"/>
  <c r="AP22" s="1"/>
  <c r="O71" i="7"/>
  <c r="O69"/>
  <c r="O68"/>
  <c r="M72" s="1"/>
  <c r="O62"/>
  <c r="O60"/>
  <c r="O59"/>
  <c r="M63" s="1"/>
  <c r="O53"/>
  <c r="O51"/>
  <c r="O44"/>
  <c r="O42"/>
  <c r="O41"/>
  <c r="M45" s="1"/>
  <c r="O35"/>
  <c r="O33"/>
  <c r="O32"/>
  <c r="M36" s="1"/>
  <c r="O26"/>
  <c r="O24"/>
  <c r="O17"/>
  <c r="O15"/>
  <c r="O85" i="4"/>
  <c r="O84"/>
  <c r="N86" s="1"/>
  <c r="O83"/>
  <c r="P75"/>
  <c r="O77" s="1"/>
  <c r="O74"/>
  <c r="O73"/>
  <c r="N75" s="1"/>
  <c r="O72"/>
  <c r="O63"/>
  <c r="O62"/>
  <c r="N64" s="1"/>
  <c r="O61"/>
  <c r="N60"/>
  <c r="M62" s="1"/>
  <c r="O52"/>
  <c r="O51"/>
  <c r="N53" s="1"/>
  <c r="O50"/>
  <c r="P42"/>
  <c r="O44" s="1"/>
  <c r="O41"/>
  <c r="O39"/>
  <c r="O28"/>
  <c r="P20"/>
  <c r="O22" s="1"/>
  <c r="O19"/>
  <c r="O18"/>
  <c r="N20" s="1"/>
  <c r="N17"/>
  <c r="N16"/>
  <c r="M18" s="1"/>
  <c r="F7" i="5"/>
  <c r="AE68"/>
  <c r="I279"/>
  <c r="I319"/>
  <c r="P479"/>
  <c r="I379"/>
  <c r="I599"/>
  <c r="AE728"/>
  <c r="AE787"/>
  <c r="I939"/>
  <c r="AE928"/>
  <c r="AE827"/>
  <c r="I1079"/>
  <c r="I1279"/>
  <c r="P1439"/>
  <c r="AE1328"/>
  <c r="AE1388"/>
  <c r="O16" i="4"/>
  <c r="M20" s="1"/>
  <c r="N14" i="7"/>
  <c r="M16" s="1"/>
  <c r="O17" i="4"/>
  <c r="N15" i="7"/>
  <c r="O8" i="4"/>
  <c r="N1034" i="5"/>
  <c r="Z985"/>
  <c r="O16" i="7" s="1"/>
  <c r="Z745" i="5"/>
  <c r="P31" i="4" s="1"/>
  <c r="O33" s="1"/>
  <c r="N714" i="5"/>
  <c r="N674"/>
  <c r="Z665"/>
  <c r="P9" i="4" s="1"/>
  <c r="O11" s="1"/>
  <c r="AR11" s="1"/>
  <c r="N634" i="5"/>
  <c r="AE47"/>
  <c r="N74"/>
  <c r="AE108"/>
  <c r="N134"/>
  <c r="N154"/>
  <c r="N274"/>
  <c r="P259"/>
  <c r="P199"/>
  <c r="I239"/>
  <c r="N434"/>
  <c r="AE447"/>
  <c r="AE327"/>
  <c r="P459"/>
  <c r="AE407"/>
  <c r="I359"/>
  <c r="P639"/>
  <c r="P579"/>
  <c r="P519"/>
  <c r="I559"/>
  <c r="AE747"/>
  <c r="AE708"/>
  <c r="N794"/>
  <c r="AE707"/>
  <c r="AE948"/>
  <c r="AE848"/>
  <c r="N854"/>
  <c r="AE908"/>
  <c r="AE847"/>
  <c r="AE808"/>
  <c r="P1119"/>
  <c r="P1059"/>
  <c r="P999"/>
  <c r="I1039"/>
  <c r="N1234"/>
  <c r="AE1188"/>
  <c r="I1199"/>
  <c r="N1394"/>
  <c r="N1434"/>
  <c r="AE1408"/>
  <c r="I1319"/>
  <c r="O6" i="7"/>
  <c r="AE228" i="5"/>
  <c r="N374"/>
  <c r="AE628"/>
  <c r="P679"/>
  <c r="I719"/>
  <c r="N914"/>
  <c r="N834"/>
  <c r="AE1108"/>
  <c r="AE1027"/>
  <c r="AE1208"/>
  <c r="P1159"/>
  <c r="AE1973"/>
  <c r="AE1868"/>
  <c r="AE1678"/>
  <c r="AE1952"/>
  <c r="AE2641"/>
  <c r="AE1930"/>
  <c r="AE1658"/>
  <c r="AE1636"/>
  <c r="AE1847"/>
  <c r="AE1804"/>
  <c r="AE1825"/>
  <c r="AE1784"/>
  <c r="AE1721"/>
  <c r="AE1826"/>
  <c r="AE1763"/>
  <c r="AE1762"/>
  <c r="AE1783"/>
  <c r="AE1700"/>
  <c r="AE1511"/>
  <c r="AE1531"/>
  <c r="AE1447"/>
  <c r="AE1699"/>
  <c r="AE1573"/>
  <c r="AE1552"/>
  <c r="AE1468"/>
  <c r="AE1867"/>
  <c r="AE2621"/>
  <c r="AE2599"/>
  <c r="AE2015"/>
  <c r="AE1951"/>
  <c r="AE1594"/>
  <c r="AE1615"/>
  <c r="AE2663"/>
  <c r="AE1993"/>
  <c r="AE1637"/>
  <c r="AE1657"/>
  <c r="AE1742"/>
  <c r="AE1595"/>
  <c r="AE1720"/>
  <c r="AE1741"/>
  <c r="AE1616"/>
  <c r="AE1469"/>
  <c r="AE1490"/>
  <c r="AE1846"/>
  <c r="AE1510"/>
  <c r="AE1489"/>
  <c r="AE1805"/>
  <c r="AE1679"/>
  <c r="AE1532"/>
  <c r="AE1553"/>
  <c r="O8" i="7"/>
  <c r="P8" i="4"/>
  <c r="N6" i="7"/>
  <c r="N6" i="4"/>
  <c r="P6"/>
  <c r="P10"/>
  <c r="M25" i="14"/>
  <c r="B117" i="12" s="1"/>
  <c r="BS25" i="13"/>
  <c r="BS29" i="14"/>
  <c r="M29"/>
  <c r="B121" i="12" s="1"/>
  <c r="M13" i="14"/>
  <c r="B105" i="12" s="1"/>
  <c r="BS25" i="14"/>
  <c r="M9"/>
  <c r="B101" i="12" s="1"/>
  <c r="BS9" i="14"/>
  <c r="BR9" s="1"/>
  <c r="M9" i="13"/>
  <c r="B70" i="12" s="1"/>
  <c r="M33" i="13"/>
  <c r="B94" i="12" s="1"/>
  <c r="BS33" i="13"/>
  <c r="M17"/>
  <c r="B78" i="12" s="1"/>
  <c r="BS17" i="13"/>
  <c r="M29"/>
  <c r="B90" i="12" s="1"/>
  <c r="M21" i="13"/>
  <c r="B82" i="12" s="1"/>
  <c r="BS21" i="13"/>
  <c r="M13"/>
  <c r="B74" i="12" s="1"/>
  <c r="BS13" i="13"/>
  <c r="AE268" i="5"/>
  <c r="AE348"/>
  <c r="AE168"/>
  <c r="AE607"/>
  <c r="M5" i="13"/>
  <c r="B66" i="12" s="1"/>
  <c r="BS5" i="13"/>
  <c r="BR5" s="1"/>
  <c r="AC2253" i="5"/>
  <c r="E17" i="9" s="1"/>
  <c r="AC2909" i="5"/>
  <c r="H28" i="10" s="1"/>
  <c r="AC2828" i="5"/>
  <c r="H28" i="14" s="1"/>
  <c r="AC2929" i="5"/>
  <c r="I20" i="17" s="1"/>
  <c r="AC2950" i="5"/>
  <c r="I52" i="17" s="1"/>
  <c r="AC3011" i="5"/>
  <c r="I20" i="13" s="1"/>
  <c r="AC3032" i="5"/>
  <c r="I20" i="14" s="1"/>
  <c r="AC3053" i="5"/>
  <c r="J36" i="17" s="1"/>
  <c r="AC2413" i="5"/>
  <c r="G32" i="9" s="1"/>
  <c r="AC2493" i="5"/>
  <c r="G32" i="10" s="1"/>
  <c r="AC2869" i="5"/>
  <c r="H28" i="9" s="1"/>
  <c r="AC2971" i="5"/>
  <c r="I20" i="9" s="1"/>
  <c r="AC2333" i="5"/>
  <c r="E33" i="9" s="1"/>
  <c r="AC2213" i="5"/>
  <c r="E9" i="9" s="1"/>
  <c r="AC2373" i="5"/>
  <c r="G16" i="9" s="1"/>
  <c r="AC2453" i="5"/>
  <c r="G16" i="10" s="1"/>
  <c r="AC2889" i="5"/>
  <c r="H12" i="10" s="1"/>
  <c r="AC2033" i="5"/>
  <c r="E5" i="10" s="1"/>
  <c r="AC1445" i="5"/>
  <c r="E9" i="14" s="1"/>
  <c r="AC25" i="5"/>
  <c r="P1459"/>
  <c r="N1454"/>
  <c r="I679"/>
  <c r="I1019"/>
  <c r="AE28"/>
  <c r="P219"/>
  <c r="AE207"/>
  <c r="AE408"/>
  <c r="I479"/>
  <c r="AE588"/>
  <c r="P779"/>
  <c r="P879"/>
  <c r="I1119"/>
  <c r="AE1167"/>
  <c r="P319"/>
  <c r="N214"/>
  <c r="AE487"/>
  <c r="N534"/>
  <c r="AE627"/>
  <c r="AE527"/>
  <c r="AE688"/>
  <c r="AE727"/>
  <c r="I919"/>
  <c r="AE947"/>
  <c r="AE1008"/>
  <c r="P1079"/>
  <c r="P979"/>
  <c r="N1154"/>
  <c r="P1259"/>
  <c r="P1139"/>
  <c r="I159"/>
  <c r="AE287"/>
  <c r="AE167"/>
  <c r="AE288"/>
  <c r="I259"/>
  <c r="AE187"/>
  <c r="AE427"/>
  <c r="AE388"/>
  <c r="N474"/>
  <c r="I399"/>
  <c r="P539"/>
  <c r="AE608"/>
  <c r="I579"/>
  <c r="AE507"/>
  <c r="I779"/>
  <c r="I659"/>
  <c r="P759"/>
  <c r="I699"/>
  <c r="P659"/>
  <c r="P899"/>
  <c r="P839"/>
  <c r="AE867"/>
  <c r="I1099"/>
  <c r="I979"/>
  <c r="P1099"/>
  <c r="AE1047"/>
  <c r="I999"/>
  <c r="AE1247"/>
  <c r="AE1127"/>
  <c r="I1219"/>
  <c r="AE1147"/>
  <c r="P1379"/>
  <c r="P1319"/>
  <c r="N1314"/>
  <c r="AE308"/>
  <c r="N194"/>
  <c r="AE387"/>
  <c r="N754"/>
  <c r="P699"/>
  <c r="N954"/>
  <c r="I879"/>
  <c r="N1074"/>
  <c r="P1019"/>
  <c r="AE1168"/>
  <c r="N1174"/>
  <c r="P1239"/>
  <c r="F9"/>
  <c r="Z365"/>
  <c r="O60" i="4" s="1"/>
  <c r="M64" s="1"/>
  <c r="N554" i="5"/>
  <c r="I1419"/>
  <c r="AE1367"/>
  <c r="I1299"/>
  <c r="I1339"/>
  <c r="N1334"/>
  <c r="N1274"/>
  <c r="N1194"/>
  <c r="AE1268"/>
  <c r="I1399"/>
  <c r="AE1347"/>
  <c r="I1359"/>
  <c r="F5"/>
  <c r="Z5"/>
  <c r="O5" i="7" s="1"/>
  <c r="M9" s="1"/>
  <c r="N1414" i="5"/>
  <c r="Z1405"/>
  <c r="P82" i="4" s="1"/>
  <c r="M88" s="1"/>
  <c r="N1374" i="5"/>
  <c r="Z1365"/>
  <c r="P71" i="4" s="1"/>
  <c r="M77" s="1"/>
  <c r="N1294" i="5"/>
  <c r="Z1285"/>
  <c r="P49" i="4" s="1"/>
  <c r="M55" s="1"/>
  <c r="N1254" i="5"/>
  <c r="Z1245"/>
  <c r="P38" i="4" s="1"/>
  <c r="M44" s="1"/>
  <c r="N1214" i="5"/>
  <c r="Z1205"/>
  <c r="P27" i="4" s="1"/>
  <c r="M33" s="1"/>
  <c r="N1134" i="5"/>
  <c r="Z1125"/>
  <c r="N1094"/>
  <c r="Z1085"/>
  <c r="O61" i="7" s="1"/>
  <c r="N63" s="1"/>
  <c r="N1054" i="5"/>
  <c r="Z1045"/>
  <c r="O43" i="7" s="1"/>
  <c r="N45" s="1"/>
  <c r="N974" i="5"/>
  <c r="Z965"/>
  <c r="N934"/>
  <c r="Z925"/>
  <c r="N82" i="4" s="1"/>
  <c r="M84" s="1"/>
  <c r="N894" i="5"/>
  <c r="Z885"/>
  <c r="N71" i="4" s="1"/>
  <c r="M73" s="1"/>
  <c r="N814" i="5"/>
  <c r="Z805"/>
  <c r="N49" i="4" s="1"/>
  <c r="M51" s="1"/>
  <c r="N774" i="5"/>
  <c r="Z765"/>
  <c r="N38" i="4" s="1"/>
  <c r="M40" s="1"/>
  <c r="N734" i="5"/>
  <c r="Z725"/>
  <c r="N27" i="4" s="1"/>
  <c r="M29" s="1"/>
  <c r="N654" i="5"/>
  <c r="Z645"/>
  <c r="N5" i="4" s="1"/>
  <c r="M7" s="1"/>
  <c r="N614" i="5"/>
  <c r="Z605"/>
  <c r="N59" i="7" s="1"/>
  <c r="M61" s="1"/>
  <c r="N574" i="5"/>
  <c r="Z565"/>
  <c r="N41" i="7" s="1"/>
  <c r="M43" s="1"/>
  <c r="N494" i="5"/>
  <c r="Z485"/>
  <c r="N5" i="7" s="1"/>
  <c r="M7" s="1"/>
  <c r="N454" i="5"/>
  <c r="Z445"/>
  <c r="O82" i="4" s="1"/>
  <c r="M86" s="1"/>
  <c r="N414" i="5"/>
  <c r="Z405"/>
  <c r="O71" i="4" s="1"/>
  <c r="M75" s="1"/>
  <c r="N334" i="5"/>
  <c r="Z325"/>
  <c r="O49" i="4" s="1"/>
  <c r="M53" s="1"/>
  <c r="N294" i="5"/>
  <c r="Z285"/>
  <c r="O38" i="4" s="1"/>
  <c r="M42" s="1"/>
  <c r="N254" i="5"/>
  <c r="Z245"/>
  <c r="O27" i="4" s="1"/>
  <c r="N174" i="5"/>
  <c r="Z165"/>
  <c r="N54"/>
  <c r="Z45"/>
  <c r="O23" i="7" s="1"/>
  <c r="M27" s="1"/>
  <c r="N34" i="5"/>
  <c r="Z25"/>
  <c r="O14" i="7" s="1"/>
  <c r="M18" s="1"/>
  <c r="F1387" i="5"/>
  <c r="F1385"/>
  <c r="F1390"/>
  <c r="F1389"/>
  <c r="F1347"/>
  <c r="F1345"/>
  <c r="F1350"/>
  <c r="F1349"/>
  <c r="F1227"/>
  <c r="F1225"/>
  <c r="F1230"/>
  <c r="F1229"/>
  <c r="F1187"/>
  <c r="F1185"/>
  <c r="F1190"/>
  <c r="F1189"/>
  <c r="F1067"/>
  <c r="F1065"/>
  <c r="F1070"/>
  <c r="F1069"/>
  <c r="F1027"/>
  <c r="F1025"/>
  <c r="F1030"/>
  <c r="F1029"/>
  <c r="F907"/>
  <c r="F905"/>
  <c r="F910"/>
  <c r="F909"/>
  <c r="F867"/>
  <c r="F865"/>
  <c r="F870"/>
  <c r="F869"/>
  <c r="F747"/>
  <c r="F745"/>
  <c r="F750"/>
  <c r="F749"/>
  <c r="F707"/>
  <c r="F705"/>
  <c r="F710"/>
  <c r="F709"/>
  <c r="F587"/>
  <c r="F585"/>
  <c r="F590"/>
  <c r="F589"/>
  <c r="F547"/>
  <c r="F545"/>
  <c r="F550"/>
  <c r="F549"/>
  <c r="F427"/>
  <c r="F425"/>
  <c r="F430"/>
  <c r="F429"/>
  <c r="F387"/>
  <c r="F385"/>
  <c r="F390"/>
  <c r="F389"/>
  <c r="F267"/>
  <c r="F265"/>
  <c r="F270"/>
  <c r="F269"/>
  <c r="F227"/>
  <c r="F225"/>
  <c r="F230"/>
  <c r="F229"/>
  <c r="AE7"/>
  <c r="N14"/>
  <c r="D63" i="25" l="1"/>
  <c r="E63"/>
  <c r="E64"/>
  <c r="D64"/>
  <c r="I1997" i="5"/>
  <c r="P2006" s="1"/>
  <c r="I1996"/>
  <c r="B2725"/>
  <c r="I2726" s="1"/>
  <c r="AE1889"/>
  <c r="J43" i="25"/>
  <c r="J44"/>
  <c r="N1896" i="5"/>
  <c r="N2021"/>
  <c r="N1979"/>
  <c r="DA15" i="17"/>
  <c r="C24" i="25"/>
  <c r="E24" s="1"/>
  <c r="D24" i="31"/>
  <c r="H16" i="17"/>
  <c r="B24" i="22"/>
  <c r="C24" s="1"/>
  <c r="C23" i="25"/>
  <c r="D23" s="1"/>
  <c r="B23" i="31"/>
  <c r="C23" s="1"/>
  <c r="P15" i="17"/>
  <c r="B138" i="12" s="1"/>
  <c r="B2686" i="5" s="1"/>
  <c r="AA2684" s="1"/>
  <c r="B23" i="22"/>
  <c r="D23" s="1"/>
  <c r="I1900" i="5"/>
  <c r="N1895"/>
  <c r="AE1909"/>
  <c r="C27" i="25"/>
  <c r="D27" s="1"/>
  <c r="B27" i="31"/>
  <c r="C27" s="1"/>
  <c r="B28"/>
  <c r="C28" s="1"/>
  <c r="C28" i="25"/>
  <c r="D28" s="1"/>
  <c r="B27" i="22"/>
  <c r="C27" s="1"/>
  <c r="AE2014" i="5"/>
  <c r="AE1888"/>
  <c r="D30" i="25"/>
  <c r="D33" i="22"/>
  <c r="C33"/>
  <c r="C30"/>
  <c r="D30"/>
  <c r="C36"/>
  <c r="D36"/>
  <c r="B32"/>
  <c r="B31"/>
  <c r="C34"/>
  <c r="D34"/>
  <c r="C28"/>
  <c r="D28"/>
  <c r="D24"/>
  <c r="D29"/>
  <c r="C29"/>
  <c r="D35"/>
  <c r="C35"/>
  <c r="B2707" i="5"/>
  <c r="I2707" s="1"/>
  <c r="D30" i="31"/>
  <c r="C30"/>
  <c r="C33"/>
  <c r="D33"/>
  <c r="D36"/>
  <c r="C36"/>
  <c r="B32"/>
  <c r="B31"/>
  <c r="C29"/>
  <c r="D29"/>
  <c r="D34"/>
  <c r="C34"/>
  <c r="C35"/>
  <c r="D35"/>
  <c r="AE8" i="5"/>
  <c r="AE1972"/>
  <c r="AA2681"/>
  <c r="I11" i="17" s="1"/>
  <c r="AP68" i="7"/>
  <c r="N1980" i="5"/>
  <c r="P1943"/>
  <c r="N1938"/>
  <c r="P1942"/>
  <c r="N1937"/>
  <c r="P1922"/>
  <c r="N1917"/>
  <c r="P1921"/>
  <c r="N1916"/>
  <c r="H24" i="17"/>
  <c r="V14"/>
  <c r="P23"/>
  <c r="B146" i="12" s="1"/>
  <c r="DA23" i="17"/>
  <c r="AE32" i="7"/>
  <c r="AP34"/>
  <c r="AS34" s="1"/>
  <c r="J51" i="25"/>
  <c r="J52"/>
  <c r="AO68" i="7"/>
  <c r="AE70"/>
  <c r="AE52"/>
  <c r="J40" i="25"/>
  <c r="J39"/>
  <c r="AP59" i="7"/>
  <c r="AQ73" i="4"/>
  <c r="AR16"/>
  <c r="AO50" i="7"/>
  <c r="AP60" i="4"/>
  <c r="AO32" i="7"/>
  <c r="DC29" i="17"/>
  <c r="DC33" s="1"/>
  <c r="DC37" s="1"/>
  <c r="AQ18" i="4"/>
  <c r="AQ16"/>
  <c r="AP16"/>
  <c r="E29" i="25"/>
  <c r="C21" i="20"/>
  <c r="C22"/>
  <c r="D24"/>
  <c r="E24"/>
  <c r="D23"/>
  <c r="E23"/>
  <c r="E29" i="13"/>
  <c r="E21"/>
  <c r="E13"/>
  <c r="E5"/>
  <c r="E33"/>
  <c r="E25"/>
  <c r="E17"/>
  <c r="E9"/>
  <c r="M31" i="4"/>
  <c r="AP31" s="1"/>
  <c r="N31"/>
  <c r="AQ31" s="1"/>
  <c r="J38" i="25"/>
  <c r="J37"/>
  <c r="F41"/>
  <c r="C65"/>
  <c r="C66"/>
  <c r="C59"/>
  <c r="F59" s="1"/>
  <c r="C60"/>
  <c r="C36"/>
  <c r="C35"/>
  <c r="AC5" i="5"/>
  <c r="AR9" i="4"/>
  <c r="J25" i="21"/>
  <c r="G25" s="1"/>
  <c r="J26"/>
  <c r="G26" s="1"/>
  <c r="D37" i="25"/>
  <c r="E37"/>
  <c r="C34"/>
  <c r="C33"/>
  <c r="D38"/>
  <c r="E38"/>
  <c r="F31" i="21"/>
  <c r="D36" i="20"/>
  <c r="E36"/>
  <c r="D35"/>
  <c r="E35"/>
  <c r="D26"/>
  <c r="E26"/>
  <c r="D25"/>
  <c r="E25"/>
  <c r="I2747" i="5"/>
  <c r="I2759" s="1"/>
  <c r="I2746"/>
  <c r="B2749"/>
  <c r="E144" i="6"/>
  <c r="DA47" i="17"/>
  <c r="P47"/>
  <c r="B170" i="12" s="1"/>
  <c r="H48" i="17"/>
  <c r="I2696" i="5"/>
  <c r="N2691"/>
  <c r="I2695"/>
  <c r="AQ51" i="4"/>
  <c r="AE59" i="7"/>
  <c r="AO23"/>
  <c r="AE41"/>
  <c r="AO14"/>
  <c r="AQ40" i="4"/>
  <c r="AQ62"/>
  <c r="AQ84"/>
  <c r="AQ7"/>
  <c r="N18" i="7"/>
  <c r="AP18" s="1"/>
  <c r="AP16"/>
  <c r="AS16" s="1"/>
  <c r="P5" i="4"/>
  <c r="AJ5" s="1"/>
  <c r="O7" i="7"/>
  <c r="X7" s="1"/>
  <c r="AP38" i="4"/>
  <c r="AP5"/>
  <c r="AO5" i="7"/>
  <c r="O5" i="4"/>
  <c r="AD5" s="1"/>
  <c r="AP23" i="7"/>
  <c r="BS13" i="14"/>
  <c r="BR13" s="1"/>
  <c r="BS29" i="13"/>
  <c r="BS9"/>
  <c r="BR9" s="1"/>
  <c r="BR13" s="1"/>
  <c r="BR17" s="1"/>
  <c r="M25"/>
  <c r="B86" i="12" s="1"/>
  <c r="B2518" i="5"/>
  <c r="B2662"/>
  <c r="AA2660" s="1"/>
  <c r="H31" i="14" s="1"/>
  <c r="V11" s="1"/>
  <c r="D140" i="6"/>
  <c r="B2644" i="5"/>
  <c r="E139" i="6"/>
  <c r="B2578" i="5"/>
  <c r="AE34" i="7"/>
  <c r="AO63"/>
  <c r="AE16"/>
  <c r="AP20" i="4"/>
  <c r="AP18"/>
  <c r="AP29"/>
  <c r="AP27"/>
  <c r="AQ33"/>
  <c r="AR29"/>
  <c r="AQ29"/>
  <c r="AP5" i="7"/>
  <c r="AQ27" i="4"/>
  <c r="AP75"/>
  <c r="AQ71"/>
  <c r="AP86"/>
  <c r="AQ82"/>
  <c r="AP63" i="7"/>
  <c r="AP61"/>
  <c r="AS61" s="1"/>
  <c r="AP44" i="4"/>
  <c r="AR38"/>
  <c r="AP55"/>
  <c r="AR49"/>
  <c r="AP77"/>
  <c r="AR71"/>
  <c r="AP88"/>
  <c r="AR82"/>
  <c r="AO54" i="7"/>
  <c r="AP50"/>
  <c r="AP27"/>
  <c r="AP25"/>
  <c r="AS25" s="1"/>
  <c r="AP72"/>
  <c r="AP70"/>
  <c r="AS70" s="1"/>
  <c r="AP64" i="4"/>
  <c r="AQ60"/>
  <c r="AP42"/>
  <c r="AQ38"/>
  <c r="AP53"/>
  <c r="AQ49"/>
  <c r="AP33"/>
  <c r="AR27"/>
  <c r="AO36" i="7"/>
  <c r="AS36" s="1"/>
  <c r="AP32"/>
  <c r="AP54"/>
  <c r="AP52"/>
  <c r="AS52" s="1"/>
  <c r="AO45"/>
  <c r="AP41"/>
  <c r="AQ22" i="4"/>
  <c r="AR18"/>
  <c r="AR22"/>
  <c r="AR20"/>
  <c r="AR33"/>
  <c r="AR31"/>
  <c r="AQ44"/>
  <c r="AR40"/>
  <c r="AR44"/>
  <c r="AR42"/>
  <c r="AQ55"/>
  <c r="AR51"/>
  <c r="AR55"/>
  <c r="AR53"/>
  <c r="AP66"/>
  <c r="AR60"/>
  <c r="AQ66"/>
  <c r="AR62"/>
  <c r="AR66"/>
  <c r="AR64"/>
  <c r="AQ77"/>
  <c r="AR73"/>
  <c r="AR77"/>
  <c r="AR75"/>
  <c r="AQ88"/>
  <c r="AR84"/>
  <c r="AR88"/>
  <c r="AR86"/>
  <c r="AR7"/>
  <c r="AQ11"/>
  <c r="AP51"/>
  <c r="AP84"/>
  <c r="AQ42"/>
  <c r="AQ75"/>
  <c r="AP62"/>
  <c r="AP40"/>
  <c r="AP73"/>
  <c r="AQ20"/>
  <c r="AQ53"/>
  <c r="AQ64"/>
  <c r="AQ86"/>
  <c r="AQ9"/>
  <c r="AK5"/>
  <c r="AF5"/>
  <c r="AE29"/>
  <c r="AJ29"/>
  <c r="AI29"/>
  <c r="AK29"/>
  <c r="AF29"/>
  <c r="AB7"/>
  <c r="AE43" i="7"/>
  <c r="AP45"/>
  <c r="Z5"/>
  <c r="AD5"/>
  <c r="AD7"/>
  <c r="W5"/>
  <c r="AE50"/>
  <c r="AE25"/>
  <c r="AE23"/>
  <c r="AO27"/>
  <c r="AO18"/>
  <c r="AE14"/>
  <c r="AE61"/>
  <c r="Z7"/>
  <c r="AF9" i="4"/>
  <c r="AB9"/>
  <c r="AK9"/>
  <c r="AF27"/>
  <c r="Z27"/>
  <c r="AK27"/>
  <c r="AA29"/>
  <c r="AF49"/>
  <c r="Z49"/>
  <c r="AK49"/>
  <c r="AK51"/>
  <c r="AF51"/>
  <c r="AA51"/>
  <c r="AF71"/>
  <c r="Z71"/>
  <c r="AK71"/>
  <c r="AK73"/>
  <c r="AF73"/>
  <c r="AA73"/>
  <c r="AF16"/>
  <c r="Z16"/>
  <c r="AK16"/>
  <c r="AK18"/>
  <c r="AF18"/>
  <c r="AA18"/>
  <c r="AF38"/>
  <c r="Z38"/>
  <c r="AK38"/>
  <c r="AK40"/>
  <c r="AF40"/>
  <c r="AA40"/>
  <c r="AF60"/>
  <c r="Z60"/>
  <c r="AK60"/>
  <c r="AK62"/>
  <c r="AF62"/>
  <c r="AA62"/>
  <c r="AF82"/>
  <c r="Z82"/>
  <c r="AK82"/>
  <c r="AK84"/>
  <c r="AF84"/>
  <c r="AA84"/>
  <c r="AK7"/>
  <c r="AF7"/>
  <c r="AA7"/>
  <c r="AD16"/>
  <c r="AI16"/>
  <c r="AA16"/>
  <c r="AJ18"/>
  <c r="AE18"/>
  <c r="AB18"/>
  <c r="AB20"/>
  <c r="AK20"/>
  <c r="AF20"/>
  <c r="AJ27"/>
  <c r="AE27"/>
  <c r="AB27"/>
  <c r="AD38"/>
  <c r="AI38"/>
  <c r="AA38"/>
  <c r="AJ40"/>
  <c r="AE40"/>
  <c r="AB40"/>
  <c r="AB42"/>
  <c r="AK42"/>
  <c r="AF42"/>
  <c r="AJ49"/>
  <c r="AE49"/>
  <c r="AB49"/>
  <c r="AD60"/>
  <c r="AI60"/>
  <c r="AA60"/>
  <c r="AJ62"/>
  <c r="AE62"/>
  <c r="AB62"/>
  <c r="AB64"/>
  <c r="AK64"/>
  <c r="AF64"/>
  <c r="AJ71"/>
  <c r="AE71"/>
  <c r="AB71"/>
  <c r="AD82"/>
  <c r="AI82"/>
  <c r="AA82"/>
  <c r="AJ84"/>
  <c r="AE84"/>
  <c r="AB84"/>
  <c r="AB86"/>
  <c r="AK86"/>
  <c r="AF86"/>
  <c r="AJ16"/>
  <c r="AE16"/>
  <c r="AB16"/>
  <c r="AI27"/>
  <c r="AA27"/>
  <c r="AD27"/>
  <c r="AB29"/>
  <c r="AB31"/>
  <c r="AK31"/>
  <c r="AF31"/>
  <c r="AJ38"/>
  <c r="AE38"/>
  <c r="AB38"/>
  <c r="AI49"/>
  <c r="AA49"/>
  <c r="AD49"/>
  <c r="AJ51"/>
  <c r="AE51"/>
  <c r="AB51"/>
  <c r="AB53"/>
  <c r="AK53"/>
  <c r="AF53"/>
  <c r="AJ60"/>
  <c r="AE60"/>
  <c r="AB60"/>
  <c r="AI71"/>
  <c r="AA71"/>
  <c r="AD71"/>
  <c r="AJ73"/>
  <c r="AE73"/>
  <c r="AB73"/>
  <c r="AB75"/>
  <c r="AK75"/>
  <c r="AF75"/>
  <c r="AJ82"/>
  <c r="AE82"/>
  <c r="AB82"/>
  <c r="Z5"/>
  <c r="AP7"/>
  <c r="AJ7"/>
  <c r="AE7"/>
  <c r="AA61" i="7"/>
  <c r="X61"/>
  <c r="AA50"/>
  <c r="X50"/>
  <c r="Z41"/>
  <c r="W41"/>
  <c r="AD41"/>
  <c r="AA25"/>
  <c r="X25"/>
  <c r="AA14"/>
  <c r="X14"/>
  <c r="AO72"/>
  <c r="AE68"/>
  <c r="AA68"/>
  <c r="X68"/>
  <c r="AA52"/>
  <c r="X52"/>
  <c r="AA41"/>
  <c r="X41"/>
  <c r="Z32"/>
  <c r="W32"/>
  <c r="AD32"/>
  <c r="AA16"/>
  <c r="X16"/>
  <c r="W68"/>
  <c r="Z68"/>
  <c r="AD68"/>
  <c r="Z59"/>
  <c r="W59"/>
  <c r="AD59"/>
  <c r="AA43"/>
  <c r="X43"/>
  <c r="AA32"/>
  <c r="X32"/>
  <c r="Z23"/>
  <c r="W23"/>
  <c r="AD23"/>
  <c r="AA70"/>
  <c r="X70"/>
  <c r="AA59"/>
  <c r="X59"/>
  <c r="Z50"/>
  <c r="W50"/>
  <c r="AD50"/>
  <c r="AA34"/>
  <c r="X34"/>
  <c r="AA23"/>
  <c r="X23"/>
  <c r="Z14"/>
  <c r="W14"/>
  <c r="AD14"/>
  <c r="X63"/>
  <c r="Z54"/>
  <c r="W54"/>
  <c r="Z36"/>
  <c r="W36"/>
  <c r="X27"/>
  <c r="Z18"/>
  <c r="W18"/>
  <c r="AE72"/>
  <c r="Z63"/>
  <c r="W63"/>
  <c r="X54"/>
  <c r="Z45"/>
  <c r="W45"/>
  <c r="AE36"/>
  <c r="X36"/>
  <c r="AA36"/>
  <c r="Z27"/>
  <c r="W27"/>
  <c r="AO9"/>
  <c r="P2005" i="5" l="1"/>
  <c r="AE1994"/>
  <c r="I2725"/>
  <c r="I2737" s="1"/>
  <c r="H43" i="25"/>
  <c r="G43"/>
  <c r="G44"/>
  <c r="H44"/>
  <c r="E141" i="6"/>
  <c r="C23" i="22"/>
  <c r="E23" i="25"/>
  <c r="D24"/>
  <c r="I2687" i="5"/>
  <c r="P2696" s="1"/>
  <c r="I2686"/>
  <c r="N2690" s="1"/>
  <c r="D23" i="31"/>
  <c r="AB68" i="7"/>
  <c r="D28" i="31"/>
  <c r="D27"/>
  <c r="D27" i="22"/>
  <c r="E27" i="25"/>
  <c r="E28"/>
  <c r="AF68" i="7"/>
  <c r="I2708" i="5"/>
  <c r="P2717" s="1"/>
  <c r="AF23" i="7"/>
  <c r="P68"/>
  <c r="AS68"/>
  <c r="B20" i="23"/>
  <c r="B19"/>
  <c r="B26" i="22"/>
  <c r="B25"/>
  <c r="C32"/>
  <c r="D32"/>
  <c r="D31"/>
  <c r="C31"/>
  <c r="B19" i="30"/>
  <c r="B20"/>
  <c r="B25" i="31"/>
  <c r="B26"/>
  <c r="D32"/>
  <c r="C32"/>
  <c r="C31"/>
  <c r="D31"/>
  <c r="AF32" i="7"/>
  <c r="P11" i="17"/>
  <c r="B134" i="12" s="1"/>
  <c r="I12" i="17"/>
  <c r="V8"/>
  <c r="CZ11"/>
  <c r="B2704" i="5"/>
  <c r="AA2702" s="1"/>
  <c r="I27" i="17" s="1"/>
  <c r="P27" s="1"/>
  <c r="B150" i="12" s="1"/>
  <c r="D142" i="6"/>
  <c r="C26" i="25"/>
  <c r="C25"/>
  <c r="H51"/>
  <c r="A51" s="1"/>
  <c r="G51"/>
  <c r="G52"/>
  <c r="H52"/>
  <c r="A52" s="1"/>
  <c r="G40"/>
  <c r="G39"/>
  <c r="AS32" i="7"/>
  <c r="AS50"/>
  <c r="AT16" i="4"/>
  <c r="DC41" i="17"/>
  <c r="DC45" s="1"/>
  <c r="DC49" s="1"/>
  <c r="DC53" s="1"/>
  <c r="DC57" s="1"/>
  <c r="DC61" s="1"/>
  <c r="DC65" s="1"/>
  <c r="F21" i="20"/>
  <c r="E21"/>
  <c r="D21"/>
  <c r="E22"/>
  <c r="D22"/>
  <c r="AF14" i="7"/>
  <c r="J60" i="25"/>
  <c r="J59"/>
  <c r="J42"/>
  <c r="J41"/>
  <c r="H38"/>
  <c r="G38"/>
  <c r="G37"/>
  <c r="H37"/>
  <c r="F47"/>
  <c r="E65"/>
  <c r="D65"/>
  <c r="E66"/>
  <c r="D66"/>
  <c r="D59"/>
  <c r="E59"/>
  <c r="D60"/>
  <c r="E60"/>
  <c r="AA5" i="4"/>
  <c r="D36" i="25"/>
  <c r="E36"/>
  <c r="D35"/>
  <c r="E35"/>
  <c r="C32"/>
  <c r="C31"/>
  <c r="J31" i="21"/>
  <c r="G31" s="1"/>
  <c r="J32"/>
  <c r="G32" s="1"/>
  <c r="D33" i="25"/>
  <c r="E33"/>
  <c r="D34"/>
  <c r="E34"/>
  <c r="F33" i="21"/>
  <c r="C19"/>
  <c r="C20"/>
  <c r="B2728" i="5"/>
  <c r="AA2723" s="1"/>
  <c r="I43" i="17" s="1"/>
  <c r="V10" s="1"/>
  <c r="E143" i="6"/>
  <c r="I2738" i="5"/>
  <c r="I2749"/>
  <c r="AA2744"/>
  <c r="I59" i="17" s="1"/>
  <c r="I2750" i="5"/>
  <c r="P2716"/>
  <c r="AE2705"/>
  <c r="I2758"/>
  <c r="AE2746"/>
  <c r="AA7" i="7"/>
  <c r="AB7" s="1"/>
  <c r="AE7"/>
  <c r="AF7" s="1"/>
  <c r="AI5" i="4"/>
  <c r="AL5" s="1"/>
  <c r="H32" i="14"/>
  <c r="M31"/>
  <c r="B123" i="12" s="1"/>
  <c r="BT31" i="14"/>
  <c r="AS23" i="7"/>
  <c r="X18"/>
  <c r="P18" s="1"/>
  <c r="AF41"/>
  <c r="AT7" i="4"/>
  <c r="AF50" i="7"/>
  <c r="AF59"/>
  <c r="AE5" i="4"/>
  <c r="AG5" s="1"/>
  <c r="AB5"/>
  <c r="AS5" i="7"/>
  <c r="AR5" i="4"/>
  <c r="M11"/>
  <c r="AP11" s="1"/>
  <c r="AT11" s="1"/>
  <c r="AQ5"/>
  <c r="M9"/>
  <c r="AP9" s="1"/>
  <c r="AT9" s="1"/>
  <c r="AP7" i="7"/>
  <c r="AS7" s="1"/>
  <c r="N9"/>
  <c r="X9" s="1"/>
  <c r="AP43"/>
  <c r="AS43" s="1"/>
  <c r="AP82" i="4"/>
  <c r="AT82" s="1"/>
  <c r="AP71"/>
  <c r="AT71" s="1"/>
  <c r="AP49"/>
  <c r="AT49" s="1"/>
  <c r="AO59" i="7"/>
  <c r="AS59" s="1"/>
  <c r="AO41"/>
  <c r="AS41" s="1"/>
  <c r="AP14"/>
  <c r="AS14" s="1"/>
  <c r="AT18" i="4"/>
  <c r="AS63" i="7"/>
  <c r="X5"/>
  <c r="P5" s="1"/>
  <c r="AD27"/>
  <c r="AD18"/>
  <c r="BR17" i="14"/>
  <c r="D136" i="6"/>
  <c r="BR21" i="13"/>
  <c r="E133" i="6"/>
  <c r="I2662" i="5"/>
  <c r="N2669" s="1"/>
  <c r="I2663"/>
  <c r="B2620"/>
  <c r="AA2618" s="1"/>
  <c r="H15" i="14" s="1"/>
  <c r="V9" s="1"/>
  <c r="D138" i="6"/>
  <c r="AA2639" i="5"/>
  <c r="H23" i="14" s="1"/>
  <c r="V10" s="1"/>
  <c r="I2644" i="5"/>
  <c r="I2645"/>
  <c r="B2602"/>
  <c r="E137" i="6"/>
  <c r="B2581" i="5"/>
  <c r="E136" i="6"/>
  <c r="B2539" i="5"/>
  <c r="E134" i="6"/>
  <c r="I2579" i="5"/>
  <c r="I2591" s="1"/>
  <c r="I2578"/>
  <c r="B2557"/>
  <c r="D135" i="6"/>
  <c r="I2518" i="5"/>
  <c r="I2519"/>
  <c r="B2536"/>
  <c r="D134" i="6"/>
  <c r="B2515" i="5"/>
  <c r="AA2513" s="1"/>
  <c r="D133" i="6"/>
  <c r="P63" i="7"/>
  <c r="P27"/>
  <c r="AA18"/>
  <c r="AB18" s="1"/>
  <c r="AE18"/>
  <c r="AD45"/>
  <c r="AA54"/>
  <c r="AB54" s="1"/>
  <c r="AE54"/>
  <c r="AD63"/>
  <c r="X72"/>
  <c r="AA72"/>
  <c r="AA27"/>
  <c r="AB27" s="1"/>
  <c r="AE27"/>
  <c r="AF27" s="1"/>
  <c r="AD36"/>
  <c r="AF36" s="1"/>
  <c r="X45"/>
  <c r="P45" s="1"/>
  <c r="AD54"/>
  <c r="AF54" s="1"/>
  <c r="AA63"/>
  <c r="AB63" s="1"/>
  <c r="AE63"/>
  <c r="AS72"/>
  <c r="AS18"/>
  <c r="AS27"/>
  <c r="AT22" i="4"/>
  <c r="AA5" i="7"/>
  <c r="AB5" s="1"/>
  <c r="AA45"/>
  <c r="AB45" s="1"/>
  <c r="AE45"/>
  <c r="AG71" i="4"/>
  <c r="AG49"/>
  <c r="AD29"/>
  <c r="AG29" s="1"/>
  <c r="AT60"/>
  <c r="AT38"/>
  <c r="P14" i="7"/>
  <c r="P50"/>
  <c r="AL71" i="4"/>
  <c r="AL49"/>
  <c r="AT20"/>
  <c r="AT40"/>
  <c r="AT62"/>
  <c r="AT51"/>
  <c r="AT73"/>
  <c r="AT31"/>
  <c r="AT84"/>
  <c r="AE5" i="7"/>
  <c r="AF5" s="1"/>
  <c r="AT33" i="4"/>
  <c r="AT29"/>
  <c r="AT64"/>
  <c r="AS54" i="7"/>
  <c r="AT88" i="4"/>
  <c r="AT77"/>
  <c r="AT55"/>
  <c r="AT44"/>
  <c r="AT86"/>
  <c r="AT75"/>
  <c r="AT66"/>
  <c r="AS45" i="7"/>
  <c r="AT53" i="4"/>
  <c r="AT42"/>
  <c r="AT27"/>
  <c r="AB14" i="7"/>
  <c r="AB50"/>
  <c r="P41"/>
  <c r="P23"/>
  <c r="P59"/>
  <c r="P32"/>
  <c r="AG82" i="4"/>
  <c r="AG60"/>
  <c r="AG38"/>
  <c r="Q82"/>
  <c r="Q60"/>
  <c r="Q38"/>
  <c r="Q71"/>
  <c r="Q49"/>
  <c r="Q27"/>
  <c r="P36" i="7"/>
  <c r="AB36"/>
  <c r="P54"/>
  <c r="AB23"/>
  <c r="AB59"/>
  <c r="AB32"/>
  <c r="AB41"/>
  <c r="AL82" i="4"/>
  <c r="AL60"/>
  <c r="AL38"/>
  <c r="AL27"/>
  <c r="AG27"/>
  <c r="AG16"/>
  <c r="Q16"/>
  <c r="AL16"/>
  <c r="AL29"/>
  <c r="W7" i="7"/>
  <c r="P7" s="1"/>
  <c r="AE11" i="4"/>
  <c r="AA11"/>
  <c r="AJ11"/>
  <c r="AJ9"/>
  <c r="AA9"/>
  <c r="AD75"/>
  <c r="AJ75"/>
  <c r="AA75"/>
  <c r="AE75"/>
  <c r="AI75"/>
  <c r="Z75"/>
  <c r="AA53"/>
  <c r="AD53"/>
  <c r="AJ53"/>
  <c r="AE53"/>
  <c r="AI53"/>
  <c r="Z53"/>
  <c r="AD31"/>
  <c r="AJ31"/>
  <c r="AA31"/>
  <c r="AE31"/>
  <c r="AI31"/>
  <c r="Z31"/>
  <c r="AD86"/>
  <c r="AJ86"/>
  <c r="AA86"/>
  <c r="AE86"/>
  <c r="AI86"/>
  <c r="Z86"/>
  <c r="AD64"/>
  <c r="AJ64"/>
  <c r="AA64"/>
  <c r="AE64"/>
  <c r="AI64"/>
  <c r="Z64"/>
  <c r="AD42"/>
  <c r="AJ42"/>
  <c r="AA42"/>
  <c r="AE42"/>
  <c r="AI42"/>
  <c r="Z42"/>
  <c r="AA20"/>
  <c r="AD20"/>
  <c r="AJ20"/>
  <c r="AE20"/>
  <c r="AI20"/>
  <c r="Z20"/>
  <c r="Z84"/>
  <c r="Q84" s="1"/>
  <c r="AD84"/>
  <c r="AG84" s="1"/>
  <c r="AI84"/>
  <c r="AL84" s="1"/>
  <c r="AD88"/>
  <c r="AI88"/>
  <c r="Z88"/>
  <c r="AI62"/>
  <c r="AL62" s="1"/>
  <c r="Z62"/>
  <c r="Q62" s="1"/>
  <c r="AD62"/>
  <c r="AG62" s="1"/>
  <c r="AD66"/>
  <c r="AI66"/>
  <c r="Z66"/>
  <c r="AI40"/>
  <c r="AL40" s="1"/>
  <c r="Z40"/>
  <c r="Q40" s="1"/>
  <c r="AD40"/>
  <c r="AG40" s="1"/>
  <c r="AD44"/>
  <c r="AI44"/>
  <c r="Z44"/>
  <c r="Z18"/>
  <c r="Q18" s="1"/>
  <c r="AD18"/>
  <c r="AG18" s="1"/>
  <c r="AI18"/>
  <c r="AL18" s="1"/>
  <c r="AD22"/>
  <c r="AI22"/>
  <c r="Z22"/>
  <c r="AI73"/>
  <c r="AL73" s="1"/>
  <c r="Z73"/>
  <c r="Q73" s="1"/>
  <c r="AD73"/>
  <c r="AG73" s="1"/>
  <c r="AD77"/>
  <c r="AI77"/>
  <c r="Z77"/>
  <c r="Z51"/>
  <c r="Q51" s="1"/>
  <c r="AD51"/>
  <c r="AG51" s="1"/>
  <c r="AI51"/>
  <c r="AL51" s="1"/>
  <c r="AD55"/>
  <c r="AI55"/>
  <c r="Z55"/>
  <c r="Z29"/>
  <c r="Q29" s="1"/>
  <c r="AD33"/>
  <c r="AI33"/>
  <c r="Z33"/>
  <c r="AK11"/>
  <c r="AF11"/>
  <c r="AB11"/>
  <c r="AI7"/>
  <c r="AL7" s="1"/>
  <c r="AD7"/>
  <c r="AG7" s="1"/>
  <c r="Z7"/>
  <c r="Q7" s="1"/>
  <c r="AK77"/>
  <c r="AB77"/>
  <c r="AF77"/>
  <c r="AJ77"/>
  <c r="AA77"/>
  <c r="AE77"/>
  <c r="AK55"/>
  <c r="AB55"/>
  <c r="AF55"/>
  <c r="AA55"/>
  <c r="AE55"/>
  <c r="AJ55"/>
  <c r="AK33"/>
  <c r="AB33"/>
  <c r="AF33"/>
  <c r="AJ33"/>
  <c r="AA33"/>
  <c r="AE33"/>
  <c r="AK88"/>
  <c r="AB88"/>
  <c r="AF88"/>
  <c r="AJ88"/>
  <c r="AA88"/>
  <c r="AE88"/>
  <c r="AK66"/>
  <c r="AB66"/>
  <c r="AF66"/>
  <c r="AJ66"/>
  <c r="AA66"/>
  <c r="AE66"/>
  <c r="AK44"/>
  <c r="AB44"/>
  <c r="AF44"/>
  <c r="AJ44"/>
  <c r="AA44"/>
  <c r="AE44"/>
  <c r="AK22"/>
  <c r="AB22"/>
  <c r="AF22"/>
  <c r="AA22"/>
  <c r="AE22"/>
  <c r="AJ22"/>
  <c r="AD9"/>
  <c r="Z16" i="7"/>
  <c r="AB16" s="1"/>
  <c r="AD16"/>
  <c r="AF16" s="1"/>
  <c r="W16"/>
  <c r="P16" s="1"/>
  <c r="Z52"/>
  <c r="AB52" s="1"/>
  <c r="AD52"/>
  <c r="AF52" s="1"/>
  <c r="W52"/>
  <c r="P52" s="1"/>
  <c r="Z25"/>
  <c r="AB25" s="1"/>
  <c r="AD25"/>
  <c r="AF25" s="1"/>
  <c r="W25"/>
  <c r="P25" s="1"/>
  <c r="Z61"/>
  <c r="AB61" s="1"/>
  <c r="AD61"/>
  <c r="AF61" s="1"/>
  <c r="W61"/>
  <c r="P61" s="1"/>
  <c r="Z70"/>
  <c r="AB70" s="1"/>
  <c r="AD70"/>
  <c r="AF70" s="1"/>
  <c r="W70"/>
  <c r="P70" s="1"/>
  <c r="Z34"/>
  <c r="AB34" s="1"/>
  <c r="AD34"/>
  <c r="AF34" s="1"/>
  <c r="W34"/>
  <c r="P34" s="1"/>
  <c r="W72"/>
  <c r="Z72"/>
  <c r="AD72"/>
  <c r="AF72" s="1"/>
  <c r="Z43"/>
  <c r="AB43" s="1"/>
  <c r="AD43"/>
  <c r="AF43" s="1"/>
  <c r="W43"/>
  <c r="P43" s="1"/>
  <c r="Z9"/>
  <c r="AD9"/>
  <c r="W9"/>
  <c r="AE2725" i="5" l="1"/>
  <c r="AE2684"/>
  <c r="P2695"/>
  <c r="R68" i="7"/>
  <c r="Q68"/>
  <c r="AL20" i="4"/>
  <c r="AE9" i="7"/>
  <c r="AF9" s="1"/>
  <c r="AT5" i="4"/>
  <c r="AL53"/>
  <c r="B18" i="23"/>
  <c r="B17"/>
  <c r="B16"/>
  <c r="B15"/>
  <c r="B18" i="22"/>
  <c r="B17"/>
  <c r="C26"/>
  <c r="D26"/>
  <c r="C20" i="23"/>
  <c r="D20"/>
  <c r="B14" i="22"/>
  <c r="B13"/>
  <c r="D25"/>
  <c r="C25"/>
  <c r="D19" i="23"/>
  <c r="C19"/>
  <c r="I28" i="17"/>
  <c r="V9"/>
  <c r="B18" i="30"/>
  <c r="B17"/>
  <c r="B15"/>
  <c r="B16"/>
  <c r="C25" i="31"/>
  <c r="D25"/>
  <c r="C19" i="30"/>
  <c r="D19"/>
  <c r="B17" i="31"/>
  <c r="B18"/>
  <c r="B13"/>
  <c r="B14"/>
  <c r="D26"/>
  <c r="C26"/>
  <c r="D20" i="30"/>
  <c r="C20"/>
  <c r="CZ27" i="17"/>
  <c r="CZ43"/>
  <c r="P43"/>
  <c r="B166" i="12" s="1"/>
  <c r="D154" i="6" s="1"/>
  <c r="I44" i="17"/>
  <c r="C14" i="25"/>
  <c r="C13"/>
  <c r="B2931" i="5"/>
  <c r="D153" i="6"/>
  <c r="D26" i="25"/>
  <c r="E26"/>
  <c r="I2705" i="5"/>
  <c r="I2704"/>
  <c r="N2711" s="1"/>
  <c r="D25" i="25"/>
  <c r="E25"/>
  <c r="AG20" i="4"/>
  <c r="S20" s="1"/>
  <c r="Z9"/>
  <c r="Q9" s="1"/>
  <c r="Z11"/>
  <c r="Q11" s="1"/>
  <c r="AE9"/>
  <c r="AG9" s="1"/>
  <c r="AI11"/>
  <c r="AL11" s="1"/>
  <c r="Q14" i="7"/>
  <c r="AP9"/>
  <c r="AS9" s="1"/>
  <c r="Q5" i="4"/>
  <c r="J22" i="20"/>
  <c r="G22" s="1"/>
  <c r="J21"/>
  <c r="G21" s="1"/>
  <c r="F23"/>
  <c r="F25" s="1"/>
  <c r="F27" s="1"/>
  <c r="H7" i="13"/>
  <c r="H8" s="1"/>
  <c r="J47" i="25"/>
  <c r="J48"/>
  <c r="G42"/>
  <c r="H60"/>
  <c r="A60" s="1"/>
  <c r="G60"/>
  <c r="F49"/>
  <c r="G41"/>
  <c r="G59"/>
  <c r="H59"/>
  <c r="A59" s="1"/>
  <c r="E32"/>
  <c r="D32"/>
  <c r="E31"/>
  <c r="D31"/>
  <c r="V11" i="17"/>
  <c r="S61" i="7"/>
  <c r="C61" s="1"/>
  <c r="Q7"/>
  <c r="C17" i="25"/>
  <c r="C18"/>
  <c r="AI9" i="4"/>
  <c r="AL9" s="1"/>
  <c r="AD11"/>
  <c r="AG11" s="1"/>
  <c r="AA9" i="7"/>
  <c r="AB9" s="1"/>
  <c r="R50"/>
  <c r="C22" i="25"/>
  <c r="C21"/>
  <c r="J33" i="21"/>
  <c r="J34"/>
  <c r="A28"/>
  <c r="A30"/>
  <c r="A22"/>
  <c r="A29"/>
  <c r="A35"/>
  <c r="A21"/>
  <c r="A27"/>
  <c r="A36"/>
  <c r="E19"/>
  <c r="D19"/>
  <c r="C17"/>
  <c r="C18"/>
  <c r="C15"/>
  <c r="C16"/>
  <c r="E20"/>
  <c r="D20"/>
  <c r="N2754" i="5"/>
  <c r="P2759"/>
  <c r="P2758"/>
  <c r="AE2747"/>
  <c r="N2753"/>
  <c r="B2934"/>
  <c r="E153" i="6"/>
  <c r="I2729" i="5"/>
  <c r="I2728"/>
  <c r="N2732" s="1"/>
  <c r="P59" i="17"/>
  <c r="B182" i="12" s="1"/>
  <c r="I60" i="17"/>
  <c r="CZ59"/>
  <c r="I2675" i="5"/>
  <c r="N2670"/>
  <c r="E148" i="6"/>
  <c r="B2833" i="5"/>
  <c r="S71" i="4"/>
  <c r="M15" i="14"/>
  <c r="B107" i="12" s="1"/>
  <c r="H16" i="14"/>
  <c r="BT15"/>
  <c r="R49" i="4"/>
  <c r="S43" i="7"/>
  <c r="C43" s="1"/>
  <c r="AF18"/>
  <c r="Q18" s="1"/>
  <c r="P72"/>
  <c r="S72" s="1"/>
  <c r="C72" s="1"/>
  <c r="BR21" i="14"/>
  <c r="H24"/>
  <c r="M23"/>
  <c r="B115" i="12" s="1"/>
  <c r="BT23" i="14"/>
  <c r="BR25" i="13"/>
  <c r="BR29" s="1"/>
  <c r="BR33" s="1"/>
  <c r="E135" i="6"/>
  <c r="B2560" i="5"/>
  <c r="I2674"/>
  <c r="AE2662"/>
  <c r="I2621"/>
  <c r="I2620"/>
  <c r="N2627" s="1"/>
  <c r="P2654"/>
  <c r="N2649"/>
  <c r="N2648"/>
  <c r="P2653"/>
  <c r="AE2642"/>
  <c r="AA2597"/>
  <c r="H7" i="14" s="1"/>
  <c r="I2602" i="5"/>
  <c r="I2603"/>
  <c r="AA2576"/>
  <c r="I2582"/>
  <c r="I2581"/>
  <c r="AA2534"/>
  <c r="I2540"/>
  <c r="I2539"/>
  <c r="I2590"/>
  <c r="AE2578"/>
  <c r="I2557"/>
  <c r="I2558"/>
  <c r="I2570" s="1"/>
  <c r="P2528"/>
  <c r="P2527"/>
  <c r="AE2516"/>
  <c r="I2537"/>
  <c r="I2549" s="1"/>
  <c r="I2536"/>
  <c r="AB72" i="7"/>
  <c r="R72" s="1"/>
  <c r="I2516" i="5"/>
  <c r="I2528" s="1"/>
  <c r="I2515"/>
  <c r="N2522" s="1"/>
  <c r="AF45" i="7"/>
  <c r="R45" s="1"/>
  <c r="AF63"/>
  <c r="Q63" s="1"/>
  <c r="R27"/>
  <c r="P9"/>
  <c r="Q27"/>
  <c r="R71" i="4"/>
  <c r="S25" i="7"/>
  <c r="C25" s="1"/>
  <c r="S16"/>
  <c r="C16" s="1"/>
  <c r="S49" i="4"/>
  <c r="S34" i="7"/>
  <c r="C34" s="1"/>
  <c r="S52"/>
  <c r="C52" s="1"/>
  <c r="R14"/>
  <c r="R7"/>
  <c r="Q50"/>
  <c r="S18"/>
  <c r="C18" s="1"/>
  <c r="S23"/>
  <c r="C23" s="1"/>
  <c r="S63"/>
  <c r="C63" s="1"/>
  <c r="S41"/>
  <c r="C41" s="1"/>
  <c r="S45"/>
  <c r="C45" s="1"/>
  <c r="S54"/>
  <c r="C54" s="1"/>
  <c r="S59"/>
  <c r="C59" s="1"/>
  <c r="S14"/>
  <c r="C14" s="1"/>
  <c r="S27"/>
  <c r="C27" s="1"/>
  <c r="S50"/>
  <c r="C50" s="1"/>
  <c r="S32"/>
  <c r="C32" s="1"/>
  <c r="S36"/>
  <c r="C36" s="1"/>
  <c r="AG33" i="4"/>
  <c r="AL33"/>
  <c r="AL42"/>
  <c r="AG42"/>
  <c r="AL64"/>
  <c r="AG64"/>
  <c r="AL86"/>
  <c r="AL75"/>
  <c r="AG86"/>
  <c r="AG75"/>
  <c r="R16" i="7"/>
  <c r="Q16"/>
  <c r="S73" i="4"/>
  <c r="R73"/>
  <c r="S40"/>
  <c r="R40"/>
  <c r="R62"/>
  <c r="S62"/>
  <c r="S16"/>
  <c r="R16"/>
  <c r="R5"/>
  <c r="S5"/>
  <c r="Q5" i="7"/>
  <c r="R5"/>
  <c r="Q41"/>
  <c r="R41"/>
  <c r="Q59"/>
  <c r="R59"/>
  <c r="R54"/>
  <c r="Q54"/>
  <c r="R36"/>
  <c r="Q36"/>
  <c r="S38" i="4"/>
  <c r="R38"/>
  <c r="R82"/>
  <c r="S82"/>
  <c r="AL55"/>
  <c r="AL77"/>
  <c r="AL22"/>
  <c r="AL44"/>
  <c r="AL66"/>
  <c r="AL88"/>
  <c r="Q70" i="7"/>
  <c r="R70"/>
  <c r="R25"/>
  <c r="Q25"/>
  <c r="Q43"/>
  <c r="R43"/>
  <c r="Q34"/>
  <c r="R34"/>
  <c r="R61"/>
  <c r="Q61"/>
  <c r="Q52"/>
  <c r="R52"/>
  <c r="S51" i="4"/>
  <c r="R51"/>
  <c r="S18"/>
  <c r="R18"/>
  <c r="R84"/>
  <c r="S84"/>
  <c r="R29"/>
  <c r="S29"/>
  <c r="S27"/>
  <c r="R27"/>
  <c r="R32" i="7"/>
  <c r="Q32"/>
  <c r="Q23"/>
  <c r="R23"/>
  <c r="R60" i="4"/>
  <c r="S60"/>
  <c r="Q33"/>
  <c r="Q55"/>
  <c r="AG55"/>
  <c r="Q77"/>
  <c r="AG77"/>
  <c r="Q22"/>
  <c r="AG22"/>
  <c r="Q44"/>
  <c r="AG44"/>
  <c r="Q66"/>
  <c r="AG66"/>
  <c r="Q88"/>
  <c r="AG88"/>
  <c r="Q20"/>
  <c r="Q42"/>
  <c r="Q64"/>
  <c r="Q86"/>
  <c r="Q31"/>
  <c r="Q53"/>
  <c r="AG53"/>
  <c r="Q75"/>
  <c r="S7"/>
  <c r="R7"/>
  <c r="AG31"/>
  <c r="AL31"/>
  <c r="T64" l="1"/>
  <c r="C64" s="1"/>
  <c r="S86"/>
  <c r="B20" i="22"/>
  <c r="B19"/>
  <c r="C14"/>
  <c r="D14"/>
  <c r="C18"/>
  <c r="D18"/>
  <c r="C16" i="23"/>
  <c r="D16"/>
  <c r="C18"/>
  <c r="D18"/>
  <c r="C16" i="25"/>
  <c r="D16" s="1"/>
  <c r="B16" i="22"/>
  <c r="B15"/>
  <c r="D13"/>
  <c r="C13"/>
  <c r="D17"/>
  <c r="C17"/>
  <c r="D15" i="23"/>
  <c r="C15"/>
  <c r="D17"/>
  <c r="C17"/>
  <c r="R20" i="4"/>
  <c r="C15" i="25"/>
  <c r="E15" s="1"/>
  <c r="B16" i="31"/>
  <c r="D16" s="1"/>
  <c r="B15"/>
  <c r="C15" s="1"/>
  <c r="B20"/>
  <c r="B19"/>
  <c r="D14"/>
  <c r="C14"/>
  <c r="C17"/>
  <c r="D17"/>
  <c r="C15" i="30"/>
  <c r="D15"/>
  <c r="D18"/>
  <c r="C18"/>
  <c r="C13" i="31"/>
  <c r="D13"/>
  <c r="D18"/>
  <c r="C18"/>
  <c r="D16" i="30"/>
  <c r="C16"/>
  <c r="C17"/>
  <c r="D17"/>
  <c r="T62" i="4"/>
  <c r="C62" s="1"/>
  <c r="T66"/>
  <c r="C66" s="1"/>
  <c r="T60"/>
  <c r="C60" s="1"/>
  <c r="B2952" i="5"/>
  <c r="I2952" s="1"/>
  <c r="N2959" s="1"/>
  <c r="M7" i="13"/>
  <c r="B68" i="12" s="1"/>
  <c r="P2738" i="5"/>
  <c r="N2733"/>
  <c r="I2717"/>
  <c r="N2712"/>
  <c r="AA2929"/>
  <c r="J19" i="17" s="1"/>
  <c r="I2932" i="5"/>
  <c r="I2931"/>
  <c r="D14" i="25"/>
  <c r="E14"/>
  <c r="D13"/>
  <c r="E13"/>
  <c r="I2716" i="5"/>
  <c r="AE2704"/>
  <c r="T33" i="4"/>
  <c r="C33" s="1"/>
  <c r="C29"/>
  <c r="C31"/>
  <c r="T27"/>
  <c r="C27" s="1"/>
  <c r="S9" i="7"/>
  <c r="C9" s="1"/>
  <c r="R18"/>
  <c r="BT7" i="13"/>
  <c r="J28" i="20"/>
  <c r="G28" s="1"/>
  <c r="J27"/>
  <c r="G27" s="1"/>
  <c r="J24"/>
  <c r="G24" s="1"/>
  <c r="J23"/>
  <c r="G23" s="1"/>
  <c r="F29"/>
  <c r="H15" i="13"/>
  <c r="H16" s="1"/>
  <c r="H31"/>
  <c r="H32" s="1"/>
  <c r="J26" i="20"/>
  <c r="G26" s="1"/>
  <c r="J25"/>
  <c r="G25" s="1"/>
  <c r="V8" i="13"/>
  <c r="G47" i="25"/>
  <c r="J50"/>
  <c r="J49"/>
  <c r="F55"/>
  <c r="G48"/>
  <c r="C19"/>
  <c r="E19" s="1"/>
  <c r="C20"/>
  <c r="D20" s="1"/>
  <c r="E17"/>
  <c r="D17"/>
  <c r="D18"/>
  <c r="E18"/>
  <c r="G33" i="21"/>
  <c r="G34"/>
  <c r="D21" i="25"/>
  <c r="E21"/>
  <c r="D22"/>
  <c r="E22"/>
  <c r="E15" i="21"/>
  <c r="D15"/>
  <c r="E17"/>
  <c r="D17"/>
  <c r="E16"/>
  <c r="D16"/>
  <c r="E18"/>
  <c r="D18"/>
  <c r="H8" i="14"/>
  <c r="V8"/>
  <c r="P2737" i="5"/>
  <c r="AE2726"/>
  <c r="E154" i="6"/>
  <c r="B2955" i="5"/>
  <c r="I2934"/>
  <c r="I2935"/>
  <c r="P2944" s="1"/>
  <c r="I2834"/>
  <c r="P2843" s="1"/>
  <c r="I2833"/>
  <c r="B2812"/>
  <c r="E147" i="6"/>
  <c r="I2633" i="5"/>
  <c r="N2628"/>
  <c r="S75" i="4"/>
  <c r="S68" i="7"/>
  <c r="C68" s="1"/>
  <c r="N2523" i="5"/>
  <c r="Q72" i="7"/>
  <c r="S7"/>
  <c r="C7" s="1"/>
  <c r="V31" i="4"/>
  <c r="S70" i="7"/>
  <c r="C70" s="1"/>
  <c r="V33" i="4"/>
  <c r="V27"/>
  <c r="V29"/>
  <c r="T7"/>
  <c r="C7" s="1"/>
  <c r="BR25" i="14"/>
  <c r="BR29" s="1"/>
  <c r="R86" i="4"/>
  <c r="M7" i="14"/>
  <c r="B99" i="12" s="1"/>
  <c r="BT7" i="14"/>
  <c r="Q45" i="7"/>
  <c r="Q9"/>
  <c r="AA2555" i="5"/>
  <c r="I2561"/>
  <c r="I2560"/>
  <c r="I2632"/>
  <c r="AE2620"/>
  <c r="P2612"/>
  <c r="N2607"/>
  <c r="P2611"/>
  <c r="N2606"/>
  <c r="AE2600"/>
  <c r="N2585"/>
  <c r="P2590"/>
  <c r="AE2579"/>
  <c r="N2586"/>
  <c r="P2591"/>
  <c r="N2543"/>
  <c r="P2548"/>
  <c r="AE2537"/>
  <c r="P2549"/>
  <c r="N2544"/>
  <c r="I2569"/>
  <c r="AE2557"/>
  <c r="I2548"/>
  <c r="AE2536"/>
  <c r="I2527"/>
  <c r="AE2515"/>
  <c r="R63" i="7"/>
  <c r="R9" i="4"/>
  <c r="S5" i="7"/>
  <c r="C5" s="1"/>
  <c r="T73" i="4"/>
  <c r="C73" s="1"/>
  <c r="T51"/>
  <c r="C51" s="1"/>
  <c r="C86"/>
  <c r="T38"/>
  <c r="C38" s="1"/>
  <c r="T88"/>
  <c r="C88" s="1"/>
  <c r="T44"/>
  <c r="C44" s="1"/>
  <c r="T77"/>
  <c r="C77" s="1"/>
  <c r="T55"/>
  <c r="C55" s="1"/>
  <c r="T20"/>
  <c r="C20" s="1"/>
  <c r="T22"/>
  <c r="C22" s="1"/>
  <c r="T53"/>
  <c r="C53" s="1"/>
  <c r="T75"/>
  <c r="C75" s="1"/>
  <c r="T42"/>
  <c r="C42" s="1"/>
  <c r="T71"/>
  <c r="C71" s="1"/>
  <c r="T40"/>
  <c r="C40" s="1"/>
  <c r="T82"/>
  <c r="C82" s="1"/>
  <c r="T49"/>
  <c r="C49" s="1"/>
  <c r="C84"/>
  <c r="T16"/>
  <c r="C16" s="1"/>
  <c r="T18"/>
  <c r="C18" s="1"/>
  <c r="T11"/>
  <c r="C11" s="1"/>
  <c r="T5"/>
  <c r="C5" s="1"/>
  <c r="T9"/>
  <c r="C9" s="1"/>
  <c r="S64"/>
  <c r="S33"/>
  <c r="R42"/>
  <c r="R64"/>
  <c r="S42"/>
  <c r="R33"/>
  <c r="R9" i="7"/>
  <c r="R11" i="4"/>
  <c r="R75"/>
  <c r="S11"/>
  <c r="S88"/>
  <c r="R88"/>
  <c r="R44"/>
  <c r="S44"/>
  <c r="S22"/>
  <c r="R22"/>
  <c r="S9"/>
  <c r="R31"/>
  <c r="S31"/>
  <c r="S53"/>
  <c r="R53"/>
  <c r="R66"/>
  <c r="S66"/>
  <c r="S77"/>
  <c r="R77"/>
  <c r="S55"/>
  <c r="R55"/>
  <c r="E16" i="25" l="1"/>
  <c r="B14" i="24"/>
  <c r="B13"/>
  <c r="D15" i="22"/>
  <c r="C15"/>
  <c r="C20"/>
  <c r="D20"/>
  <c r="B14" i="23"/>
  <c r="B13"/>
  <c r="C16" i="22"/>
  <c r="D16"/>
  <c r="D19"/>
  <c r="C19"/>
  <c r="D15" i="25"/>
  <c r="C16" i="31"/>
  <c r="D15"/>
  <c r="B14" i="30"/>
  <c r="B13"/>
  <c r="B13" i="29"/>
  <c r="B14"/>
  <c r="D20" i="31"/>
  <c r="C20"/>
  <c r="C19"/>
  <c r="D19"/>
  <c r="I2953" i="5"/>
  <c r="I2965" s="1"/>
  <c r="AA2950"/>
  <c r="J51" i="17" s="1"/>
  <c r="I2944" i="5"/>
  <c r="N2939"/>
  <c r="N2938"/>
  <c r="I2943"/>
  <c r="AE2931"/>
  <c r="V6" i="17"/>
  <c r="J20"/>
  <c r="P19"/>
  <c r="B142" i="12" s="1"/>
  <c r="E20" i="25"/>
  <c r="H24" i="21"/>
  <c r="A24" s="1"/>
  <c r="M15" i="13"/>
  <c r="B76" i="12" s="1"/>
  <c r="BT31" i="13"/>
  <c r="I6" i="8"/>
  <c r="M31" i="13"/>
  <c r="B92" i="12" s="1"/>
  <c r="BT15" i="13"/>
  <c r="H23"/>
  <c r="H24" s="1"/>
  <c r="C13" i="20"/>
  <c r="C14"/>
  <c r="F31"/>
  <c r="F33" s="1"/>
  <c r="J29"/>
  <c r="G29" s="1"/>
  <c r="J30"/>
  <c r="G30" s="1"/>
  <c r="V11" i="13"/>
  <c r="V9"/>
  <c r="D19" i="25"/>
  <c r="G50"/>
  <c r="J55"/>
  <c r="J56"/>
  <c r="F57"/>
  <c r="G49"/>
  <c r="H33" i="21"/>
  <c r="A33" s="1"/>
  <c r="H34"/>
  <c r="A34" s="1"/>
  <c r="H31"/>
  <c r="A31" s="1"/>
  <c r="H23"/>
  <c r="A23" s="1"/>
  <c r="H32"/>
  <c r="A32" s="1"/>
  <c r="H25"/>
  <c r="A25" s="1"/>
  <c r="H26"/>
  <c r="A26" s="1"/>
  <c r="C13"/>
  <c r="C14"/>
  <c r="P2943" i="5"/>
  <c r="AE2932"/>
  <c r="I2964"/>
  <c r="AE2952"/>
  <c r="I2955"/>
  <c r="I2956"/>
  <c r="P2965" s="1"/>
  <c r="P2842"/>
  <c r="AE2831"/>
  <c r="I2812"/>
  <c r="I2813"/>
  <c r="P2822" s="1"/>
  <c r="I19" i="8"/>
  <c r="BR33" i="14"/>
  <c r="D148" i="6"/>
  <c r="B2830" i="5"/>
  <c r="AA2828" s="1"/>
  <c r="I27" i="14" s="1"/>
  <c r="V7" s="1"/>
  <c r="H19" i="8"/>
  <c r="B25" i="19" s="1"/>
  <c r="H27" i="8"/>
  <c r="H11"/>
  <c r="H23"/>
  <c r="H15"/>
  <c r="I27"/>
  <c r="I11"/>
  <c r="H7"/>
  <c r="B21" i="19" s="1"/>
  <c r="I23" i="8"/>
  <c r="I15"/>
  <c r="I7"/>
  <c r="B2767" i="5"/>
  <c r="D145" i="6"/>
  <c r="P2569" i="5"/>
  <c r="AE2558"/>
  <c r="N2564"/>
  <c r="P2570"/>
  <c r="N2565"/>
  <c r="I5" i="8"/>
  <c r="F4" i="10" s="1"/>
  <c r="H25" i="8"/>
  <c r="B27" i="19" s="1"/>
  <c r="H21" i="8"/>
  <c r="H17"/>
  <c r="H13"/>
  <c r="B23" i="19" s="1"/>
  <c r="H9" i="8"/>
  <c r="H5"/>
  <c r="I25"/>
  <c r="I21"/>
  <c r="I17"/>
  <c r="I13"/>
  <c r="I9"/>
  <c r="H28"/>
  <c r="B28" i="19" s="1"/>
  <c r="H26" i="8"/>
  <c r="H24"/>
  <c r="H22"/>
  <c r="B26" i="19" s="1"/>
  <c r="H20" i="8"/>
  <c r="H18"/>
  <c r="H16"/>
  <c r="B24" i="19" s="1"/>
  <c r="H14" i="8"/>
  <c r="H12"/>
  <c r="H10"/>
  <c r="B22" i="19" s="1"/>
  <c r="H8" i="8"/>
  <c r="H6"/>
  <c r="I28"/>
  <c r="I26"/>
  <c r="I24"/>
  <c r="I22"/>
  <c r="I20"/>
  <c r="I18"/>
  <c r="I16"/>
  <c r="I14"/>
  <c r="I12"/>
  <c r="I10"/>
  <c r="I8"/>
  <c r="F34" i="10" s="1"/>
  <c r="C6" i="8"/>
  <c r="C7"/>
  <c r="C8"/>
  <c r="C9"/>
  <c r="F34" i="9" s="1"/>
  <c r="C10" i="8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B5"/>
  <c r="B6"/>
  <c r="B7"/>
  <c r="B21" i="18" s="1"/>
  <c r="B8" i="8"/>
  <c r="B29" i="18" s="1"/>
  <c r="B9" i="8"/>
  <c r="E34" i="9" s="1"/>
  <c r="B10" i="8"/>
  <c r="B11"/>
  <c r="B22" i="18" s="1"/>
  <c r="B12" i="8"/>
  <c r="B30" i="18" s="1"/>
  <c r="B13" i="8"/>
  <c r="B14"/>
  <c r="B15"/>
  <c r="B23" i="18" s="1"/>
  <c r="B16" i="8"/>
  <c r="B31" i="18" s="1"/>
  <c r="B17" i="8"/>
  <c r="B18"/>
  <c r="B19"/>
  <c r="B24" i="18" s="1"/>
  <c r="B20" i="8"/>
  <c r="B32" i="18" s="1"/>
  <c r="B21" i="8"/>
  <c r="B22"/>
  <c r="B23"/>
  <c r="B25" i="18" s="1"/>
  <c r="B24" i="8"/>
  <c r="B33" i="18" s="1"/>
  <c r="B25" i="8"/>
  <c r="B26"/>
  <c r="B27"/>
  <c r="B26" i="18" s="1"/>
  <c r="B28" i="8"/>
  <c r="B34" i="18" s="1"/>
  <c r="B29" i="8"/>
  <c r="B30"/>
  <c r="B31"/>
  <c r="B27" i="18" s="1"/>
  <c r="B32" i="8"/>
  <c r="B35" i="18" s="1"/>
  <c r="B33" i="8"/>
  <c r="B34"/>
  <c r="B35"/>
  <c r="B28" i="18" s="1"/>
  <c r="B36" i="8"/>
  <c r="B36" i="18" s="1"/>
  <c r="C5" i="8"/>
  <c r="F4" i="9" s="1"/>
  <c r="E30" l="1"/>
  <c r="M30" s="1"/>
  <c r="B29" i="12" s="1"/>
  <c r="I2318" i="5" s="1"/>
  <c r="F30" i="9"/>
  <c r="E32" i="10"/>
  <c r="M32" s="1"/>
  <c r="B62" i="12" s="1"/>
  <c r="D116" i="6" s="1"/>
  <c r="F32" i="10"/>
  <c r="E34"/>
  <c r="M34" s="1"/>
  <c r="B64" i="12" s="1"/>
  <c r="E116" i="6" s="1"/>
  <c r="E24" i="10"/>
  <c r="M24" s="1"/>
  <c r="B54" i="12" s="1"/>
  <c r="F20" i="10"/>
  <c r="E20"/>
  <c r="M20" s="1"/>
  <c r="B50" i="12" s="1"/>
  <c r="F12" i="9"/>
  <c r="D36" i="18"/>
  <c r="C36"/>
  <c r="C35"/>
  <c r="D35"/>
  <c r="C33"/>
  <c r="D33"/>
  <c r="C31"/>
  <c r="D31"/>
  <c r="D22" i="19"/>
  <c r="C22"/>
  <c r="D26"/>
  <c r="C26"/>
  <c r="C27"/>
  <c r="D27"/>
  <c r="C21"/>
  <c r="D21"/>
  <c r="B12" i="23"/>
  <c r="B11"/>
  <c r="B20" i="24"/>
  <c r="B19"/>
  <c r="B10" i="22"/>
  <c r="B9"/>
  <c r="C14" i="23"/>
  <c r="D14"/>
  <c r="C14" i="24"/>
  <c r="D14"/>
  <c r="D34" i="18"/>
  <c r="C34"/>
  <c r="D32"/>
  <c r="C32"/>
  <c r="D30"/>
  <c r="C30"/>
  <c r="C29"/>
  <c r="D29"/>
  <c r="D28"/>
  <c r="C28"/>
  <c r="C27"/>
  <c r="D27"/>
  <c r="D26"/>
  <c r="C26"/>
  <c r="C25"/>
  <c r="D25"/>
  <c r="D24"/>
  <c r="C24"/>
  <c r="C23"/>
  <c r="D23"/>
  <c r="D22"/>
  <c r="C22"/>
  <c r="C21"/>
  <c r="D21"/>
  <c r="D24" i="19"/>
  <c r="C24"/>
  <c r="D28"/>
  <c r="C28"/>
  <c r="C23"/>
  <c r="D23"/>
  <c r="C25"/>
  <c r="D25"/>
  <c r="B35" i="23"/>
  <c r="B31"/>
  <c r="B27"/>
  <c r="B23"/>
  <c r="B33"/>
  <c r="B29"/>
  <c r="B25"/>
  <c r="B21"/>
  <c r="B36"/>
  <c r="B32"/>
  <c r="B28"/>
  <c r="B24"/>
  <c r="B34"/>
  <c r="B30"/>
  <c r="B26"/>
  <c r="B22"/>
  <c r="B16" i="24"/>
  <c r="B15"/>
  <c r="D13" i="23"/>
  <c r="C13"/>
  <c r="D13" i="24"/>
  <c r="C13"/>
  <c r="M23" i="13"/>
  <c r="B84" i="12" s="1"/>
  <c r="H28" i="18"/>
  <c r="G28"/>
  <c r="H27"/>
  <c r="G27"/>
  <c r="H26"/>
  <c r="G26"/>
  <c r="H25"/>
  <c r="G25"/>
  <c r="G24"/>
  <c r="H24"/>
  <c r="H23"/>
  <c r="G23"/>
  <c r="H22"/>
  <c r="G22"/>
  <c r="G21"/>
  <c r="H21"/>
  <c r="B11" i="30"/>
  <c r="B12"/>
  <c r="B16" i="29"/>
  <c r="B15"/>
  <c r="C13"/>
  <c r="D13"/>
  <c r="D14" i="30"/>
  <c r="C14"/>
  <c r="H36" i="18"/>
  <c r="G36"/>
  <c r="H35"/>
  <c r="G35"/>
  <c r="H34"/>
  <c r="G34"/>
  <c r="H33"/>
  <c r="G33"/>
  <c r="G32"/>
  <c r="H32"/>
  <c r="H31"/>
  <c r="G31"/>
  <c r="G30"/>
  <c r="H30"/>
  <c r="H29"/>
  <c r="G29"/>
  <c r="B34" i="30"/>
  <c r="B30"/>
  <c r="B26"/>
  <c r="B22"/>
  <c r="B36"/>
  <c r="B32"/>
  <c r="B28"/>
  <c r="B24"/>
  <c r="B33"/>
  <c r="B29"/>
  <c r="B25"/>
  <c r="B21"/>
  <c r="B35"/>
  <c r="B31"/>
  <c r="B27"/>
  <c r="B23"/>
  <c r="B20" i="29"/>
  <c r="B19"/>
  <c r="B9" i="31"/>
  <c r="B10"/>
  <c r="D14" i="29"/>
  <c r="C14"/>
  <c r="C13" i="30"/>
  <c r="D13"/>
  <c r="E26" i="9"/>
  <c r="M26" s="1"/>
  <c r="B25" i="12" s="1"/>
  <c r="E122" i="6" s="1"/>
  <c r="E20" i="9"/>
  <c r="M20" s="1"/>
  <c r="B19" i="12" s="1"/>
  <c r="F26" i="9"/>
  <c r="F20"/>
  <c r="N2960" i="5"/>
  <c r="F30" i="10"/>
  <c r="F26"/>
  <c r="E26"/>
  <c r="M26" s="1"/>
  <c r="B56" i="12" s="1"/>
  <c r="I2138" i="5" s="1"/>
  <c r="F24" i="10"/>
  <c r="F10"/>
  <c r="E32" i="9"/>
  <c r="M32" s="1"/>
  <c r="B31" i="12" s="1"/>
  <c r="D124" i="6" s="1"/>
  <c r="F32" i="9"/>
  <c r="E22"/>
  <c r="M22" s="1"/>
  <c r="B21" i="12" s="1"/>
  <c r="E121" i="6" s="1"/>
  <c r="F22" i="9"/>
  <c r="E16"/>
  <c r="M16" s="1"/>
  <c r="B15" i="12" s="1"/>
  <c r="F16" i="9"/>
  <c r="E14"/>
  <c r="M14" s="1"/>
  <c r="B13" i="12" s="1"/>
  <c r="E119" i="6" s="1"/>
  <c r="F14" i="9"/>
  <c r="E8"/>
  <c r="M8" s="1"/>
  <c r="B7" i="12" s="1"/>
  <c r="F8" i="9"/>
  <c r="V7" i="17"/>
  <c r="J52"/>
  <c r="P51"/>
  <c r="B174" i="12" s="1"/>
  <c r="D159" i="6"/>
  <c r="B3055" i="5"/>
  <c r="C10" i="25"/>
  <c r="C9"/>
  <c r="F10" i="9"/>
  <c r="E30" i="10"/>
  <c r="M30" s="1"/>
  <c r="B60" i="12" s="1"/>
  <c r="E115" i="6" s="1"/>
  <c r="F14" i="10"/>
  <c r="E14"/>
  <c r="M14" s="1"/>
  <c r="B44" i="12" s="1"/>
  <c r="E111" i="6" s="1"/>
  <c r="F22" i="10"/>
  <c r="E22"/>
  <c r="M22" s="1"/>
  <c r="B52" i="12" s="1"/>
  <c r="I2118" i="5" s="1"/>
  <c r="F8" i="10"/>
  <c r="E8"/>
  <c r="M8" s="1"/>
  <c r="B38" i="12" s="1"/>
  <c r="E10" i="10"/>
  <c r="M10" s="1"/>
  <c r="B40" i="12" s="1"/>
  <c r="E110" i="6" s="1"/>
  <c r="F18" i="10"/>
  <c r="E6"/>
  <c r="M6" s="1"/>
  <c r="B36" i="12" s="1"/>
  <c r="E109" i="6" s="1"/>
  <c r="E18" i="10"/>
  <c r="M18" s="1"/>
  <c r="B48" i="12" s="1"/>
  <c r="I2098" i="5" s="1"/>
  <c r="F6" i="10"/>
  <c r="E24" i="9"/>
  <c r="M24" s="1"/>
  <c r="B23" i="12" s="1"/>
  <c r="F24" i="9"/>
  <c r="F6"/>
  <c r="E12"/>
  <c r="M12" s="1"/>
  <c r="B11" i="12" s="1"/>
  <c r="E10" i="9"/>
  <c r="M10" s="1"/>
  <c r="B9" i="12" s="1"/>
  <c r="E28" i="9"/>
  <c r="M28" s="1"/>
  <c r="B27" i="12" s="1"/>
  <c r="E18" i="9"/>
  <c r="M18" s="1"/>
  <c r="B17" i="12" s="1"/>
  <c r="I2258" i="5" s="1"/>
  <c r="F28" i="9"/>
  <c r="F18"/>
  <c r="BT23" i="13"/>
  <c r="J33" i="20"/>
  <c r="G33" s="1"/>
  <c r="J34"/>
  <c r="G34" s="1"/>
  <c r="C15"/>
  <c r="C16"/>
  <c r="D14"/>
  <c r="E14"/>
  <c r="D13"/>
  <c r="E13"/>
  <c r="V10" i="13"/>
  <c r="C19" i="20"/>
  <c r="C20"/>
  <c r="J31"/>
  <c r="G31" s="1"/>
  <c r="J32"/>
  <c r="G32" s="1"/>
  <c r="F35"/>
  <c r="J57" i="25"/>
  <c r="J58"/>
  <c r="F63"/>
  <c r="G55"/>
  <c r="G56"/>
  <c r="M29" i="21"/>
  <c r="M33"/>
  <c r="M30"/>
  <c r="M34"/>
  <c r="M22"/>
  <c r="M26"/>
  <c r="M23"/>
  <c r="M27"/>
  <c r="M31"/>
  <c r="M35"/>
  <c r="M32"/>
  <c r="M36"/>
  <c r="M24"/>
  <c r="M28"/>
  <c r="M25"/>
  <c r="M21"/>
  <c r="E13"/>
  <c r="D13"/>
  <c r="C11"/>
  <c r="C12"/>
  <c r="E14"/>
  <c r="D14"/>
  <c r="AE2953" i="5"/>
  <c r="P2964"/>
  <c r="M27" i="14"/>
  <c r="B119" i="12" s="1"/>
  <c r="I28" i="14"/>
  <c r="P2821" i="5"/>
  <c r="AE2810"/>
  <c r="F12" i="10"/>
  <c r="F28"/>
  <c r="E12"/>
  <c r="M12" s="1"/>
  <c r="B42" i="12" s="1"/>
  <c r="E28" i="10"/>
  <c r="F16"/>
  <c r="E16"/>
  <c r="M16" s="1"/>
  <c r="B46" i="12" s="1"/>
  <c r="E123" i="6"/>
  <c r="E4" i="10"/>
  <c r="M4" s="1"/>
  <c r="B34" i="12" s="1"/>
  <c r="E4" i="9"/>
  <c r="M4" s="1"/>
  <c r="B3" i="12" s="1"/>
  <c r="E6" i="9"/>
  <c r="M6" s="1"/>
  <c r="B5" i="12" s="1"/>
  <c r="M34" i="9"/>
  <c r="B33" i="12" s="1"/>
  <c r="I2338" i="5" s="1"/>
  <c r="I2830"/>
  <c r="N2837" s="1"/>
  <c r="I2831"/>
  <c r="B2809"/>
  <c r="D147" i="6"/>
  <c r="B2791" i="5"/>
  <c r="E146" i="6"/>
  <c r="E145"/>
  <c r="B2770" i="5"/>
  <c r="I2768"/>
  <c r="I2780" s="1"/>
  <c r="I2767"/>
  <c r="E114" i="6" l="1"/>
  <c r="I2175" i="5"/>
  <c r="AE2175" s="1"/>
  <c r="I2298"/>
  <c r="P2307" s="1"/>
  <c r="C16" i="24"/>
  <c r="D16"/>
  <c r="C26" i="23"/>
  <c r="D26"/>
  <c r="C34"/>
  <c r="D34"/>
  <c r="C28"/>
  <c r="D28"/>
  <c r="C36"/>
  <c r="D36"/>
  <c r="D25"/>
  <c r="C25"/>
  <c r="D33"/>
  <c r="C33"/>
  <c r="D27"/>
  <c r="C27"/>
  <c r="D35"/>
  <c r="C35"/>
  <c r="C10" i="22"/>
  <c r="D10"/>
  <c r="C20" i="24"/>
  <c r="D20"/>
  <c r="C12" i="23"/>
  <c r="D12"/>
  <c r="B18" i="24"/>
  <c r="B17"/>
  <c r="B12" i="22"/>
  <c r="B11"/>
  <c r="D15" i="24"/>
  <c r="C15"/>
  <c r="C22" i="23"/>
  <c r="D22"/>
  <c r="C30"/>
  <c r="D30"/>
  <c r="C24"/>
  <c r="D24"/>
  <c r="C32"/>
  <c r="D32"/>
  <c r="D21"/>
  <c r="C21"/>
  <c r="D29"/>
  <c r="C29"/>
  <c r="D23"/>
  <c r="C23"/>
  <c r="D31"/>
  <c r="C31"/>
  <c r="D9" i="22"/>
  <c r="C9"/>
  <c r="D19" i="24"/>
  <c r="C19"/>
  <c r="D11" i="23"/>
  <c r="C11"/>
  <c r="I2078" i="5"/>
  <c r="P2087" s="1"/>
  <c r="E113" i="6"/>
  <c r="I2238" i="5"/>
  <c r="P2247" s="1"/>
  <c r="I2278"/>
  <c r="P2287" s="1"/>
  <c r="I2335"/>
  <c r="I2347" s="1"/>
  <c r="I29" i="18"/>
  <c r="I30"/>
  <c r="I31"/>
  <c r="I32"/>
  <c r="I33"/>
  <c r="I34"/>
  <c r="I22"/>
  <c r="I24"/>
  <c r="I25"/>
  <c r="I26"/>
  <c r="I27"/>
  <c r="I35"/>
  <c r="I21"/>
  <c r="I23"/>
  <c r="I28"/>
  <c r="B17" i="29"/>
  <c r="B18"/>
  <c r="B12" i="31"/>
  <c r="B11"/>
  <c r="C9"/>
  <c r="D9"/>
  <c r="D20" i="29"/>
  <c r="C20"/>
  <c r="D27" i="30"/>
  <c r="C27"/>
  <c r="D35"/>
  <c r="C35"/>
  <c r="D25"/>
  <c r="C25"/>
  <c r="D33"/>
  <c r="C33"/>
  <c r="C28"/>
  <c r="D28"/>
  <c r="C36"/>
  <c r="D36"/>
  <c r="C26"/>
  <c r="D26"/>
  <c r="C34"/>
  <c r="D34"/>
  <c r="C15" i="29"/>
  <c r="D15"/>
  <c r="D12" i="30"/>
  <c r="C12"/>
  <c r="I36" i="18"/>
  <c r="D10" i="31"/>
  <c r="C10"/>
  <c r="C19" i="29"/>
  <c r="D19"/>
  <c r="D23" i="30"/>
  <c r="C23"/>
  <c r="D31"/>
  <c r="C31"/>
  <c r="D21"/>
  <c r="C21"/>
  <c r="D29"/>
  <c r="C29"/>
  <c r="C24"/>
  <c r="D24"/>
  <c r="C32"/>
  <c r="D32"/>
  <c r="C22"/>
  <c r="D22"/>
  <c r="C30"/>
  <c r="D30"/>
  <c r="D16" i="29"/>
  <c r="C16"/>
  <c r="C11" i="30"/>
  <c r="D11"/>
  <c r="E159" i="6"/>
  <c r="B3058" i="5"/>
  <c r="AA3053" s="1"/>
  <c r="K35" i="17" s="1"/>
  <c r="V4" s="1"/>
  <c r="C12" i="25"/>
  <c r="C11"/>
  <c r="E120" i="6"/>
  <c r="E112"/>
  <c r="I2158" i="5"/>
  <c r="P2167" s="1"/>
  <c r="I2038"/>
  <c r="P2047" s="1"/>
  <c r="I2058"/>
  <c r="AE2056" s="1"/>
  <c r="D10" i="25"/>
  <c r="E10"/>
  <c r="D9"/>
  <c r="E9"/>
  <c r="I3056" i="5"/>
  <c r="I3068" s="1"/>
  <c r="I3055"/>
  <c r="E118" i="6"/>
  <c r="I2218" i="5"/>
  <c r="P2227" s="1"/>
  <c r="E20" i="20"/>
  <c r="D20"/>
  <c r="E19"/>
  <c r="D19"/>
  <c r="E16"/>
  <c r="D16"/>
  <c r="E15"/>
  <c r="D15"/>
  <c r="J36"/>
  <c r="G36" s="1"/>
  <c r="J35"/>
  <c r="G35" s="1"/>
  <c r="C18"/>
  <c r="C17"/>
  <c r="J64" i="25"/>
  <c r="J63"/>
  <c r="F65"/>
  <c r="G57"/>
  <c r="G58"/>
  <c r="E11" i="21"/>
  <c r="D11"/>
  <c r="E12"/>
  <c r="D12"/>
  <c r="I2843" i="5"/>
  <c r="N2838"/>
  <c r="B3037"/>
  <c r="E158" i="6"/>
  <c r="I2809" i="5"/>
  <c r="N2816" s="1"/>
  <c r="AA2807"/>
  <c r="I11" i="14" s="1"/>
  <c r="V6" s="1"/>
  <c r="N2342" i="5"/>
  <c r="AA2333" s="1"/>
  <c r="G33" i="9" s="1"/>
  <c r="I2178" i="5"/>
  <c r="P2187" s="1"/>
  <c r="M28" i="10"/>
  <c r="B58" i="12" s="1"/>
  <c r="P2147" i="5"/>
  <c r="AE2136"/>
  <c r="D114" i="6"/>
  <c r="I2135" i="5"/>
  <c r="N2142" s="1"/>
  <c r="AA2133" s="1"/>
  <c r="G25" i="10" s="1"/>
  <c r="V17" s="1"/>
  <c r="B18" i="19" s="1"/>
  <c r="P2127" i="5"/>
  <c r="AE2116"/>
  <c r="D113" i="6"/>
  <c r="I2115" i="5"/>
  <c r="N2122" s="1"/>
  <c r="AA2113" s="1"/>
  <c r="G21" i="10" s="1"/>
  <c r="V16" s="1"/>
  <c r="B17" i="19" s="1"/>
  <c r="P2107" i="5"/>
  <c r="AE2096"/>
  <c r="D112" i="6"/>
  <c r="I2095" i="5"/>
  <c r="N2102" s="1"/>
  <c r="AA2093" s="1"/>
  <c r="G17" i="10" s="1"/>
  <c r="V15" s="1"/>
  <c r="B16" i="19" s="1"/>
  <c r="I2075" i="5"/>
  <c r="N2082" s="1"/>
  <c r="AA2073" s="1"/>
  <c r="G13" i="10" s="1"/>
  <c r="V14" s="1"/>
  <c r="B15" i="19" s="1"/>
  <c r="D111" i="6"/>
  <c r="D110"/>
  <c r="I2055" i="5"/>
  <c r="P2327"/>
  <c r="AE2316"/>
  <c r="D123" i="6"/>
  <c r="I2315" i="5"/>
  <c r="N2322" s="1"/>
  <c r="AA2313" s="1"/>
  <c r="G29" i="9" s="1"/>
  <c r="V18" s="1"/>
  <c r="B19" i="18" s="1"/>
  <c r="D122" i="6"/>
  <c r="I2295" i="5"/>
  <c r="D121" i="6"/>
  <c r="I2275" i="5"/>
  <c r="N2282" s="1"/>
  <c r="AA2273" s="1"/>
  <c r="G21" i="9" s="1"/>
  <c r="V16" s="1"/>
  <c r="B17" i="18" s="1"/>
  <c r="AE2256" i="5"/>
  <c r="P2267"/>
  <c r="D120" i="6"/>
  <c r="I2255" i="5"/>
  <c r="N2262" s="1"/>
  <c r="AA2253" s="1"/>
  <c r="G17" i="9" s="1"/>
  <c r="V15" s="1"/>
  <c r="B16" i="18" s="1"/>
  <c r="D119" i="6"/>
  <c r="I2235" i="5"/>
  <c r="D118" i="6"/>
  <c r="I2215" i="5"/>
  <c r="I2035"/>
  <c r="AE2035" s="1"/>
  <c r="D109" i="6"/>
  <c r="E124"/>
  <c r="I2198" i="5"/>
  <c r="AE2196" s="1"/>
  <c r="E117" i="6"/>
  <c r="I2195" i="5"/>
  <c r="AE2195" s="1"/>
  <c r="D117" i="6"/>
  <c r="I2842" i="5"/>
  <c r="AE2830"/>
  <c r="I2810"/>
  <c r="I2792"/>
  <c r="I2791"/>
  <c r="B2788"/>
  <c r="AA2786" s="1"/>
  <c r="D146" i="6"/>
  <c r="I2771" i="5"/>
  <c r="AA2765"/>
  <c r="I11" i="13" s="1"/>
  <c r="I12" s="1"/>
  <c r="I2770" i="5"/>
  <c r="I2779"/>
  <c r="AE2767"/>
  <c r="AE2336"/>
  <c r="P2347"/>
  <c r="I2187" l="1"/>
  <c r="V5" i="17"/>
  <c r="C8" i="25" s="1"/>
  <c r="K36" i="17"/>
  <c r="N2302" i="5"/>
  <c r="AA2293" s="1"/>
  <c r="G25" i="9" s="1"/>
  <c r="V17" s="1"/>
  <c r="B18" i="18" s="1"/>
  <c r="D18" s="1"/>
  <c r="N2242" i="5"/>
  <c r="AA2233" s="1"/>
  <c r="G13" i="9" s="1"/>
  <c r="V14" s="1"/>
  <c r="B15" i="18" s="1"/>
  <c r="D15" s="1"/>
  <c r="N2222" i="5"/>
  <c r="AA2213" s="1"/>
  <c r="G9" i="9" s="1"/>
  <c r="V13" s="1"/>
  <c r="B14" i="18" s="1"/>
  <c r="D14" s="1"/>
  <c r="N2062" i="5"/>
  <c r="AA2053" s="1"/>
  <c r="G9" i="10" s="1"/>
  <c r="V13" s="1"/>
  <c r="B14" i="19" s="1"/>
  <c r="D14" s="1"/>
  <c r="I2207" i="5"/>
  <c r="AE2296"/>
  <c r="AE2335"/>
  <c r="D16" i="19"/>
  <c r="C16"/>
  <c r="C17"/>
  <c r="D17"/>
  <c r="D18"/>
  <c r="C18"/>
  <c r="B6" i="22"/>
  <c r="B5"/>
  <c r="C12"/>
  <c r="D12"/>
  <c r="C18" i="24"/>
  <c r="D18"/>
  <c r="D16" i="18"/>
  <c r="C16"/>
  <c r="C17"/>
  <c r="D17"/>
  <c r="C19"/>
  <c r="D19"/>
  <c r="C15" i="19"/>
  <c r="D15"/>
  <c r="B10" i="23"/>
  <c r="B9"/>
  <c r="B8" i="22"/>
  <c r="B7"/>
  <c r="D11"/>
  <c r="C11"/>
  <c r="D17" i="24"/>
  <c r="C17"/>
  <c r="AE2236" i="5"/>
  <c r="AE2076"/>
  <c r="AE2276"/>
  <c r="P2067"/>
  <c r="AE2216"/>
  <c r="AE2156"/>
  <c r="G17" i="18"/>
  <c r="H17"/>
  <c r="G19"/>
  <c r="H19"/>
  <c r="B5" i="31"/>
  <c r="B6"/>
  <c r="D12"/>
  <c r="C12"/>
  <c r="C17" i="29"/>
  <c r="D17"/>
  <c r="G16" i="18"/>
  <c r="H16"/>
  <c r="B10" i="30"/>
  <c r="B9"/>
  <c r="B7" i="31"/>
  <c r="C11"/>
  <c r="D11"/>
  <c r="D18" i="29"/>
  <c r="C18"/>
  <c r="D12" i="25"/>
  <c r="E12"/>
  <c r="D11"/>
  <c r="E11"/>
  <c r="I3058" i="5"/>
  <c r="N3062" s="1"/>
  <c r="I3059"/>
  <c r="P3068" s="1"/>
  <c r="AE2036"/>
  <c r="I3067"/>
  <c r="AE3055"/>
  <c r="N2042"/>
  <c r="AA2033" s="1"/>
  <c r="G5" i="10" s="1"/>
  <c r="M5" s="1"/>
  <c r="B35" i="12" s="1"/>
  <c r="I2435" i="5" s="1"/>
  <c r="AE2176"/>
  <c r="H25" i="20"/>
  <c r="A25" s="1"/>
  <c r="H23"/>
  <c r="A23" s="1"/>
  <c r="H26"/>
  <c r="A26" s="1"/>
  <c r="H34"/>
  <c r="A34" s="1"/>
  <c r="H35"/>
  <c r="A35" s="1"/>
  <c r="H24"/>
  <c r="A24" s="1"/>
  <c r="I27" i="13"/>
  <c r="I28" s="1"/>
  <c r="D17" i="20"/>
  <c r="E17"/>
  <c r="D18"/>
  <c r="E18"/>
  <c r="H29"/>
  <c r="A29" s="1"/>
  <c r="H28"/>
  <c r="A28" s="1"/>
  <c r="H31"/>
  <c r="A31" s="1"/>
  <c r="H36"/>
  <c r="A36" s="1"/>
  <c r="H21"/>
  <c r="A21" s="1"/>
  <c r="H22"/>
  <c r="A22" s="1"/>
  <c r="H30"/>
  <c r="A30" s="1"/>
  <c r="H33"/>
  <c r="A33" s="1"/>
  <c r="H27"/>
  <c r="A27" s="1"/>
  <c r="H32"/>
  <c r="A32" s="1"/>
  <c r="G63" i="25"/>
  <c r="J65"/>
  <c r="J66"/>
  <c r="G64"/>
  <c r="C6"/>
  <c r="C5"/>
  <c r="T4" i="17"/>
  <c r="C7" i="25"/>
  <c r="C9" i="21"/>
  <c r="C10"/>
  <c r="BS33" i="9"/>
  <c r="V19"/>
  <c r="B20" i="18" s="1"/>
  <c r="V6" i="13"/>
  <c r="I3038" i="5"/>
  <c r="P3047" s="1"/>
  <c r="I3037"/>
  <c r="I2822"/>
  <c r="N2817"/>
  <c r="I12" i="14"/>
  <c r="M11"/>
  <c r="B103" i="12" s="1"/>
  <c r="G34" i="9"/>
  <c r="M33"/>
  <c r="B32" i="12" s="1"/>
  <c r="I2418" i="5" s="1"/>
  <c r="M29" i="9"/>
  <c r="B28" i="12" s="1"/>
  <c r="G30" i="9"/>
  <c r="BS29"/>
  <c r="M21"/>
  <c r="B20" i="12" s="1"/>
  <c r="G22" i="9"/>
  <c r="BS21"/>
  <c r="M17"/>
  <c r="B16" i="12" s="1"/>
  <c r="G18" i="9"/>
  <c r="BS17"/>
  <c r="N2182" i="5"/>
  <c r="AA2173" s="1"/>
  <c r="G33" i="10" s="1"/>
  <c r="V19" s="1"/>
  <c r="B20" i="19" s="1"/>
  <c r="G26" i="10"/>
  <c r="M25"/>
  <c r="B55" i="12" s="1"/>
  <c r="BS25" i="10"/>
  <c r="G22"/>
  <c r="M21"/>
  <c r="B51" i="12" s="1"/>
  <c r="BS21" i="10"/>
  <c r="G18"/>
  <c r="M17"/>
  <c r="B47" i="12" s="1"/>
  <c r="BS17" i="10"/>
  <c r="G14"/>
  <c r="M13"/>
  <c r="B43" i="12" s="1"/>
  <c r="BS13" i="10"/>
  <c r="P2207" i="5"/>
  <c r="I2155"/>
  <c r="N2162" s="1"/>
  <c r="AA2153" s="1"/>
  <c r="G29" i="10" s="1"/>
  <c r="V18" s="1"/>
  <c r="B19" i="19" s="1"/>
  <c r="D115" i="6"/>
  <c r="I2147" i="5"/>
  <c r="AE2135"/>
  <c r="I2127"/>
  <c r="AE2115"/>
  <c r="I2107"/>
  <c r="AE2095"/>
  <c r="I2087"/>
  <c r="AE2075"/>
  <c r="I2067"/>
  <c r="AE2055"/>
  <c r="AE2315"/>
  <c r="I2327"/>
  <c r="AE2295"/>
  <c r="I2307"/>
  <c r="AE2275"/>
  <c r="I2287"/>
  <c r="AE2255"/>
  <c r="I2267"/>
  <c r="AE2235"/>
  <c r="I2247"/>
  <c r="AE2215"/>
  <c r="I2227"/>
  <c r="I2047"/>
  <c r="N2202"/>
  <c r="AA2193" s="1"/>
  <c r="G5" i="9" s="1"/>
  <c r="M11" i="13"/>
  <c r="B72" i="12" s="1"/>
  <c r="I2821" i="5"/>
  <c r="AE2809"/>
  <c r="P2800"/>
  <c r="AE2789"/>
  <c r="P2801"/>
  <c r="I2789"/>
  <c r="I2801" s="1"/>
  <c r="I2788"/>
  <c r="N2795" s="1"/>
  <c r="P2779"/>
  <c r="N2774"/>
  <c r="AE2768"/>
  <c r="N2775"/>
  <c r="P2780"/>
  <c r="B8" i="31" l="1"/>
  <c r="C8" s="1"/>
  <c r="T5" i="17"/>
  <c r="T6" s="1"/>
  <c r="T7" s="1"/>
  <c r="T8" s="1"/>
  <c r="T9" s="1"/>
  <c r="T10" s="1"/>
  <c r="T11" s="1"/>
  <c r="T12" s="1"/>
  <c r="T13" s="1"/>
  <c r="T14" s="1"/>
  <c r="T15" s="1"/>
  <c r="T16" s="1"/>
  <c r="T17" s="1"/>
  <c r="T18" s="1"/>
  <c r="T19" s="1"/>
  <c r="T20" s="1"/>
  <c r="T21" s="1"/>
  <c r="T22" s="1"/>
  <c r="T23" s="1"/>
  <c r="T24" s="1"/>
  <c r="T25" s="1"/>
  <c r="T26" s="1"/>
  <c r="T27" s="1"/>
  <c r="T28" s="1"/>
  <c r="T29" s="1"/>
  <c r="T30" s="1"/>
  <c r="T31" s="1"/>
  <c r="T32" s="1"/>
  <c r="T33" s="1"/>
  <c r="T34" s="1"/>
  <c r="T35" s="1"/>
  <c r="N3063" i="5"/>
  <c r="G26" i="9"/>
  <c r="H18" i="18"/>
  <c r="M25" i="9"/>
  <c r="B24" i="12" s="1"/>
  <c r="I2398" i="5" s="1"/>
  <c r="C18" i="18"/>
  <c r="BS25" i="9"/>
  <c r="G18" i="18"/>
  <c r="G14" i="9"/>
  <c r="G15" i="18"/>
  <c r="BS13" i="9"/>
  <c r="H15" i="18"/>
  <c r="C15"/>
  <c r="M13" i="9"/>
  <c r="B12" i="12" s="1"/>
  <c r="I2375" i="5" s="1"/>
  <c r="G10" i="9"/>
  <c r="H14" i="18"/>
  <c r="C14"/>
  <c r="M9" i="9"/>
  <c r="B8" i="12" s="1"/>
  <c r="E125" i="6" s="1"/>
  <c r="G14" i="18"/>
  <c r="BS9" i="9"/>
  <c r="G10" i="10"/>
  <c r="C14" i="19"/>
  <c r="M9" i="10"/>
  <c r="B39" i="12" s="1"/>
  <c r="I2438" i="5" s="1"/>
  <c r="N2442" s="1"/>
  <c r="AA2433" s="1"/>
  <c r="H7" i="10" s="1"/>
  <c r="V8" s="1"/>
  <c r="B9" i="19" s="1"/>
  <c r="BS9" i="10"/>
  <c r="C19" i="19"/>
  <c r="D19"/>
  <c r="B10" i="24"/>
  <c r="B9"/>
  <c r="C8" i="22"/>
  <c r="D8"/>
  <c r="C10" i="23"/>
  <c r="D10"/>
  <c r="C6" i="22"/>
  <c r="D6"/>
  <c r="D20" i="19"/>
  <c r="C20"/>
  <c r="D20" i="18"/>
  <c r="C20"/>
  <c r="B36" i="24"/>
  <c r="B35"/>
  <c r="B32"/>
  <c r="B31"/>
  <c r="B28"/>
  <c r="B27"/>
  <c r="B24"/>
  <c r="B23"/>
  <c r="B34"/>
  <c r="B33"/>
  <c r="B30"/>
  <c r="B29"/>
  <c r="B26"/>
  <c r="B25"/>
  <c r="B22"/>
  <c r="B21"/>
  <c r="D7" i="22"/>
  <c r="C7"/>
  <c r="D9" i="23"/>
  <c r="C9"/>
  <c r="D5" i="22"/>
  <c r="C5"/>
  <c r="BS5" i="10"/>
  <c r="BR5" s="1"/>
  <c r="I19" i="18"/>
  <c r="I17"/>
  <c r="I16"/>
  <c r="B9" i="29"/>
  <c r="B10"/>
  <c r="D10" i="30"/>
  <c r="C10"/>
  <c r="D6" i="31"/>
  <c r="C6"/>
  <c r="G20" i="18"/>
  <c r="H20"/>
  <c r="B36" i="29"/>
  <c r="B35"/>
  <c r="B32"/>
  <c r="B31"/>
  <c r="B28"/>
  <c r="B27"/>
  <c r="B24"/>
  <c r="B23"/>
  <c r="B34"/>
  <c r="B33"/>
  <c r="B30"/>
  <c r="B29"/>
  <c r="B26"/>
  <c r="B25"/>
  <c r="B22"/>
  <c r="B21"/>
  <c r="C7" i="31"/>
  <c r="D7"/>
  <c r="C9" i="30"/>
  <c r="D9"/>
  <c r="C5" i="31"/>
  <c r="D5"/>
  <c r="P3067" i="5"/>
  <c r="AE3056"/>
  <c r="G6" i="10"/>
  <c r="V12"/>
  <c r="B13" i="19" s="1"/>
  <c r="D129" i="6"/>
  <c r="M27" i="13"/>
  <c r="B88" i="12" s="1"/>
  <c r="M35" i="20"/>
  <c r="M36"/>
  <c r="M33"/>
  <c r="M26"/>
  <c r="M23"/>
  <c r="M32"/>
  <c r="M30"/>
  <c r="M27"/>
  <c r="M29"/>
  <c r="M34"/>
  <c r="M31"/>
  <c r="M28"/>
  <c r="M25"/>
  <c r="M24"/>
  <c r="M22"/>
  <c r="M21"/>
  <c r="V7" i="13"/>
  <c r="G65" i="25"/>
  <c r="G66"/>
  <c r="D5"/>
  <c r="E5"/>
  <c r="E6"/>
  <c r="D6"/>
  <c r="D7"/>
  <c r="E7"/>
  <c r="D8"/>
  <c r="E8"/>
  <c r="E9" i="21"/>
  <c r="D9"/>
  <c r="C9" i="20"/>
  <c r="C10"/>
  <c r="E10" i="21"/>
  <c r="D10"/>
  <c r="G6" i="9"/>
  <c r="V12"/>
  <c r="B13" i="18" s="1"/>
  <c r="E128" i="6"/>
  <c r="P3046" i="5"/>
  <c r="AE3035"/>
  <c r="B3034"/>
  <c r="AA3032" s="1"/>
  <c r="J19" i="14" s="1"/>
  <c r="D158" i="6"/>
  <c r="P2427" i="5"/>
  <c r="AE2416"/>
  <c r="D128" i="6"/>
  <c r="I2415" i="5"/>
  <c r="N2422" s="1"/>
  <c r="AA2413" s="1"/>
  <c r="H31" i="9" s="1"/>
  <c r="V11" s="1"/>
  <c r="B12" i="18" s="1"/>
  <c r="I2395" i="5"/>
  <c r="N2402" s="1"/>
  <c r="AA2393" s="1"/>
  <c r="H23" i="9" s="1"/>
  <c r="V10" s="1"/>
  <c r="B11" i="18" s="1"/>
  <c r="D127" i="6"/>
  <c r="I2378" i="5"/>
  <c r="E126" i="6"/>
  <c r="N2796" i="5"/>
  <c r="BS33" i="10"/>
  <c r="G34"/>
  <c r="M33"/>
  <c r="B63" i="12" s="1"/>
  <c r="G30" i="10"/>
  <c r="M29"/>
  <c r="B59" i="12" s="1"/>
  <c r="BS29" i="10"/>
  <c r="E131" i="6"/>
  <c r="I2478" i="5"/>
  <c r="D131" i="6"/>
  <c r="I2475" i="5"/>
  <c r="E130" i="6"/>
  <c r="I2458" i="5"/>
  <c r="I2455"/>
  <c r="D130" i="6"/>
  <c r="I2167" i="5"/>
  <c r="AE2155"/>
  <c r="M5" i="9"/>
  <c r="B4" i="12" s="1"/>
  <c r="D125" i="6" s="1"/>
  <c r="BS5" i="9"/>
  <c r="BR5" s="1"/>
  <c r="I2447" i="5"/>
  <c r="AE2435"/>
  <c r="I2800"/>
  <c r="AE2788"/>
  <c r="D8" i="31" l="1"/>
  <c r="D126" i="6"/>
  <c r="I18" i="18"/>
  <c r="E127" i="6"/>
  <c r="I2358" i="5"/>
  <c r="AE2356" s="1"/>
  <c r="I15" i="18"/>
  <c r="I14"/>
  <c r="BR9" i="9"/>
  <c r="BR13" s="1"/>
  <c r="BR17" s="1"/>
  <c r="E129" i="6"/>
  <c r="BR9" i="10"/>
  <c r="BR13" s="1"/>
  <c r="C9" i="19"/>
  <c r="D9"/>
  <c r="D12" i="18"/>
  <c r="C12"/>
  <c r="C13" i="19"/>
  <c r="D13"/>
  <c r="C22" i="24"/>
  <c r="D22"/>
  <c r="C26"/>
  <c r="D26"/>
  <c r="C30"/>
  <c r="D30"/>
  <c r="C34"/>
  <c r="D34"/>
  <c r="C24"/>
  <c r="D24"/>
  <c r="C28"/>
  <c r="D28"/>
  <c r="C32"/>
  <c r="D32"/>
  <c r="C36"/>
  <c r="D36"/>
  <c r="C10"/>
  <c r="D10"/>
  <c r="C11" i="18"/>
  <c r="D11"/>
  <c r="C13"/>
  <c r="D13"/>
  <c r="B12" i="24"/>
  <c r="B11"/>
  <c r="D21"/>
  <c r="C21"/>
  <c r="D25"/>
  <c r="C25"/>
  <c r="D29"/>
  <c r="C29"/>
  <c r="D33"/>
  <c r="C33"/>
  <c r="D23"/>
  <c r="C23"/>
  <c r="D27"/>
  <c r="C27"/>
  <c r="D31"/>
  <c r="C31"/>
  <c r="D35"/>
  <c r="C35"/>
  <c r="D9"/>
  <c r="C9"/>
  <c r="I20" i="18"/>
  <c r="G11"/>
  <c r="H11"/>
  <c r="G13"/>
  <c r="H13"/>
  <c r="D21" i="29"/>
  <c r="C21"/>
  <c r="D25"/>
  <c r="C25"/>
  <c r="D29"/>
  <c r="C29"/>
  <c r="D33"/>
  <c r="C33"/>
  <c r="D23"/>
  <c r="C23"/>
  <c r="D27"/>
  <c r="C27"/>
  <c r="D31"/>
  <c r="C31"/>
  <c r="D35"/>
  <c r="C35"/>
  <c r="C9"/>
  <c r="D9"/>
  <c r="G12" i="18"/>
  <c r="H12"/>
  <c r="B12" i="29"/>
  <c r="B11"/>
  <c r="C22"/>
  <c r="D22"/>
  <c r="C26"/>
  <c r="D26"/>
  <c r="C30"/>
  <c r="D30"/>
  <c r="C34"/>
  <c r="D34"/>
  <c r="C24"/>
  <c r="D24"/>
  <c r="C28"/>
  <c r="D28"/>
  <c r="C32"/>
  <c r="D32"/>
  <c r="C36"/>
  <c r="D36"/>
  <c r="D10"/>
  <c r="C10"/>
  <c r="H39" i="25"/>
  <c r="A39" s="1"/>
  <c r="H40"/>
  <c r="A40" s="1"/>
  <c r="H57"/>
  <c r="C12" i="20"/>
  <c r="C11"/>
  <c r="H55" i="25"/>
  <c r="H63"/>
  <c r="H56"/>
  <c r="H66"/>
  <c r="H47"/>
  <c r="H42"/>
  <c r="H41"/>
  <c r="H50"/>
  <c r="H48"/>
  <c r="H49"/>
  <c r="H58"/>
  <c r="H64"/>
  <c r="H65"/>
  <c r="N2482" i="5"/>
  <c r="AA2473" s="1"/>
  <c r="H23" i="10" s="1"/>
  <c r="V10" s="1"/>
  <c r="B11" i="19" s="1"/>
  <c r="D9" i="20"/>
  <c r="E9"/>
  <c r="D10"/>
  <c r="E10"/>
  <c r="J20" i="14"/>
  <c r="V5"/>
  <c r="V4"/>
  <c r="I3034" i="5"/>
  <c r="N3041" s="1"/>
  <c r="I3035"/>
  <c r="H32" i="9"/>
  <c r="M31"/>
  <c r="B30" i="12" s="1"/>
  <c r="BT31" i="9"/>
  <c r="H24"/>
  <c r="M23"/>
  <c r="B22" i="12" s="1"/>
  <c r="BT23" i="9"/>
  <c r="N2382" i="5"/>
  <c r="AA2373" s="1"/>
  <c r="H15" i="9" s="1"/>
  <c r="I2427" i="5"/>
  <c r="AE2415"/>
  <c r="P2407"/>
  <c r="AE2396"/>
  <c r="I2407"/>
  <c r="AE2395"/>
  <c r="P2387"/>
  <c r="AE2376"/>
  <c r="AE2375"/>
  <c r="I2387"/>
  <c r="P2367"/>
  <c r="N2462"/>
  <c r="AA2453" s="1"/>
  <c r="H15" i="10" s="1"/>
  <c r="H16" s="1"/>
  <c r="E132" i="6"/>
  <c r="I2498" i="5"/>
  <c r="I2495"/>
  <c r="D132" i="6"/>
  <c r="P2487" i="5"/>
  <c r="AE2476"/>
  <c r="AE2475"/>
  <c r="I2487"/>
  <c r="P2467"/>
  <c r="AE2456"/>
  <c r="AE2455"/>
  <c r="I2467"/>
  <c r="P2447"/>
  <c r="AE2436"/>
  <c r="I2355"/>
  <c r="I2367" s="1"/>
  <c r="H8" i="10"/>
  <c r="M7"/>
  <c r="B37" i="12" s="1"/>
  <c r="BT7" i="10"/>
  <c r="B3016" i="5"/>
  <c r="E157" i="6"/>
  <c r="D157"/>
  <c r="B3013" i="5"/>
  <c r="BR21" i="9" l="1"/>
  <c r="BR17" i="10"/>
  <c r="BR21" s="1"/>
  <c r="BR25" s="1"/>
  <c r="BR29" s="1"/>
  <c r="B6" i="23"/>
  <c r="B5"/>
  <c r="C12" i="24"/>
  <c r="D12"/>
  <c r="B8" i="23"/>
  <c r="B7"/>
  <c r="C11" i="19"/>
  <c r="D11"/>
  <c r="D11" i="24"/>
  <c r="C11"/>
  <c r="H24" i="10"/>
  <c r="I12" i="18"/>
  <c r="I13"/>
  <c r="I11"/>
  <c r="B6" i="30"/>
  <c r="B5"/>
  <c r="C11" i="29"/>
  <c r="D11"/>
  <c r="B7" i="30"/>
  <c r="B8"/>
  <c r="D12" i="29"/>
  <c r="C12"/>
  <c r="BT23" i="10"/>
  <c r="M23"/>
  <c r="B53" i="12" s="1"/>
  <c r="I2911" i="5" s="1"/>
  <c r="E11" i="20"/>
  <c r="D11"/>
  <c r="E12"/>
  <c r="D12"/>
  <c r="A43" i="25"/>
  <c r="A37"/>
  <c r="A38"/>
  <c r="A44"/>
  <c r="T4" i="14"/>
  <c r="T5" s="1"/>
  <c r="T6" s="1"/>
  <c r="T7" s="1"/>
  <c r="T8" s="1"/>
  <c r="T9" s="1"/>
  <c r="T10" s="1"/>
  <c r="T11" s="1"/>
  <c r="T12" s="1"/>
  <c r="T13" s="1"/>
  <c r="T14" s="1"/>
  <c r="T15" s="1"/>
  <c r="T16" s="1"/>
  <c r="T17" s="1"/>
  <c r="T18" s="1"/>
  <c r="T19" s="1"/>
  <c r="C5" i="21"/>
  <c r="C6"/>
  <c r="C7"/>
  <c r="C8"/>
  <c r="M15" i="10"/>
  <c r="B45" i="12" s="1"/>
  <c r="I2894" i="5" s="1"/>
  <c r="V9" i="10"/>
  <c r="B10" i="19" s="1"/>
  <c r="H16" i="9"/>
  <c r="V9"/>
  <c r="B10" i="18" s="1"/>
  <c r="I3047" i="5"/>
  <c r="N3042"/>
  <c r="AE3034"/>
  <c r="I3046"/>
  <c r="M15" i="9"/>
  <c r="B14" i="12" s="1"/>
  <c r="E149" i="6" s="1"/>
  <c r="I2874" i="5"/>
  <c r="E150" i="6"/>
  <c r="BT15" i="9"/>
  <c r="I2871" i="5"/>
  <c r="D150" i="6"/>
  <c r="N2502" i="5"/>
  <c r="AA2493" s="1"/>
  <c r="H31" i="10" s="1"/>
  <c r="H32" s="1"/>
  <c r="BT15"/>
  <c r="P2507" i="5"/>
  <c r="AE2496"/>
  <c r="AE2495"/>
  <c r="I2507"/>
  <c r="N2362"/>
  <c r="AA2353" s="1"/>
  <c r="H7" i="9" s="1"/>
  <c r="AE2355" i="5"/>
  <c r="I2891"/>
  <c r="D151" i="6"/>
  <c r="BR25" i="9"/>
  <c r="BR29" s="1"/>
  <c r="BR33" s="1"/>
  <c r="AA3011" i="5"/>
  <c r="J19" i="13" s="1"/>
  <c r="J20" s="1"/>
  <c r="I3016" i="5"/>
  <c r="I3017"/>
  <c r="I3014"/>
  <c r="I3026" s="1"/>
  <c r="I3013"/>
  <c r="I2854" l="1"/>
  <c r="P2863" s="1"/>
  <c r="D10" i="18"/>
  <c r="C10"/>
  <c r="D10" i="19"/>
  <c r="C10"/>
  <c r="C8" i="23"/>
  <c r="D8"/>
  <c r="C6"/>
  <c r="D6"/>
  <c r="D7"/>
  <c r="C7"/>
  <c r="D5"/>
  <c r="C5"/>
  <c r="D152" i="6"/>
  <c r="G10" i="18"/>
  <c r="H10"/>
  <c r="D8" i="30"/>
  <c r="C8"/>
  <c r="D6"/>
  <c r="C6"/>
  <c r="C7"/>
  <c r="D7"/>
  <c r="C5"/>
  <c r="D5"/>
  <c r="E151" i="6"/>
  <c r="E8" i="21"/>
  <c r="D8"/>
  <c r="E6"/>
  <c r="D6"/>
  <c r="E7"/>
  <c r="D7"/>
  <c r="E5"/>
  <c r="D5"/>
  <c r="V5" i="13"/>
  <c r="V4"/>
  <c r="H8" i="9"/>
  <c r="V8"/>
  <c r="B9" i="18" s="1"/>
  <c r="M31" i="10"/>
  <c r="B61" i="12" s="1"/>
  <c r="I2914" i="5" s="1"/>
  <c r="N2918" s="1"/>
  <c r="AA2909" s="1"/>
  <c r="I27" i="10" s="1"/>
  <c r="V7" s="1"/>
  <c r="B8" i="19" s="1"/>
  <c r="V11" i="10"/>
  <c r="B12" i="19" s="1"/>
  <c r="T20" i="14"/>
  <c r="A21" i="30" s="1"/>
  <c r="N2878" i="5"/>
  <c r="AA2869" s="1"/>
  <c r="I27" i="9" s="1"/>
  <c r="P2883" i="5"/>
  <c r="AE2872"/>
  <c r="I2883"/>
  <c r="AE2871"/>
  <c r="BT31" i="10"/>
  <c r="AE2911" i="5"/>
  <c r="I2923"/>
  <c r="P2903"/>
  <c r="AE2892"/>
  <c r="M7" i="9"/>
  <c r="B6" i="12" s="1"/>
  <c r="D149" i="6" s="1"/>
  <c r="BT7" i="9"/>
  <c r="BR33" i="10"/>
  <c r="N2898" i="5"/>
  <c r="AA2889" s="1"/>
  <c r="I11" i="10" s="1"/>
  <c r="V6" s="1"/>
  <c r="B7" i="19" s="1"/>
  <c r="I2903" i="5"/>
  <c r="AE2891"/>
  <c r="N3021"/>
  <c r="P3026"/>
  <c r="N3020"/>
  <c r="P3025"/>
  <c r="AE3014"/>
  <c r="I3025"/>
  <c r="AE3013"/>
  <c r="I2851" l="1"/>
  <c r="I2863" s="1"/>
  <c r="AE2852"/>
  <c r="C7" i="19"/>
  <c r="D7"/>
  <c r="D8"/>
  <c r="C8"/>
  <c r="B8" i="24"/>
  <c r="B7"/>
  <c r="D12" i="19"/>
  <c r="C12"/>
  <c r="C9" i="18"/>
  <c r="D9"/>
  <c r="B6" i="24"/>
  <c r="B5"/>
  <c r="I10" i="18"/>
  <c r="B8" i="29"/>
  <c r="B7"/>
  <c r="G9" i="18"/>
  <c r="H9"/>
  <c r="B5" i="29"/>
  <c r="B6"/>
  <c r="E152" i="6"/>
  <c r="B21" i="21"/>
  <c r="A21" i="23"/>
  <c r="T4" i="13"/>
  <c r="T5" s="1"/>
  <c r="T6" s="1"/>
  <c r="T7" s="1"/>
  <c r="T8" s="1"/>
  <c r="T9" s="1"/>
  <c r="T10" s="1"/>
  <c r="T11" s="1"/>
  <c r="T12" s="1"/>
  <c r="T13" s="1"/>
  <c r="T14" s="1"/>
  <c r="T15" s="1"/>
  <c r="T16" s="1"/>
  <c r="T17" s="1"/>
  <c r="T18" s="1"/>
  <c r="T19" s="1"/>
  <c r="C5" i="20"/>
  <c r="C6"/>
  <c r="C7"/>
  <c r="C8"/>
  <c r="I28" i="9"/>
  <c r="V7"/>
  <c r="B8" i="18" s="1"/>
  <c r="M27" i="9"/>
  <c r="B26" i="12" s="1"/>
  <c r="E155" i="6" s="1"/>
  <c r="I28" i="10"/>
  <c r="M27"/>
  <c r="B57" i="12" s="1"/>
  <c r="I2996" i="5" s="1"/>
  <c r="P2923"/>
  <c r="AE2912"/>
  <c r="I12" i="10"/>
  <c r="M11"/>
  <c r="B41" i="12" s="1"/>
  <c r="N2858" i="5" l="1"/>
  <c r="AA2849" s="1"/>
  <c r="I11" i="9" s="1"/>
  <c r="V6" s="1"/>
  <c r="B7" i="18" s="1"/>
  <c r="C7" s="1"/>
  <c r="AE2851" i="5"/>
  <c r="D8" i="18"/>
  <c r="C8"/>
  <c r="C6" i="24"/>
  <c r="D6"/>
  <c r="C8"/>
  <c r="D8"/>
  <c r="D5"/>
  <c r="C5"/>
  <c r="D7"/>
  <c r="C7"/>
  <c r="I9" i="18"/>
  <c r="H8"/>
  <c r="G8"/>
  <c r="C5" i="29"/>
  <c r="D5"/>
  <c r="D8"/>
  <c r="C8"/>
  <c r="D6"/>
  <c r="C6"/>
  <c r="C7"/>
  <c r="D7"/>
  <c r="A58" i="25"/>
  <c r="A50"/>
  <c r="A48"/>
  <c r="A47"/>
  <c r="A49"/>
  <c r="A64"/>
  <c r="A41"/>
  <c r="A42"/>
  <c r="A57"/>
  <c r="A66"/>
  <c r="A63"/>
  <c r="A55"/>
  <c r="A56"/>
  <c r="A65"/>
  <c r="D8" i="20"/>
  <c r="E8"/>
  <c r="D6"/>
  <c r="E6"/>
  <c r="D7"/>
  <c r="E7"/>
  <c r="D5"/>
  <c r="E5"/>
  <c r="T20" i="13"/>
  <c r="I2976" i="5"/>
  <c r="P2985" s="1"/>
  <c r="E156" i="6"/>
  <c r="P3005" i="5"/>
  <c r="AE2994"/>
  <c r="I2993"/>
  <c r="D156" i="6"/>
  <c r="M11" i="9" l="1"/>
  <c r="B10" i="12" s="1"/>
  <c r="I2973" i="5" s="1"/>
  <c r="H7" i="18"/>
  <c r="D7"/>
  <c r="G7"/>
  <c r="I12" i="9"/>
  <c r="B51" i="22"/>
  <c r="B52"/>
  <c r="B47"/>
  <c r="B43"/>
  <c r="B39"/>
  <c r="B49"/>
  <c r="B45"/>
  <c r="B41"/>
  <c r="B37"/>
  <c r="B48"/>
  <c r="B44"/>
  <c r="B40"/>
  <c r="B50"/>
  <c r="B46"/>
  <c r="B42"/>
  <c r="B38"/>
  <c r="B51" i="31"/>
  <c r="B52"/>
  <c r="I8" i="18"/>
  <c r="B68" i="31"/>
  <c r="B64"/>
  <c r="B60"/>
  <c r="B56"/>
  <c r="B48"/>
  <c r="B44"/>
  <c r="B40"/>
  <c r="B66"/>
  <c r="B62"/>
  <c r="B58"/>
  <c r="B54"/>
  <c r="B50"/>
  <c r="B46"/>
  <c r="B42"/>
  <c r="B38"/>
  <c r="B67"/>
  <c r="B63"/>
  <c r="B59"/>
  <c r="B55"/>
  <c r="B47"/>
  <c r="B43"/>
  <c r="B39"/>
  <c r="B65"/>
  <c r="B61"/>
  <c r="B57"/>
  <c r="B53"/>
  <c r="B49"/>
  <c r="B45"/>
  <c r="B41"/>
  <c r="B37"/>
  <c r="AE2974" i="5"/>
  <c r="M49" i="25"/>
  <c r="M50"/>
  <c r="M57"/>
  <c r="M62"/>
  <c r="B53" i="22"/>
  <c r="M48" i="25"/>
  <c r="M43"/>
  <c r="M94"/>
  <c r="M81"/>
  <c r="M74"/>
  <c r="M78"/>
  <c r="M71"/>
  <c r="B65" i="22"/>
  <c r="M61" i="25"/>
  <c r="B61" i="22"/>
  <c r="B68"/>
  <c r="M52" i="25"/>
  <c r="M63"/>
  <c r="M100"/>
  <c r="M87"/>
  <c r="M97"/>
  <c r="M84"/>
  <c r="M37"/>
  <c r="B66" i="22"/>
  <c r="M40" i="25"/>
  <c r="B62" i="22"/>
  <c r="M60" i="25"/>
  <c r="M66"/>
  <c r="M51"/>
  <c r="M56"/>
  <c r="M54"/>
  <c r="B55" i="22"/>
  <c r="M69" i="25"/>
  <c r="M76"/>
  <c r="M72"/>
  <c r="M79"/>
  <c r="M92"/>
  <c r="M47"/>
  <c r="M68"/>
  <c r="B54" i="22"/>
  <c r="M67" i="25"/>
  <c r="M45"/>
  <c r="B58" i="22"/>
  <c r="M86" i="25"/>
  <c r="M99"/>
  <c r="M89"/>
  <c r="M102"/>
  <c r="M59"/>
  <c r="M64"/>
  <c r="B60" i="22"/>
  <c r="M101" i="25"/>
  <c r="B67" i="22"/>
  <c r="M82" i="25"/>
  <c r="M46"/>
  <c r="M104"/>
  <c r="M38"/>
  <c r="M41"/>
  <c r="B64" i="22"/>
  <c r="B57"/>
  <c r="M88" i="25"/>
  <c r="M91"/>
  <c r="M65"/>
  <c r="M39"/>
  <c r="M73"/>
  <c r="M80"/>
  <c r="M93"/>
  <c r="M83"/>
  <c r="M44"/>
  <c r="M42"/>
  <c r="M96"/>
  <c r="M55"/>
  <c r="M53"/>
  <c r="B63" i="22"/>
  <c r="B59"/>
  <c r="B56"/>
  <c r="M85" i="25"/>
  <c r="M58"/>
  <c r="M75"/>
  <c r="M95"/>
  <c r="M98"/>
  <c r="M90"/>
  <c r="M77"/>
  <c r="M103"/>
  <c r="M70"/>
  <c r="N3000" i="5"/>
  <c r="AA2991" s="1"/>
  <c r="J19" i="10" s="1"/>
  <c r="I3005" i="5"/>
  <c r="AE2993"/>
  <c r="I7" i="18" l="1"/>
  <c r="D155" i="6"/>
  <c r="D51" i="22"/>
  <c r="C51"/>
  <c r="C52"/>
  <c r="D52"/>
  <c r="C42"/>
  <c r="D42"/>
  <c r="C50"/>
  <c r="D50"/>
  <c r="C44"/>
  <c r="D44"/>
  <c r="D37"/>
  <c r="C37"/>
  <c r="D45"/>
  <c r="C45"/>
  <c r="D39"/>
  <c r="C39"/>
  <c r="D47"/>
  <c r="C47"/>
  <c r="C38"/>
  <c r="D38"/>
  <c r="C46"/>
  <c r="D46"/>
  <c r="C40"/>
  <c r="D40"/>
  <c r="C48"/>
  <c r="D48"/>
  <c r="D41"/>
  <c r="C41"/>
  <c r="D49"/>
  <c r="C49"/>
  <c r="D43"/>
  <c r="C43"/>
  <c r="D51" i="31"/>
  <c r="C51"/>
  <c r="C52"/>
  <c r="D52"/>
  <c r="D41"/>
  <c r="C41"/>
  <c r="D49"/>
  <c r="C49"/>
  <c r="D57"/>
  <c r="C57"/>
  <c r="D65"/>
  <c r="C65"/>
  <c r="D43"/>
  <c r="C43"/>
  <c r="D55"/>
  <c r="C55"/>
  <c r="D63"/>
  <c r="C63"/>
  <c r="C38"/>
  <c r="D38"/>
  <c r="C46"/>
  <c r="D46"/>
  <c r="C54"/>
  <c r="D54"/>
  <c r="C62"/>
  <c r="D62"/>
  <c r="C40"/>
  <c r="D40"/>
  <c r="C48"/>
  <c r="D48"/>
  <c r="C60"/>
  <c r="D60"/>
  <c r="C68"/>
  <c r="D68"/>
  <c r="D37"/>
  <c r="C37"/>
  <c r="D45"/>
  <c r="C45"/>
  <c r="D53"/>
  <c r="C53"/>
  <c r="D61"/>
  <c r="C61"/>
  <c r="D39"/>
  <c r="C39"/>
  <c r="D47"/>
  <c r="C47"/>
  <c r="D59"/>
  <c r="C59"/>
  <c r="D67"/>
  <c r="C67"/>
  <c r="C42"/>
  <c r="D42"/>
  <c r="C50"/>
  <c r="D50"/>
  <c r="C58"/>
  <c r="D58"/>
  <c r="C66"/>
  <c r="D66"/>
  <c r="C44"/>
  <c r="D44"/>
  <c r="C56"/>
  <c r="D56"/>
  <c r="C64"/>
  <c r="D64"/>
  <c r="D63" i="22"/>
  <c r="C63"/>
  <c r="D57"/>
  <c r="C57"/>
  <c r="D60"/>
  <c r="C60"/>
  <c r="D58"/>
  <c r="C58"/>
  <c r="D54"/>
  <c r="C54"/>
  <c r="D62"/>
  <c r="C62"/>
  <c r="D66"/>
  <c r="C66"/>
  <c r="D68"/>
  <c r="C68"/>
  <c r="D65"/>
  <c r="C65"/>
  <c r="D53"/>
  <c r="C53"/>
  <c r="D56"/>
  <c r="C56"/>
  <c r="D59"/>
  <c r="C59"/>
  <c r="D64"/>
  <c r="C64"/>
  <c r="D67"/>
  <c r="C67"/>
  <c r="D55"/>
  <c r="C55"/>
  <c r="D61"/>
  <c r="C61"/>
  <c r="J20" i="10"/>
  <c r="V5"/>
  <c r="B6" i="19" s="1"/>
  <c r="V4" i="10"/>
  <c r="B5" i="19" s="1"/>
  <c r="I2985" i="5"/>
  <c r="N2980"/>
  <c r="AA2971" s="1"/>
  <c r="J19" i="9" s="1"/>
  <c r="AE2973" i="5"/>
  <c r="D6" i="19" l="1"/>
  <c r="C6"/>
  <c r="C5"/>
  <c r="D5"/>
  <c r="T4" i="10"/>
  <c r="T5" s="1"/>
  <c r="T6" s="1"/>
  <c r="T7" s="1"/>
  <c r="T8" s="1"/>
  <c r="T9" s="1"/>
  <c r="T10" s="1"/>
  <c r="T11" s="1"/>
  <c r="T12" s="1"/>
  <c r="T13" s="1"/>
  <c r="T14" s="1"/>
  <c r="T15" s="1"/>
  <c r="T16" s="1"/>
  <c r="T17" s="1"/>
  <c r="T18" s="1"/>
  <c r="T19" s="1"/>
  <c r="J20" i="9"/>
  <c r="V5"/>
  <c r="B6" i="18" s="1"/>
  <c r="V4" i="9"/>
  <c r="B5" i="18" s="1"/>
  <c r="D6" l="1"/>
  <c r="C6"/>
  <c r="C5"/>
  <c r="D5"/>
  <c r="H5"/>
  <c r="G5"/>
  <c r="H6"/>
  <c r="G6"/>
  <c r="T20" i="10"/>
  <c r="T4" i="9"/>
  <c r="I5" i="18" l="1"/>
  <c r="I6"/>
  <c r="T5" i="9"/>
  <c r="T6" s="1"/>
  <c r="T7" s="1"/>
  <c r="T8" s="1"/>
  <c r="T9" s="1"/>
  <c r="T10" s="1"/>
  <c r="T11" s="1"/>
  <c r="T12" s="1"/>
  <c r="T13" s="1"/>
  <c r="T14" s="1"/>
  <c r="T15" s="1"/>
  <c r="T16" s="1"/>
  <c r="T17" s="1"/>
  <c r="T18" s="1"/>
  <c r="T19" s="1"/>
  <c r="T20" l="1"/>
</calcChain>
</file>

<file path=xl/sharedStrings.xml><?xml version="1.0" encoding="utf-8"?>
<sst xmlns="http://schemas.openxmlformats.org/spreadsheetml/2006/main" count="8329" uniqueCount="673">
  <si>
    <t>Majstrovstvá Slovenska jednotlivcov</t>
  </si>
  <si>
    <t>kategória:</t>
  </si>
  <si>
    <t>por.č.</t>
  </si>
  <si>
    <t>Priezvisko, meno</t>
  </si>
  <si>
    <t>nar.</t>
  </si>
  <si>
    <t>klub</t>
  </si>
  <si>
    <t>rebríček</t>
  </si>
  <si>
    <t>body v rebríčku</t>
  </si>
  <si>
    <t>vylosovanie</t>
  </si>
  <si>
    <t>skupina</t>
  </si>
  <si>
    <t>pozícia</t>
  </si>
  <si>
    <t>kod</t>
  </si>
  <si>
    <t>A</t>
  </si>
  <si>
    <t>Skupina</t>
  </si>
  <si>
    <t>zápas</t>
  </si>
  <si>
    <t>čas</t>
  </si>
  <si>
    <t>stôl</t>
  </si>
  <si>
    <t>meno</t>
  </si>
  <si>
    <t>B</t>
  </si>
  <si>
    <t>PS</t>
  </si>
  <si>
    <t>1-3</t>
  </si>
  <si>
    <t>2-4</t>
  </si>
  <si>
    <t>1-2</t>
  </si>
  <si>
    <t>3-4</t>
  </si>
  <si>
    <t>1-4</t>
  </si>
  <si>
    <t>2-3</t>
  </si>
  <si>
    <t>Skupina :</t>
  </si>
  <si>
    <t>Zápas:</t>
  </si>
  <si>
    <t>Čas:</t>
  </si>
  <si>
    <t>Stôl:</t>
  </si>
  <si>
    <t>pomer</t>
  </si>
  <si>
    <t>setov</t>
  </si>
  <si>
    <t>Rozhodca</t>
  </si>
  <si>
    <t>Udelené karty - priestupok</t>
  </si>
  <si>
    <t>Víťaz</t>
  </si>
  <si>
    <t>Dátum:</t>
  </si>
  <si>
    <t>Ž</t>
  </si>
  <si>
    <t>ŽČ</t>
  </si>
  <si>
    <t>C</t>
  </si>
  <si>
    <t>D</t>
  </si>
  <si>
    <t>E</t>
  </si>
  <si>
    <t>F</t>
  </si>
  <si>
    <t>G</t>
  </si>
  <si>
    <t>H</t>
  </si>
  <si>
    <t>R</t>
  </si>
  <si>
    <t>sety</t>
  </si>
  <si>
    <t>Por.</t>
  </si>
  <si>
    <t>zapasu</t>
  </si>
  <si>
    <t>mena</t>
  </si>
  <si>
    <t>Chlapci</t>
  </si>
  <si>
    <t>Dievčatá</t>
  </si>
  <si>
    <t>Štvorhry chlapci</t>
  </si>
  <si>
    <t>por.č. CH</t>
  </si>
  <si>
    <t>bodová hodnota dvojice</t>
  </si>
  <si>
    <t>bodová hodnota hráčov</t>
  </si>
  <si>
    <t>nasadenie</t>
  </si>
  <si>
    <t>vylosovana pozícia v pavúku</t>
  </si>
  <si>
    <t>por.č. D</t>
  </si>
  <si>
    <t>Zmiešané štvorhry</t>
  </si>
  <si>
    <t>por.č. CH/D</t>
  </si>
  <si>
    <t>por.</t>
  </si>
  <si>
    <t>Meno</t>
  </si>
  <si>
    <t>kod zapasu</t>
  </si>
  <si>
    <t>kat.</t>
  </si>
  <si>
    <t>sk.</t>
  </si>
  <si>
    <t>CH</t>
  </si>
  <si>
    <t>Kategória :</t>
  </si>
  <si>
    <t>deň</t>
  </si>
  <si>
    <t>hraca</t>
  </si>
  <si>
    <t>9.30</t>
  </si>
  <si>
    <t xml:space="preserve">zápas č. </t>
  </si>
  <si>
    <t>10.20</t>
  </si>
  <si>
    <t>10.45</t>
  </si>
  <si>
    <t>12.00</t>
  </si>
  <si>
    <t>Zoznam zápasov - základné skupiny</t>
  </si>
  <si>
    <t>kod poradia sk</t>
  </si>
  <si>
    <t>vyhrate</t>
  </si>
  <si>
    <t>spolu</t>
  </si>
  <si>
    <t>prehrate</t>
  </si>
  <si>
    <t>PORADIE V SKUPINACH</t>
  </si>
  <si>
    <t>A1</t>
  </si>
  <si>
    <t>A2</t>
  </si>
  <si>
    <t>A3</t>
  </si>
  <si>
    <t>A4</t>
  </si>
  <si>
    <t>B1</t>
  </si>
  <si>
    <t>B2</t>
  </si>
  <si>
    <t>B3</t>
  </si>
  <si>
    <t>B4</t>
  </si>
  <si>
    <t>C1</t>
  </si>
  <si>
    <t>C2</t>
  </si>
  <si>
    <t>C3</t>
  </si>
  <si>
    <t>C4</t>
  </si>
  <si>
    <t>D1</t>
  </si>
  <si>
    <t>D2</t>
  </si>
  <si>
    <t>D3</t>
  </si>
  <si>
    <t>D4</t>
  </si>
  <si>
    <t>E1</t>
  </si>
  <si>
    <t>E2</t>
  </si>
  <si>
    <t>E3</t>
  </si>
  <si>
    <t>E4</t>
  </si>
  <si>
    <t>F1</t>
  </si>
  <si>
    <t>F2</t>
  </si>
  <si>
    <t>F3</t>
  </si>
  <si>
    <t>F4</t>
  </si>
  <si>
    <t>G1</t>
  </si>
  <si>
    <t>G2</t>
  </si>
  <si>
    <t>G3</t>
  </si>
  <si>
    <t>G4</t>
  </si>
  <si>
    <t>H1</t>
  </si>
  <si>
    <t>H2</t>
  </si>
  <si>
    <t>H3</t>
  </si>
  <si>
    <t>H4</t>
  </si>
  <si>
    <t>Dievcata</t>
  </si>
  <si>
    <t>KOD PORADIA SK</t>
  </si>
  <si>
    <t>skrece</t>
  </si>
  <si>
    <t>Počet hráčov:</t>
  </si>
  <si>
    <t>Vylosovat:</t>
  </si>
  <si>
    <t>koš</t>
  </si>
  <si>
    <t xml:space="preserve"> 9-16</t>
  </si>
  <si>
    <t xml:space="preserve"> 5-8</t>
  </si>
  <si>
    <t xml:space="preserve"> </t>
  </si>
  <si>
    <t>X</t>
  </si>
  <si>
    <t>Koš 1</t>
  </si>
  <si>
    <t>8,9</t>
  </si>
  <si>
    <t>Koš 2</t>
  </si>
  <si>
    <t>4,5,12,13</t>
  </si>
  <si>
    <t>Koš 3</t>
  </si>
  <si>
    <t>2,3,6,7,10,11,14,15</t>
  </si>
  <si>
    <t>P</t>
  </si>
  <si>
    <t>1</t>
  </si>
  <si>
    <t>ŠTARTOVÁ  LISTINA</t>
  </si>
  <si>
    <t>Pavúky</t>
  </si>
  <si>
    <t>DP3</t>
  </si>
  <si>
    <t>DP13</t>
  </si>
  <si>
    <t>DP10</t>
  </si>
  <si>
    <t>DP4</t>
  </si>
  <si>
    <t>DP5</t>
  </si>
  <si>
    <t>DP11</t>
  </si>
  <si>
    <t>DP6</t>
  </si>
  <si>
    <t>DP15</t>
  </si>
  <si>
    <t>DP7</t>
  </si>
  <si>
    <t>DP14</t>
  </si>
  <si>
    <t>DP12</t>
  </si>
  <si>
    <t>DP8</t>
  </si>
  <si>
    <t>DP1</t>
  </si>
  <si>
    <t>DP9</t>
  </si>
  <si>
    <t>DP2</t>
  </si>
  <si>
    <t>CHP1</t>
  </si>
  <si>
    <t>CHP9</t>
  </si>
  <si>
    <t>CHP2</t>
  </si>
  <si>
    <t>CHP3</t>
  </si>
  <si>
    <t>CHP13</t>
  </si>
  <si>
    <t>CHP10</t>
  </si>
  <si>
    <t>CHP4</t>
  </si>
  <si>
    <t>CHP5</t>
  </si>
  <si>
    <t>CHP11</t>
  </si>
  <si>
    <t>CHP6</t>
  </si>
  <si>
    <t>CHP15</t>
  </si>
  <si>
    <t>CHP7</t>
  </si>
  <si>
    <t>CHP14</t>
  </si>
  <si>
    <t>CHP12</t>
  </si>
  <si>
    <t>CHP8</t>
  </si>
  <si>
    <t>2</t>
  </si>
  <si>
    <t>3</t>
  </si>
  <si>
    <t>4</t>
  </si>
  <si>
    <t>DP21</t>
  </si>
  <si>
    <t>DP22</t>
  </si>
  <si>
    <t>DP31</t>
  </si>
  <si>
    <t>DP32</t>
  </si>
  <si>
    <t>DP41</t>
  </si>
  <si>
    <t>DP42</t>
  </si>
  <si>
    <t>DP51</t>
  </si>
  <si>
    <t>DP52</t>
  </si>
  <si>
    <t>DP61</t>
  </si>
  <si>
    <t>DP62</t>
  </si>
  <si>
    <t>DP71</t>
  </si>
  <si>
    <t>DP72</t>
  </si>
  <si>
    <t>DP81</t>
  </si>
  <si>
    <t>DP82</t>
  </si>
  <si>
    <t>DP91</t>
  </si>
  <si>
    <t>DP92</t>
  </si>
  <si>
    <t>DP101</t>
  </si>
  <si>
    <t>DP102</t>
  </si>
  <si>
    <t>DP111</t>
  </si>
  <si>
    <t>DP112</t>
  </si>
  <si>
    <t>DP122</t>
  </si>
  <si>
    <t>DP121</t>
  </si>
  <si>
    <t>DP131</t>
  </si>
  <si>
    <t>DP132</t>
  </si>
  <si>
    <t>DP141</t>
  </si>
  <si>
    <t>DP142</t>
  </si>
  <si>
    <t>DP152</t>
  </si>
  <si>
    <t>DP151</t>
  </si>
  <si>
    <t>CHP91</t>
  </si>
  <si>
    <t>CHP131</t>
  </si>
  <si>
    <t>CHP21</t>
  </si>
  <si>
    <t>CHP92</t>
  </si>
  <si>
    <t>CHP22</t>
  </si>
  <si>
    <t>CHP151</t>
  </si>
  <si>
    <t>CHP31</t>
  </si>
  <si>
    <t>CHP101</t>
  </si>
  <si>
    <t>CHP32</t>
  </si>
  <si>
    <t>CHP132</t>
  </si>
  <si>
    <t>CHP41</t>
  </si>
  <si>
    <t>CHP102</t>
  </si>
  <si>
    <t>CHP42</t>
  </si>
  <si>
    <t>CHP51</t>
  </si>
  <si>
    <t>CHP111</t>
  </si>
  <si>
    <t>CHP52</t>
  </si>
  <si>
    <t>CHP141</t>
  </si>
  <si>
    <t>CHP61</t>
  </si>
  <si>
    <t>CHP112</t>
  </si>
  <si>
    <t>CHP62</t>
  </si>
  <si>
    <t>CHP152</t>
  </si>
  <si>
    <t>CHP71</t>
  </si>
  <si>
    <t>CHP121</t>
  </si>
  <si>
    <t>CHP72</t>
  </si>
  <si>
    <t>CHP142</t>
  </si>
  <si>
    <t>CHP81</t>
  </si>
  <si>
    <t>CHP122</t>
  </si>
  <si>
    <t>CHP82</t>
  </si>
  <si>
    <t xml:space="preserve">KOD </t>
  </si>
  <si>
    <t>MENO</t>
  </si>
  <si>
    <t>CH4P11</t>
  </si>
  <si>
    <t>CH4P91</t>
  </si>
  <si>
    <t>CH4P1</t>
  </si>
  <si>
    <t>CH4P12</t>
  </si>
  <si>
    <t>CH4P131</t>
  </si>
  <si>
    <t>CH4P21</t>
  </si>
  <si>
    <t>CH4P9</t>
  </si>
  <si>
    <t>CH4P92</t>
  </si>
  <si>
    <t>CH4P2</t>
  </si>
  <si>
    <t>CH4P22</t>
  </si>
  <si>
    <t>CH4P151</t>
  </si>
  <si>
    <t>CH4P31</t>
  </si>
  <si>
    <t>CH4P13</t>
  </si>
  <si>
    <t>CH4P101</t>
  </si>
  <si>
    <t>CH4P3</t>
  </si>
  <si>
    <t>CH4P32</t>
  </si>
  <si>
    <t>CH4P132</t>
  </si>
  <si>
    <t>CH4P41</t>
  </si>
  <si>
    <t>CH4P10</t>
  </si>
  <si>
    <t>CH4P102</t>
  </si>
  <si>
    <t>CH4P4</t>
  </si>
  <si>
    <t>CH4P42</t>
  </si>
  <si>
    <t>CH4P51</t>
  </si>
  <si>
    <t>CH4P15</t>
  </si>
  <si>
    <t>CH4P111</t>
  </si>
  <si>
    <t>CH4P5</t>
  </si>
  <si>
    <t>CH4P52</t>
  </si>
  <si>
    <t>CH4P141</t>
  </si>
  <si>
    <t>CH4P61</t>
  </si>
  <si>
    <t>CH4P112</t>
  </si>
  <si>
    <t>CH4P6</t>
  </si>
  <si>
    <t>CH4P62</t>
  </si>
  <si>
    <t>CH4P152</t>
  </si>
  <si>
    <t>CH4P71</t>
  </si>
  <si>
    <t>CH4P14</t>
  </si>
  <si>
    <t>CH4P121</t>
  </si>
  <si>
    <t>CH4P7</t>
  </si>
  <si>
    <t>CH4P72</t>
  </si>
  <si>
    <t>CH4P142</t>
  </si>
  <si>
    <t>CH4P81</t>
  </si>
  <si>
    <t>CH4P122</t>
  </si>
  <si>
    <t>CH4P8</t>
  </si>
  <si>
    <t>CH4P82</t>
  </si>
  <si>
    <t>D4P11</t>
  </si>
  <si>
    <t>D4P91</t>
  </si>
  <si>
    <t>D4P1</t>
  </si>
  <si>
    <t>D4P12</t>
  </si>
  <si>
    <t>D4P131</t>
  </si>
  <si>
    <t>D4P21</t>
  </si>
  <si>
    <t>D4P9</t>
  </si>
  <si>
    <t>D4P92</t>
  </si>
  <si>
    <t>D4P2</t>
  </si>
  <si>
    <t>D4P22</t>
  </si>
  <si>
    <t>D4P151</t>
  </si>
  <si>
    <t>D4P31</t>
  </si>
  <si>
    <t>D4P13</t>
  </si>
  <si>
    <t>D4P101</t>
  </si>
  <si>
    <t>D4P3</t>
  </si>
  <si>
    <t>D4P32</t>
  </si>
  <si>
    <t>D4P132</t>
  </si>
  <si>
    <t>D4P41</t>
  </si>
  <si>
    <t>D4P10</t>
  </si>
  <si>
    <t>D4P102</t>
  </si>
  <si>
    <t>D4P4</t>
  </si>
  <si>
    <t>D4P42</t>
  </si>
  <si>
    <t>D4P51</t>
  </si>
  <si>
    <t>D4P15</t>
  </si>
  <si>
    <t>D4P111</t>
  </si>
  <si>
    <t>D4P5</t>
  </si>
  <si>
    <t>D4P52</t>
  </si>
  <si>
    <t>D4P141</t>
  </si>
  <si>
    <t>D4P61</t>
  </si>
  <si>
    <t>D4P112</t>
  </si>
  <si>
    <t>D4P6</t>
  </si>
  <si>
    <t>D4P62</t>
  </si>
  <si>
    <t>D4P152</t>
  </si>
  <si>
    <t>D4P71</t>
  </si>
  <si>
    <t>D4P14</t>
  </si>
  <si>
    <t>D4P121</t>
  </si>
  <si>
    <t>D4P7</t>
  </si>
  <si>
    <t>D4P72</t>
  </si>
  <si>
    <t>D4P142</t>
  </si>
  <si>
    <t>D4P81</t>
  </si>
  <si>
    <t>D4P122</t>
  </si>
  <si>
    <t>D4P8</t>
  </si>
  <si>
    <t>D4P82</t>
  </si>
  <si>
    <t>CH4</t>
  </si>
  <si>
    <t>5</t>
  </si>
  <si>
    <t>6</t>
  </si>
  <si>
    <t>7</t>
  </si>
  <si>
    <t>8</t>
  </si>
  <si>
    <t>Koš 4</t>
  </si>
  <si>
    <t xml:space="preserve">17 - </t>
  </si>
  <si>
    <t>MIX</t>
  </si>
  <si>
    <t>MIXP1</t>
  </si>
  <si>
    <t>MIXP2</t>
  </si>
  <si>
    <t>MIXP3</t>
  </si>
  <si>
    <t>MIXP4</t>
  </si>
  <si>
    <t>MIXP5</t>
  </si>
  <si>
    <t>MIXP6</t>
  </si>
  <si>
    <t>MIXP7</t>
  </si>
  <si>
    <t>MIXP8</t>
  </si>
  <si>
    <t>MIXP9</t>
  </si>
  <si>
    <t>MIXP10</t>
  </si>
  <si>
    <t>MIXP11</t>
  </si>
  <si>
    <t>MIXP12</t>
  </si>
  <si>
    <t>MIXP13</t>
  </si>
  <si>
    <t>MIXP14</t>
  </si>
  <si>
    <t>MIXP15</t>
  </si>
  <si>
    <t>MIXP16</t>
  </si>
  <si>
    <t>MIXP17</t>
  </si>
  <si>
    <t>MIXP18</t>
  </si>
  <si>
    <t>MIXP19</t>
  </si>
  <si>
    <t>MIXP20</t>
  </si>
  <si>
    <t>MIXP21</t>
  </si>
  <si>
    <t>MIXP22</t>
  </si>
  <si>
    <t>MIXP23</t>
  </si>
  <si>
    <t>MIXP24</t>
  </si>
  <si>
    <t>MIXP25</t>
  </si>
  <si>
    <t>MIXP26</t>
  </si>
  <si>
    <t>MIXP27</t>
  </si>
  <si>
    <t>MIXP28</t>
  </si>
  <si>
    <t>MIXP29</t>
  </si>
  <si>
    <t>MIXP30</t>
  </si>
  <si>
    <t>MIXP31</t>
  </si>
  <si>
    <t>9</t>
  </si>
  <si>
    <t>10</t>
  </si>
  <si>
    <t>11</t>
  </si>
  <si>
    <t>12</t>
  </si>
  <si>
    <t>13</t>
  </si>
  <si>
    <t>14</t>
  </si>
  <si>
    <t>15</t>
  </si>
  <si>
    <t>15.30</t>
  </si>
  <si>
    <t>16.00</t>
  </si>
  <si>
    <t>16.30</t>
  </si>
  <si>
    <t>17.00</t>
  </si>
  <si>
    <t>17</t>
  </si>
  <si>
    <t>18</t>
  </si>
  <si>
    <t>19</t>
  </si>
  <si>
    <t>20</t>
  </si>
  <si>
    <t>29</t>
  </si>
  <si>
    <t>30</t>
  </si>
  <si>
    <t>11.00</t>
  </si>
  <si>
    <t>11.30</t>
  </si>
  <si>
    <t>31</t>
  </si>
  <si>
    <t>21</t>
  </si>
  <si>
    <t>22</t>
  </si>
  <si>
    <t>23</t>
  </si>
  <si>
    <t>24</t>
  </si>
  <si>
    <t>25</t>
  </si>
  <si>
    <t>26</t>
  </si>
  <si>
    <t>27</t>
  </si>
  <si>
    <t>28</t>
  </si>
  <si>
    <t>VYSLEDOK</t>
  </si>
  <si>
    <t>VITAZ</t>
  </si>
  <si>
    <t>LOPTY</t>
  </si>
  <si>
    <t>IDENTIF. ZAPASU</t>
  </si>
  <si>
    <t>Konečné poradie dvojhry chlapcov</t>
  </si>
  <si>
    <t xml:space="preserve"> 3-4</t>
  </si>
  <si>
    <t xml:space="preserve"> 17-24</t>
  </si>
  <si>
    <t>So</t>
  </si>
  <si>
    <t>Ne</t>
  </si>
  <si>
    <t>max</t>
  </si>
  <si>
    <t>Počet účastníkov:</t>
  </si>
  <si>
    <t>Kategória:</t>
  </si>
  <si>
    <t>Majstrovstvá Slovenska jednotlivcov Najmladší žiaci, 15.5-16.5.2010 v Galante</t>
  </si>
  <si>
    <t>Konečné poradie dvojhry dievčat</t>
  </si>
  <si>
    <t>Poradie</t>
  </si>
  <si>
    <t>Konečné poradie štvorhry chlapcov</t>
  </si>
  <si>
    <t>Konečné poradie štvorhry dievčat</t>
  </si>
  <si>
    <t>Konečné poradie zmiešanej štvorhry</t>
  </si>
  <si>
    <t>Pomocne poradie štvorhry dievčat</t>
  </si>
  <si>
    <t>pomocne poradie zmiešanej štvorhry</t>
  </si>
  <si>
    <t>Štvorhry dievčatá</t>
  </si>
  <si>
    <t>vylosovaná pozícia v pavúku</t>
  </si>
  <si>
    <t xml:space="preserve">Program pre riadenie MSR mládeže </t>
  </si>
  <si>
    <t>Deň</t>
  </si>
  <si>
    <t>MŽ a NŽ</t>
  </si>
  <si>
    <t>diev. A1-A3</t>
  </si>
  <si>
    <t>diev. B1-B3</t>
  </si>
  <si>
    <t>diev. C1-C3</t>
  </si>
  <si>
    <t>diev. D1-D3</t>
  </si>
  <si>
    <t>diev. E1-E3</t>
  </si>
  <si>
    <t>diev. F1-F3</t>
  </si>
  <si>
    <t>diev. G1-G3</t>
  </si>
  <si>
    <t>diev. H1-H3</t>
  </si>
  <si>
    <t>chlap. A1-A3</t>
  </si>
  <si>
    <t>chlap. A2-A4</t>
  </si>
  <si>
    <t>chlap. B1-B3</t>
  </si>
  <si>
    <t>chlap. B2-B4</t>
  </si>
  <si>
    <t>chlap. C1-C3</t>
  </si>
  <si>
    <t>chlap. C2-C4</t>
  </si>
  <si>
    <t>chlap. D1-D3</t>
  </si>
  <si>
    <t>chlap. D2-D4</t>
  </si>
  <si>
    <t>chlap. E1-E3</t>
  </si>
  <si>
    <t>chlap. E2-E4</t>
  </si>
  <si>
    <t>chlap. F1-F3</t>
  </si>
  <si>
    <t>chlap. F2-F4</t>
  </si>
  <si>
    <t>chlap. G1-G3</t>
  </si>
  <si>
    <t>chlap. G2-G4</t>
  </si>
  <si>
    <t>chlap. H1-H3</t>
  </si>
  <si>
    <t>chlap. H2-H4</t>
  </si>
  <si>
    <t>diev. A1-A2</t>
  </si>
  <si>
    <t>diev. B1-B2</t>
  </si>
  <si>
    <t>diev. C1-C2</t>
  </si>
  <si>
    <t>diev. D1-D2</t>
  </si>
  <si>
    <t>diev. E1-E2</t>
  </si>
  <si>
    <t>diev. F1-F2</t>
  </si>
  <si>
    <t>diev. G1-G2</t>
  </si>
  <si>
    <t>diev. H1-H2</t>
  </si>
  <si>
    <t>chlap. A1-A2</t>
  </si>
  <si>
    <t>chlap. A3-A4</t>
  </si>
  <si>
    <t>chlap. B1-B2</t>
  </si>
  <si>
    <t>chlap. B3-B4</t>
  </si>
  <si>
    <t>chlap. C1-C2</t>
  </si>
  <si>
    <t>chlap. C3-C4</t>
  </si>
  <si>
    <t>chlap. D1-D2</t>
  </si>
  <si>
    <t>chlap. D3-D4</t>
  </si>
  <si>
    <t>chlap. E1-E2</t>
  </si>
  <si>
    <t>chlap. E3-E4</t>
  </si>
  <si>
    <t>chlap. F1-F2</t>
  </si>
  <si>
    <t>chlap. F3-F4</t>
  </si>
  <si>
    <t>chlap. G1-G2</t>
  </si>
  <si>
    <t>chlap. G3-G4</t>
  </si>
  <si>
    <t>chlap. H1-H2</t>
  </si>
  <si>
    <t>chlap. H3-H4</t>
  </si>
  <si>
    <t>diev. A2-A3</t>
  </si>
  <si>
    <t>diev. B2-B3</t>
  </si>
  <si>
    <t>diev. C2-C3</t>
  </si>
  <si>
    <t>diev. D2-D3</t>
  </si>
  <si>
    <t>diev. E2-E3</t>
  </si>
  <si>
    <t>diev. F2-F3</t>
  </si>
  <si>
    <t>diev. G2-G3</t>
  </si>
  <si>
    <t>diev. H2-H3</t>
  </si>
  <si>
    <t>chlap. A1-A4</t>
  </si>
  <si>
    <t>chlap. A2-A3</t>
  </si>
  <si>
    <t>chlap. B1-B4</t>
  </si>
  <si>
    <t>chlap. B2-B3</t>
  </si>
  <si>
    <t>chlap. C1-C4</t>
  </si>
  <si>
    <t>chlap. C2-C3</t>
  </si>
  <si>
    <t>chlap. D1-D4</t>
  </si>
  <si>
    <t>chlap. D2-D3</t>
  </si>
  <si>
    <t>chlap. E1-E4</t>
  </si>
  <si>
    <t>chlap. E2-E3</t>
  </si>
  <si>
    <t>chlap. F1-F4</t>
  </si>
  <si>
    <t>chlap. F2-F3</t>
  </si>
  <si>
    <t>chlap. G1-G4</t>
  </si>
  <si>
    <t>chlap. G2-G3</t>
  </si>
  <si>
    <t>chlap. H1-H4</t>
  </si>
  <si>
    <t>chlap. H2-H3</t>
  </si>
  <si>
    <t>Sobota</t>
  </si>
  <si>
    <t>Štv. D 1.kolo</t>
  </si>
  <si>
    <t>štv. CH 1. kolo</t>
  </si>
  <si>
    <t>Mix 1.kolo</t>
  </si>
  <si>
    <t>Mix 2.kolo</t>
  </si>
  <si>
    <t>Osemfinále D</t>
  </si>
  <si>
    <t>Osemfinále CH</t>
  </si>
  <si>
    <t>Štvrťfinále CH</t>
  </si>
  <si>
    <t>Štvrťfinále D</t>
  </si>
  <si>
    <t>Štv. CH štvrťf.</t>
  </si>
  <si>
    <t>Štv. Ch štvrťf.</t>
  </si>
  <si>
    <t>Štv. D štvrťf.</t>
  </si>
  <si>
    <t>Mix štvrťf.</t>
  </si>
  <si>
    <t>Štv. CH semif.</t>
  </si>
  <si>
    <t>Štv. D semif.</t>
  </si>
  <si>
    <t>Semifinále CH</t>
  </si>
  <si>
    <t>Semifinále D</t>
  </si>
  <si>
    <t>Nedeľa</t>
  </si>
  <si>
    <t>Mix semif.</t>
  </si>
  <si>
    <t>Finále CH</t>
  </si>
  <si>
    <t>Finále D</t>
  </si>
  <si>
    <t>11:30</t>
  </si>
  <si>
    <t>Štv. CH finále</t>
  </si>
  <si>
    <t>Štv. D finále</t>
  </si>
  <si>
    <t>12:00</t>
  </si>
  <si>
    <t>Mix finále</t>
  </si>
  <si>
    <t>a</t>
  </si>
  <si>
    <t>Time out</t>
  </si>
  <si>
    <t>Servis</t>
  </si>
  <si>
    <t>Príjem</t>
  </si>
  <si>
    <t>Zápisy ku stolom</t>
  </si>
  <si>
    <t>DOR</t>
  </si>
  <si>
    <t>SŽ</t>
  </si>
  <si>
    <t>Základné skupiny</t>
  </si>
  <si>
    <t>Počet dvojíc:</t>
  </si>
  <si>
    <t xml:space="preserve">Dvakrát kliknite myšou na "Dokument" </t>
  </si>
  <si>
    <t>pre otvorenie stručného "návodu na použitie"</t>
  </si>
  <si>
    <t xml:space="preserve">Výsledky </t>
  </si>
  <si>
    <t>Majstrovstvá Slovenska jednotlivcov - Mladší žiaci</t>
  </si>
  <si>
    <t xml:space="preserve"> 29.5-30.5.2010 v Bratislave</t>
  </si>
  <si>
    <t>MSR_mladez_M1_startcisla_office2007</t>
  </si>
  <si>
    <t>štartové číslo</t>
  </si>
  <si>
    <t>ročník:</t>
  </si>
  <si>
    <t>Ročník:</t>
  </si>
  <si>
    <t xml:space="preserve"> VYŽREBOVANIE</t>
  </si>
  <si>
    <t>Rozhodcovia pri stoloch</t>
  </si>
  <si>
    <t>Černý  Jozef</t>
  </si>
  <si>
    <t>Thomasová Elena</t>
  </si>
  <si>
    <t>Porozsnyák Robert</t>
  </si>
  <si>
    <t>Freund Jaroslav</t>
  </si>
  <si>
    <t>Žarnovický Peter</t>
  </si>
  <si>
    <t>Kleberc Valentín</t>
  </si>
  <si>
    <t>Čermák  Ľudovít</t>
  </si>
  <si>
    <t>Tancer  Jozef</t>
  </si>
  <si>
    <t>Šrámek  peter</t>
  </si>
  <si>
    <t>Németh  teodor</t>
  </si>
  <si>
    <t>Tomič Peter</t>
  </si>
  <si>
    <t>Tomič Dušan</t>
  </si>
  <si>
    <t>Jakubec ivan</t>
  </si>
  <si>
    <t>Dufek Milan</t>
  </si>
  <si>
    <t>1. semifinále chlapci štvorhra</t>
  </si>
  <si>
    <t>2. semifinále chlapci štvorhra</t>
  </si>
  <si>
    <t>1. semifinále dievčatá štvorhra</t>
  </si>
  <si>
    <t>2. semifinále dievčatá štvorhra</t>
  </si>
  <si>
    <t>1. semifinále chlapci dvojhra</t>
  </si>
  <si>
    <t>2. semifinále chlapci dvojhra</t>
  </si>
  <si>
    <t>1. semifinále dievčatá dvojhra</t>
  </si>
  <si>
    <t>2. semifinále dievčatá dvojhra</t>
  </si>
  <si>
    <t>1. semifinále zmiešanej štvorhry</t>
  </si>
  <si>
    <t>2. semifinále zmiešanej štvorhry</t>
  </si>
  <si>
    <t>FINÁLE DOJHRY CHLAPCI</t>
  </si>
  <si>
    <t>FINÁLE DOJHRY DIEVČATÁ</t>
  </si>
  <si>
    <t>FINÁLE ŠTVORHRY CHLAPCI</t>
  </si>
  <si>
    <t>FINÁLE ŠTVORHRY DIEVČATÁ</t>
  </si>
  <si>
    <t>FINÁLE ZMIEŠANEJ ŠTVORHRY</t>
  </si>
  <si>
    <t>Časový plán</t>
  </si>
  <si>
    <t>Časový plán rozhodcov</t>
  </si>
  <si>
    <t>1,2,</t>
  </si>
  <si>
    <t>3,4</t>
  </si>
  <si>
    <t>5,6</t>
  </si>
  <si>
    <t>7,8</t>
  </si>
  <si>
    <t>9,10,11</t>
  </si>
  <si>
    <t>12,13,14</t>
  </si>
  <si>
    <t>1,2</t>
  </si>
  <si>
    <t>Na nedeľu budú rozhodcovia vybraní počas soboty</t>
  </si>
  <si>
    <t>DIKO Dalibor</t>
  </si>
  <si>
    <t>KYSEL Martin</t>
  </si>
  <si>
    <t>FEČO Samuel</t>
  </si>
  <si>
    <t>PINDURA Tobiáš</t>
  </si>
  <si>
    <t>PETRÍK Filip</t>
  </si>
  <si>
    <t>CYPRICH Samuel</t>
  </si>
  <si>
    <t>TUREK Teodor</t>
  </si>
  <si>
    <t>PAPÁNEK Martin</t>
  </si>
  <si>
    <t>HURKA Rastislav</t>
  </si>
  <si>
    <t>ĎANOVSKÝ Martin</t>
  </si>
  <si>
    <t>MILAN Martin</t>
  </si>
  <si>
    <t>IVANČO Félix</t>
  </si>
  <si>
    <t>KLAJBER Adam</t>
  </si>
  <si>
    <t>JALOVECKÝ Marek</t>
  </si>
  <si>
    <t>FUSEK Patrik</t>
  </si>
  <si>
    <t>SUCHA Tomáš</t>
  </si>
  <si>
    <t>FREUND Andrej</t>
  </si>
  <si>
    <t>VICO Dávid</t>
  </si>
  <si>
    <t>PACH Kamil</t>
  </si>
  <si>
    <t>KAPUSTA Martin</t>
  </si>
  <si>
    <t>DELINČAK Filip</t>
  </si>
  <si>
    <t>MAKÚCH Damian</t>
  </si>
  <si>
    <t>FEČO Michal</t>
  </si>
  <si>
    <t>KLUČÁR Matej</t>
  </si>
  <si>
    <t>MACKO Miroslav</t>
  </si>
  <si>
    <t>GREGOR Jakub</t>
  </si>
  <si>
    <t>MARUNIAK Martin</t>
  </si>
  <si>
    <t>ZAJAC Jakub</t>
  </si>
  <si>
    <t>TRUBÁČIK Tomáš</t>
  </si>
  <si>
    <t>KALINKA Timotej</t>
  </si>
  <si>
    <t>TJ ORAVAN NÁMESTOVO</t>
  </si>
  <si>
    <t>MSTK TVRDOŠÍN</t>
  </si>
  <si>
    <t>MŠK VSTK VRANOV NAD TOPĽOU</t>
  </si>
  <si>
    <t>ŠKST RUŽOMBEROK</t>
  </si>
  <si>
    <t>KST PLUS40 TREBIŠOV/ŠKST MICHALOVCE</t>
  </si>
  <si>
    <t>MSK ČADCA</t>
  </si>
  <si>
    <t>ŠK ŠOG NITRA</t>
  </si>
  <si>
    <t>STK NOVÁ BAŇA/PODLUŽANY</t>
  </si>
  <si>
    <t>STO VALALIKY</t>
  </si>
  <si>
    <t>LOKOMOTÍVA VRÚTKY</t>
  </si>
  <si>
    <t>1.PPC FORTUNA KEŽMAROK/TJ OBCE SPIŠSKÝ ŠTIAVNIK</t>
  </si>
  <si>
    <t>MSK MALACKY</t>
  </si>
  <si>
    <t>SŠK POPROČ</t>
  </si>
  <si>
    <t>STK ZŠ NA BIELENISKU PEZINOK</t>
  </si>
  <si>
    <t>ŠKST KARLOVA VES</t>
  </si>
  <si>
    <t>TJ ORAVAN NÁMESTOVO/TATRAN KRUŠETNICA</t>
  </si>
  <si>
    <t>TTC INTERSPEAD N.ZÁMKY</t>
  </si>
  <si>
    <t>TTC MAJCICHOV</t>
  </si>
  <si>
    <t>MSTK VTJ MARTIN</t>
  </si>
  <si>
    <t>CVČ ZLATÉ MORAVCE</t>
  </si>
  <si>
    <t>ŠSTK JUNIOR ČAŇA</t>
  </si>
  <si>
    <t>KST VIKTÓRIA TRNAVA</t>
  </si>
  <si>
    <t>ŠKST MICHALOVCE</t>
  </si>
  <si>
    <t>ŠKST MICHALOVCE/STK LOKOMOTÍVA KOŠICE</t>
  </si>
  <si>
    <t>KST DRIVE TR. JASTRABIE</t>
  </si>
  <si>
    <t>STK STARÁ TURÁ</t>
  </si>
  <si>
    <t>ZŠ LIETAVSKÁ LÚČKA</t>
  </si>
  <si>
    <t>STK OROL OTRHÁNKY</t>
  </si>
  <si>
    <t>ŠKST TOPOĽČANY</t>
  </si>
  <si>
    <t>GASTO METALFIN GALANTA</t>
  </si>
  <si>
    <t>ZŠ VYŠNÝ ŽIPOV</t>
  </si>
  <si>
    <t>LABOŠOVÁ Ema</t>
  </si>
  <si>
    <t>PEKOVÁ Zuzana</t>
  </si>
  <si>
    <t>ŠINKAROVÁ Dáša</t>
  </si>
  <si>
    <t>DZELINSKA Júlia</t>
  </si>
  <si>
    <t>DIVINSKÁ Natália</t>
  </si>
  <si>
    <t>ŠVAJDLENKOVÁ Laura</t>
  </si>
  <si>
    <t>MAJERSKÁ Alena</t>
  </si>
  <si>
    <t>TEREZKOVÁ Jana</t>
  </si>
  <si>
    <t>SLOBODNÍKOVÁ Hana</t>
  </si>
  <si>
    <t>PAPCUNOVÁ Viktória</t>
  </si>
  <si>
    <t>CHYLOVÁ Sabína</t>
  </si>
  <si>
    <t>GAŠPARÍKOVÁ Lucia</t>
  </si>
  <si>
    <t>MIKULOVÁ Terézia</t>
  </si>
  <si>
    <t>DZUROVÁ Lenka</t>
  </si>
  <si>
    <t>VIŠŇOVSKÁ Nina</t>
  </si>
  <si>
    <t>VOJTASOVA Patrícia</t>
  </si>
  <si>
    <t>LEDAJOVÁ Martina</t>
  </si>
  <si>
    <t>GALČÍKOVÁ Sára</t>
  </si>
  <si>
    <t>PISARČIKOVÁ Frederika</t>
  </si>
  <si>
    <t>LACENOVÁ Renáta</t>
  </si>
  <si>
    <t>GORFOLOVÁ Viktória</t>
  </si>
  <si>
    <t>SISKOVÁ Zuzana</t>
  </si>
  <si>
    <t>HUDÁKOVÁ Ivana</t>
  </si>
  <si>
    <t>HURBANOVÁ Isabella</t>
  </si>
  <si>
    <t>TRŇAN Jakub</t>
  </si>
  <si>
    <t>STK RYBNÍK</t>
  </si>
  <si>
    <t>Valaliky, 7. - 8. 6. 2014</t>
  </si>
  <si>
    <t>9.55</t>
  </si>
  <si>
    <t>11.10</t>
  </si>
  <si>
    <t>11.35</t>
  </si>
  <si>
    <t>12.25</t>
  </si>
  <si>
    <t>12.50</t>
  </si>
  <si>
    <t>13.30</t>
  </si>
  <si>
    <t>13.55</t>
  </si>
  <si>
    <t>14.25</t>
  </si>
  <si>
    <t>14.55</t>
  </si>
  <si>
    <t>17.30</t>
  </si>
  <si>
    <t>10.00</t>
  </si>
  <si>
    <t>10.30</t>
  </si>
  <si>
    <t>Takáč Roman</t>
  </si>
  <si>
    <t>Vancák Vladimír</t>
  </si>
  <si>
    <t>Vancák Vladislav</t>
  </si>
  <si>
    <t>Lacková Dominika</t>
  </si>
  <si>
    <t>Andro Ladislav</t>
  </si>
  <si>
    <t>Eliáš Peter</t>
  </si>
  <si>
    <t>Vyrostko Richard</t>
  </si>
  <si>
    <t>Laboš Róbert</t>
  </si>
  <si>
    <t>Vico Martin</t>
  </si>
  <si>
    <t>Horňak Pavol</t>
  </si>
  <si>
    <t>Kohutová Martina</t>
  </si>
  <si>
    <t>Oco</t>
  </si>
  <si>
    <t>e</t>
  </si>
  <si>
    <t>MIKLUŠČÁK Benjamín</t>
  </si>
  <si>
    <t>Mladší žiaci</t>
  </si>
</sst>
</file>

<file path=xl/styles.xml><?xml version="1.0" encoding="utf-8"?>
<styleSheet xmlns="http://schemas.openxmlformats.org/spreadsheetml/2006/main">
  <numFmts count="2">
    <numFmt numFmtId="164" formatCode="h:mm;@"/>
    <numFmt numFmtId="165" formatCode="hh:mm"/>
  </numFmts>
  <fonts count="57">
    <font>
      <sz val="11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20"/>
      <color theme="1"/>
      <name val="Calibri"/>
      <family val="2"/>
      <charset val="238"/>
      <scheme val="minor"/>
    </font>
    <font>
      <b/>
      <sz val="36"/>
      <color theme="1"/>
      <name val="Calibri"/>
      <family val="2"/>
      <charset val="238"/>
      <scheme val="minor"/>
    </font>
    <font>
      <sz val="20"/>
      <color theme="1"/>
      <name val="Calibri"/>
      <family val="2"/>
      <charset val="238"/>
      <scheme val="minor"/>
    </font>
    <font>
      <sz val="36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28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48"/>
      <color theme="1"/>
      <name val="Calibri"/>
      <family val="2"/>
      <charset val="238"/>
      <scheme val="minor"/>
    </font>
    <font>
      <b/>
      <sz val="15"/>
      <color theme="1"/>
      <name val="Arial"/>
      <family val="2"/>
      <charset val="238"/>
    </font>
    <font>
      <b/>
      <sz val="18"/>
      <color theme="1"/>
      <name val="Calibri"/>
      <family val="2"/>
      <charset val="238"/>
      <scheme val="minor"/>
    </font>
    <font>
      <sz val="18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 CE"/>
      <charset val="238"/>
    </font>
    <font>
      <b/>
      <sz val="14"/>
      <name val="Arial CE"/>
      <charset val="238"/>
    </font>
    <font>
      <sz val="14"/>
      <name val="Arial CE"/>
      <charset val="238"/>
    </font>
    <font>
      <b/>
      <sz val="14"/>
      <name val="Times New Roman"/>
      <family val="1"/>
    </font>
    <font>
      <b/>
      <sz val="12"/>
      <name val="Times New Roman"/>
      <family val="1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charset val="238"/>
      <scheme val="minor"/>
    </font>
    <font>
      <b/>
      <sz val="28"/>
      <color theme="1"/>
      <name val="Calibri"/>
      <family val="2"/>
      <charset val="238"/>
      <scheme val="minor"/>
    </font>
    <font>
      <b/>
      <sz val="24"/>
      <color theme="1"/>
      <name val="Calibri"/>
      <family val="2"/>
      <charset val="238"/>
      <scheme val="minor"/>
    </font>
    <font>
      <b/>
      <sz val="24"/>
      <name val="Arial CE"/>
      <charset val="238"/>
    </font>
    <font>
      <b/>
      <sz val="24"/>
      <name val="Times New Roman"/>
      <family val="1"/>
    </font>
    <font>
      <sz val="24"/>
      <name val="Times New Roman"/>
      <family val="1"/>
      <charset val="238"/>
    </font>
    <font>
      <sz val="18"/>
      <name val="Arial CE"/>
      <charset val="238"/>
    </font>
    <font>
      <b/>
      <sz val="18"/>
      <name val="Arial CE"/>
      <charset val="238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36"/>
      <name val="Arial CE"/>
      <charset val="238"/>
    </font>
    <font>
      <b/>
      <sz val="36"/>
      <name val="Arial CE"/>
      <charset val="238"/>
    </font>
    <font>
      <b/>
      <sz val="11"/>
      <color theme="1"/>
      <name val="Calibri"/>
      <family val="2"/>
      <charset val="238"/>
      <scheme val="minor"/>
    </font>
    <font>
      <b/>
      <sz val="22"/>
      <color theme="1"/>
      <name val="Calibri"/>
      <family val="2"/>
      <charset val="238"/>
      <scheme val="minor"/>
    </font>
    <font>
      <sz val="10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6"/>
      <name val="Arial"/>
      <family val="2"/>
      <charset val="238"/>
    </font>
    <font>
      <b/>
      <sz val="14"/>
      <name val="Arial"/>
      <family val="2"/>
      <charset val="238"/>
    </font>
    <font>
      <b/>
      <sz val="10"/>
      <name val="Arial"/>
      <family val="2"/>
      <charset val="238"/>
    </font>
    <font>
      <sz val="7"/>
      <name val="Arial"/>
      <family val="2"/>
      <charset val="238"/>
    </font>
    <font>
      <sz val="8"/>
      <name val="Arial"/>
      <family val="2"/>
      <charset val="238"/>
    </font>
    <font>
      <b/>
      <sz val="48"/>
      <name val="Arial CE"/>
      <charset val="238"/>
    </font>
    <font>
      <b/>
      <sz val="11"/>
      <color theme="0"/>
      <name val="Calibri"/>
      <family val="2"/>
      <scheme val="minor"/>
    </font>
    <font>
      <b/>
      <sz val="7"/>
      <name val="Arial"/>
      <family val="2"/>
      <charset val="238"/>
    </font>
    <font>
      <sz val="22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48"/>
      <color theme="1"/>
      <name val="Calibri"/>
      <family val="2"/>
      <charset val="238"/>
      <scheme val="minor"/>
    </font>
    <font>
      <b/>
      <sz val="24"/>
      <name val="Times New Roman"/>
      <family val="1"/>
      <charset val="238"/>
    </font>
    <font>
      <b/>
      <sz val="18"/>
      <name val="Times New Roman"/>
      <family val="1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11"/>
        <bgColor indexed="49"/>
      </patternFill>
    </fill>
    <fill>
      <patternFill patternType="solid">
        <fgColor indexed="29"/>
        <bgColor indexed="45"/>
      </patternFill>
    </fill>
    <fill>
      <patternFill patternType="solid">
        <fgColor indexed="24"/>
        <bgColor indexed="46"/>
      </patternFill>
    </fill>
    <fill>
      <patternFill patternType="solid">
        <fgColor indexed="47"/>
        <bgColor indexed="22"/>
      </patternFill>
    </fill>
    <fill>
      <patternFill patternType="solid">
        <fgColor indexed="15"/>
        <bgColor indexed="35"/>
      </patternFill>
    </fill>
    <fill>
      <patternFill patternType="solid">
        <fgColor indexed="14"/>
        <bgColor indexed="33"/>
      </patternFill>
    </fill>
    <fill>
      <patternFill patternType="solid">
        <fgColor rgb="FFFFC000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Up="1" diagonalDown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16" fillId="0" borderId="0"/>
  </cellStyleXfs>
  <cellXfs count="575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1" xfId="0" applyFont="1" applyBorder="1"/>
    <xf numFmtId="0" fontId="4" fillId="0" borderId="11" xfId="0" applyFont="1" applyBorder="1"/>
    <xf numFmtId="0" fontId="5" fillId="0" borderId="0" xfId="0" applyFont="1"/>
    <xf numFmtId="0" fontId="5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6" fillId="0" borderId="0" xfId="0" applyFont="1"/>
    <xf numFmtId="0" fontId="6" fillId="0" borderId="0" xfId="0" applyFont="1" applyAlignment="1">
      <alignment horizontal="center"/>
    </xf>
    <xf numFmtId="0" fontId="4" fillId="0" borderId="12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7" fillId="0" borderId="0" xfId="0" applyFont="1"/>
    <xf numFmtId="0" fontId="6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8" fillId="0" borderId="1" xfId="0" applyFont="1" applyBorder="1"/>
    <xf numFmtId="0" fontId="8" fillId="0" borderId="1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0" applyFont="1" applyAlignment="1">
      <alignment horizontal="center"/>
    </xf>
    <xf numFmtId="49" fontId="3" fillId="0" borderId="0" xfId="0" applyNumberFormat="1" applyFont="1" applyAlignment="1">
      <alignment horizontal="center"/>
    </xf>
    <xf numFmtId="49" fontId="5" fillId="0" borderId="0" xfId="0" applyNumberFormat="1" applyFont="1" applyAlignment="1">
      <alignment horizontal="center"/>
    </xf>
    <xf numFmtId="49" fontId="8" fillId="0" borderId="1" xfId="0" applyNumberFormat="1" applyFont="1" applyBorder="1" applyAlignment="1">
      <alignment horizontal="center"/>
    </xf>
    <xf numFmtId="49" fontId="8" fillId="0" borderId="0" xfId="0" applyNumberFormat="1" applyFont="1" applyAlignment="1">
      <alignment horizontal="center"/>
    </xf>
    <xf numFmtId="0" fontId="2" fillId="0" borderId="0" xfId="0" applyFont="1" applyBorder="1"/>
    <xf numFmtId="20" fontId="4" fillId="0" borderId="28" xfId="0" applyNumberFormat="1" applyFont="1" applyBorder="1" applyAlignment="1">
      <alignment horizontal="center"/>
    </xf>
    <xf numFmtId="0" fontId="12" fillId="0" borderId="18" xfId="0" applyFont="1" applyBorder="1" applyAlignment="1">
      <alignment horizontal="center"/>
    </xf>
    <xf numFmtId="0" fontId="10" fillId="0" borderId="0" xfId="0" applyFont="1"/>
    <xf numFmtId="0" fontId="5" fillId="0" borderId="1" xfId="0" applyFont="1" applyBorder="1"/>
    <xf numFmtId="0" fontId="13" fillId="0" borderId="0" xfId="0" applyFont="1"/>
    <xf numFmtId="0" fontId="14" fillId="0" borderId="0" xfId="0" applyFont="1"/>
    <xf numFmtId="0" fontId="13" fillId="0" borderId="1" xfId="0" applyFont="1" applyBorder="1" applyAlignment="1">
      <alignment horizontal="center"/>
    </xf>
    <xf numFmtId="0" fontId="9" fillId="0" borderId="0" xfId="0" applyFont="1"/>
    <xf numFmtId="0" fontId="4" fillId="0" borderId="0" xfId="0" applyFont="1"/>
    <xf numFmtId="0" fontId="15" fillId="0" borderId="0" xfId="0" applyFont="1"/>
    <xf numFmtId="0" fontId="6" fillId="0" borderId="0" xfId="0" applyFont="1" applyBorder="1" applyAlignment="1">
      <alignment horizontal="center" vertical="center"/>
    </xf>
    <xf numFmtId="0" fontId="2" fillId="0" borderId="0" xfId="0" applyFont="1" applyAlignment="1">
      <alignment vertical="top"/>
    </xf>
    <xf numFmtId="0" fontId="1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0" fillId="0" borderId="0" xfId="0" applyAlignment="1">
      <alignment vertical="top"/>
    </xf>
    <xf numFmtId="0" fontId="5" fillId="0" borderId="1" xfId="0" applyFont="1" applyBorder="1" applyAlignment="1">
      <alignment vertical="top"/>
    </xf>
    <xf numFmtId="0" fontId="5" fillId="0" borderId="0" xfId="0" applyFont="1" applyBorder="1" applyAlignment="1">
      <alignment vertical="top"/>
    </xf>
    <xf numFmtId="0" fontId="0" fillId="0" borderId="0" xfId="0" applyBorder="1"/>
    <xf numFmtId="0" fontId="17" fillId="0" borderId="0" xfId="1" applyFont="1"/>
    <xf numFmtId="0" fontId="17" fillId="0" borderId="0" xfId="1" applyNumberFormat="1" applyFont="1"/>
    <xf numFmtId="0" fontId="17" fillId="0" borderId="0" xfId="1" applyFont="1" applyAlignment="1">
      <alignment horizontal="left"/>
    </xf>
    <xf numFmtId="0" fontId="17" fillId="0" borderId="0" xfId="1" applyFont="1" applyBorder="1"/>
    <xf numFmtId="0" fontId="18" fillId="0" borderId="0" xfId="1" applyNumberFormat="1" applyFont="1"/>
    <xf numFmtId="0" fontId="18" fillId="0" borderId="0" xfId="1" applyNumberFormat="1" applyFont="1" applyAlignment="1">
      <alignment horizontal="center"/>
    </xf>
    <xf numFmtId="0" fontId="18" fillId="0" borderId="0" xfId="1" applyNumberFormat="1" applyFont="1" applyFill="1" applyBorder="1"/>
    <xf numFmtId="0" fontId="18" fillId="0" borderId="0" xfId="1" applyNumberFormat="1" applyFont="1" applyFill="1" applyBorder="1" applyAlignment="1">
      <alignment horizontal="center"/>
    </xf>
    <xf numFmtId="0" fontId="17" fillId="0" borderId="0" xfId="1" applyFont="1" applyFill="1" applyBorder="1"/>
    <xf numFmtId="0" fontId="17" fillId="0" borderId="0" xfId="1" applyNumberFormat="1" applyFont="1" applyFill="1" applyBorder="1"/>
    <xf numFmtId="0" fontId="17" fillId="0" borderId="0" xfId="1" applyFont="1" applyAlignment="1">
      <alignment horizontal="center"/>
    </xf>
    <xf numFmtId="0" fontId="17" fillId="0" borderId="0" xfId="1" applyFont="1" applyBorder="1" applyAlignment="1">
      <alignment horizontal="left"/>
    </xf>
    <xf numFmtId="0" fontId="20" fillId="0" borderId="28" xfId="1" applyFont="1" applyBorder="1" applyAlignment="1">
      <alignment horizontal="center" vertical="top" wrapText="1"/>
    </xf>
    <xf numFmtId="0" fontId="20" fillId="0" borderId="21" xfId="1" applyFont="1" applyBorder="1" applyAlignment="1">
      <alignment horizontal="center" vertical="top" wrapText="1"/>
    </xf>
    <xf numFmtId="0" fontId="17" fillId="0" borderId="0" xfId="1" applyNumberFormat="1" applyFont="1" applyFill="1" applyBorder="1" applyAlignment="1">
      <alignment horizontal="center"/>
    </xf>
    <xf numFmtId="0" fontId="17" fillId="0" borderId="0" xfId="1" applyNumberFormat="1" applyFont="1" applyFill="1" applyBorder="1" applyAlignment="1">
      <alignment horizontal="right"/>
    </xf>
    <xf numFmtId="0" fontId="20" fillId="0" borderId="35" xfId="1" applyFont="1" applyBorder="1" applyAlignment="1">
      <alignment horizontal="center" vertical="top" wrapText="1"/>
    </xf>
    <xf numFmtId="0" fontId="20" fillId="0" borderId="23" xfId="1" applyFont="1" applyBorder="1" applyAlignment="1">
      <alignment horizontal="center" vertical="top" wrapText="1"/>
    </xf>
    <xf numFmtId="0" fontId="17" fillId="0" borderId="0" xfId="1" applyNumberFormat="1" applyFont="1" applyBorder="1"/>
    <xf numFmtId="0" fontId="18" fillId="0" borderId="0" xfId="1" applyNumberFormat="1" applyFont="1" applyBorder="1"/>
    <xf numFmtId="0" fontId="18" fillId="0" borderId="0" xfId="1" applyNumberFormat="1" applyFont="1" applyBorder="1" applyAlignment="1">
      <alignment horizontal="center"/>
    </xf>
    <xf numFmtId="16" fontId="17" fillId="0" borderId="0" xfId="1" applyNumberFormat="1" applyFont="1" applyFill="1" applyBorder="1" applyAlignment="1">
      <alignment horizontal="center"/>
    </xf>
    <xf numFmtId="49" fontId="17" fillId="0" borderId="0" xfId="1" applyNumberFormat="1" applyFont="1" applyFill="1" applyBorder="1"/>
    <xf numFmtId="0" fontId="17" fillId="3" borderId="0" xfId="1" applyNumberFormat="1" applyFont="1" applyFill="1" applyBorder="1" applyAlignment="1">
      <alignment horizontal="center"/>
    </xf>
    <xf numFmtId="0" fontId="17" fillId="0" borderId="0" xfId="1" applyNumberFormat="1" applyFont="1" applyFill="1" applyBorder="1" applyAlignment="1">
      <alignment horizontal="left"/>
    </xf>
    <xf numFmtId="0" fontId="20" fillId="0" borderId="18" xfId="1" applyFont="1" applyBorder="1" applyAlignment="1">
      <alignment horizontal="center" vertical="top" wrapText="1"/>
    </xf>
    <xf numFmtId="0" fontId="20" fillId="0" borderId="26" xfId="1" applyFont="1" applyBorder="1" applyAlignment="1">
      <alignment horizontal="center" vertical="top" wrapText="1"/>
    </xf>
    <xf numFmtId="0" fontId="17" fillId="0" borderId="0" xfId="1" applyNumberFormat="1" applyFont="1" applyBorder="1" applyAlignment="1">
      <alignment horizontal="center"/>
    </xf>
    <xf numFmtId="0" fontId="17" fillId="0" borderId="0" xfId="1" applyNumberFormat="1" applyFont="1" applyBorder="1" applyAlignment="1">
      <alignment horizontal="right"/>
    </xf>
    <xf numFmtId="16" fontId="17" fillId="0" borderId="0" xfId="1" applyNumberFormat="1" applyFont="1" applyBorder="1" applyAlignment="1">
      <alignment horizontal="center"/>
    </xf>
    <xf numFmtId="0" fontId="19" fillId="0" borderId="0" xfId="1" applyFont="1" applyFill="1" applyBorder="1" applyAlignment="1">
      <alignment horizontal="center" vertical="top" wrapText="1"/>
    </xf>
    <xf numFmtId="0" fontId="19" fillId="0" borderId="0" xfId="1" applyFont="1" applyBorder="1" applyAlignment="1">
      <alignment horizontal="center" vertical="top" wrapText="1"/>
    </xf>
    <xf numFmtId="0" fontId="17" fillId="0" borderId="0" xfId="1" applyFont="1" applyFill="1"/>
    <xf numFmtId="0" fontId="18" fillId="0" borderId="0" xfId="1" applyFont="1" applyFill="1"/>
    <xf numFmtId="0" fontId="17" fillId="2" borderId="0" xfId="1" applyFont="1" applyFill="1" applyBorder="1"/>
    <xf numFmtId="0" fontId="21" fillId="0" borderId="0" xfId="0" applyFont="1"/>
    <xf numFmtId="0" fontId="22" fillId="0" borderId="0" xfId="0" applyFont="1"/>
    <xf numFmtId="0" fontId="18" fillId="0" borderId="0" xfId="1" applyFont="1" applyFill="1" applyBorder="1"/>
    <xf numFmtId="0" fontId="17" fillId="6" borderId="0" xfId="1" applyFont="1" applyFill="1"/>
    <xf numFmtId="0" fontId="16" fillId="0" borderId="0" xfId="1"/>
    <xf numFmtId="0" fontId="19" fillId="0" borderId="28" xfId="1" applyFont="1" applyBorder="1" applyAlignment="1">
      <alignment horizontal="center" vertical="top" wrapText="1"/>
    </xf>
    <xf numFmtId="0" fontId="19" fillId="0" borderId="21" xfId="1" applyFont="1" applyBorder="1" applyAlignment="1">
      <alignment horizontal="center" vertical="top" wrapText="1"/>
    </xf>
    <xf numFmtId="0" fontId="19" fillId="0" borderId="35" xfId="1" applyFont="1" applyBorder="1" applyAlignment="1">
      <alignment horizontal="center" vertical="top" wrapText="1"/>
    </xf>
    <xf numFmtId="0" fontId="19" fillId="0" borderId="23" xfId="1" applyFont="1" applyBorder="1" applyAlignment="1">
      <alignment horizontal="center" vertical="top" wrapText="1"/>
    </xf>
    <xf numFmtId="0" fontId="19" fillId="0" borderId="18" xfId="1" applyFont="1" applyBorder="1" applyAlignment="1">
      <alignment horizontal="center" vertical="top" wrapText="1"/>
    </xf>
    <xf numFmtId="0" fontId="19" fillId="0" borderId="26" xfId="1" applyFont="1" applyBorder="1" applyAlignment="1">
      <alignment horizontal="center" vertical="top" wrapText="1"/>
    </xf>
    <xf numFmtId="17" fontId="17" fillId="6" borderId="0" xfId="1" applyNumberFormat="1" applyFont="1" applyFill="1"/>
    <xf numFmtId="0" fontId="17" fillId="3" borderId="0" xfId="1" applyFont="1" applyFill="1"/>
    <xf numFmtId="0" fontId="17" fillId="9" borderId="0" xfId="1" applyFont="1" applyFill="1"/>
    <xf numFmtId="0" fontId="0" fillId="0" borderId="0" xfId="0" applyFill="1"/>
    <xf numFmtId="0" fontId="5" fillId="0" borderId="0" xfId="0" applyFont="1" applyFill="1"/>
    <xf numFmtId="0" fontId="25" fillId="0" borderId="0" xfId="1" applyNumberFormat="1" applyFont="1" applyAlignment="1">
      <alignment horizontal="center" vertical="center"/>
    </xf>
    <xf numFmtId="0" fontId="25" fillId="0" borderId="0" xfId="1" applyFont="1"/>
    <xf numFmtId="0" fontId="25" fillId="0" borderId="0" xfId="1" applyNumberFormat="1" applyFont="1"/>
    <xf numFmtId="0" fontId="25" fillId="0" borderId="0" xfId="1" applyFont="1" applyAlignment="1">
      <alignment horizontal="right"/>
    </xf>
    <xf numFmtId="0" fontId="25" fillId="3" borderId="0" xfId="1" applyFont="1" applyFill="1"/>
    <xf numFmtId="0" fontId="25" fillId="0" borderId="0" xfId="1" applyFont="1" applyBorder="1"/>
    <xf numFmtId="0" fontId="25" fillId="0" borderId="0" xfId="1" applyFont="1" applyFill="1"/>
    <xf numFmtId="0" fontId="25" fillId="0" borderId="25" xfId="1" applyFont="1" applyBorder="1" applyAlignment="1">
      <alignment wrapText="1"/>
    </xf>
    <xf numFmtId="0" fontId="25" fillId="0" borderId="25" xfId="1" applyFont="1" applyBorder="1"/>
    <xf numFmtId="49" fontId="25" fillId="0" borderId="0" xfId="1" applyNumberFormat="1" applyFont="1" applyFill="1" applyBorder="1"/>
    <xf numFmtId="0" fontId="25" fillId="0" borderId="0" xfId="1" applyFont="1" applyFill="1" applyBorder="1"/>
    <xf numFmtId="0" fontId="25" fillId="0" borderId="20" xfId="1" applyFont="1" applyBorder="1" applyAlignment="1"/>
    <xf numFmtId="0" fontId="25" fillId="0" borderId="21" xfId="1" applyFont="1" applyBorder="1" applyAlignment="1">
      <alignment horizontal="right" vertical="top"/>
    </xf>
    <xf numFmtId="0" fontId="25" fillId="0" borderId="0" xfId="1" applyFont="1" applyFill="1" applyAlignment="1">
      <alignment horizontal="center"/>
    </xf>
    <xf numFmtId="0" fontId="25" fillId="0" borderId="26" xfId="1" applyFont="1" applyBorder="1"/>
    <xf numFmtId="0" fontId="25" fillId="0" borderId="20" xfId="1" applyFont="1" applyFill="1" applyBorder="1" applyAlignment="1">
      <alignment horizontal="center" vertical="top"/>
    </xf>
    <xf numFmtId="0" fontId="25" fillId="0" borderId="22" xfId="1" applyFont="1" applyFill="1" applyBorder="1"/>
    <xf numFmtId="0" fontId="25" fillId="0" borderId="0" xfId="1" applyFont="1" applyAlignment="1">
      <alignment horizontal="right" vertical="top"/>
    </xf>
    <xf numFmtId="0" fontId="25" fillId="0" borderId="22" xfId="1" applyFont="1" applyFill="1" applyBorder="1" applyAlignment="1">
      <alignment horizontal="center"/>
    </xf>
    <xf numFmtId="0" fontId="25" fillId="0" borderId="0" xfId="1" applyFont="1" applyAlignment="1">
      <alignment horizontal="center"/>
    </xf>
    <xf numFmtId="0" fontId="25" fillId="0" borderId="11" xfId="1" applyFont="1" applyFill="1" applyBorder="1" applyAlignment="1">
      <alignment horizontal="center" vertical="top"/>
    </xf>
    <xf numFmtId="0" fontId="25" fillId="0" borderId="24" xfId="1" applyFont="1" applyFill="1" applyBorder="1" applyAlignment="1">
      <alignment horizontal="center"/>
    </xf>
    <xf numFmtId="0" fontId="25" fillId="0" borderId="23" xfId="1" applyFont="1" applyBorder="1" applyAlignment="1">
      <alignment horizontal="right" vertical="top"/>
    </xf>
    <xf numFmtId="0" fontId="25" fillId="0" borderId="24" xfId="1" applyFont="1" applyFill="1" applyBorder="1"/>
    <xf numFmtId="0" fontId="25" fillId="0" borderId="23" xfId="1" applyFont="1" applyBorder="1" applyAlignment="1">
      <alignment horizontal="center"/>
    </xf>
    <xf numFmtId="0" fontId="25" fillId="0" borderId="18" xfId="1" applyFont="1" applyFill="1" applyBorder="1" applyAlignment="1">
      <alignment horizontal="center"/>
    </xf>
    <xf numFmtId="0" fontId="25" fillId="0" borderId="23" xfId="1" applyFont="1" applyBorder="1"/>
    <xf numFmtId="49" fontId="25" fillId="0" borderId="22" xfId="1" applyNumberFormat="1" applyFont="1" applyFill="1" applyBorder="1"/>
    <xf numFmtId="0" fontId="26" fillId="0" borderId="0" xfId="1" applyFont="1" applyFill="1" applyBorder="1" applyAlignment="1">
      <alignment horizontal="center" vertical="top" wrapText="1"/>
    </xf>
    <xf numFmtId="0" fontId="26" fillId="0" borderId="0" xfId="1" applyFont="1" applyBorder="1" applyAlignment="1">
      <alignment horizontal="center" vertical="top" wrapText="1"/>
    </xf>
    <xf numFmtId="0" fontId="25" fillId="6" borderId="0" xfId="1" applyFont="1" applyFill="1" applyBorder="1"/>
    <xf numFmtId="0" fontId="25" fillId="7" borderId="0" xfId="1" applyFont="1" applyFill="1" applyBorder="1"/>
    <xf numFmtId="0" fontId="25" fillId="7" borderId="0" xfId="1" applyFont="1" applyFill="1"/>
    <xf numFmtId="0" fontId="25" fillId="4" borderId="0" xfId="1" applyFont="1" applyFill="1" applyBorder="1"/>
    <xf numFmtId="0" fontId="25" fillId="0" borderId="0" xfId="1" applyNumberFormat="1" applyFont="1" applyBorder="1" applyAlignment="1">
      <alignment horizontal="center" vertical="center"/>
    </xf>
    <xf numFmtId="15" fontId="25" fillId="0" borderId="25" xfId="1" applyNumberFormat="1" applyFont="1" applyBorder="1" applyAlignment="1">
      <alignment wrapText="1"/>
    </xf>
    <xf numFmtId="0" fontId="0" fillId="0" borderId="0" xfId="0" applyAlignment="1">
      <alignment horizontal="right"/>
    </xf>
    <xf numFmtId="0" fontId="0" fillId="0" borderId="1" xfId="0" applyBorder="1" applyAlignment="1">
      <alignment horizontal="right"/>
    </xf>
    <xf numFmtId="0" fontId="21" fillId="0" borderId="0" xfId="0" applyFont="1" applyAlignment="1">
      <alignment horizontal="left"/>
    </xf>
    <xf numFmtId="0" fontId="25" fillId="0" borderId="23" xfId="1" applyFont="1" applyFill="1" applyBorder="1"/>
    <xf numFmtId="49" fontId="25" fillId="0" borderId="23" xfId="1" applyNumberFormat="1" applyFont="1" applyFill="1" applyBorder="1"/>
    <xf numFmtId="0" fontId="25" fillId="0" borderId="20" xfId="1" applyFont="1" applyBorder="1" applyAlignment="1">
      <alignment vertical="top"/>
    </xf>
    <xf numFmtId="0" fontId="25" fillId="0" borderId="25" xfId="1" applyFont="1" applyFill="1" applyBorder="1"/>
    <xf numFmtId="0" fontId="25" fillId="0" borderId="25" xfId="1" applyFont="1" applyFill="1" applyBorder="1" applyAlignment="1">
      <alignment horizontal="center"/>
    </xf>
    <xf numFmtId="0" fontId="25" fillId="0" borderId="0" xfId="1" applyFont="1" applyAlignment="1">
      <alignment horizontal="center" vertical="top"/>
    </xf>
    <xf numFmtId="0" fontId="25" fillId="0" borderId="0" xfId="1" applyFont="1" applyFill="1" applyBorder="1" applyAlignment="1">
      <alignment horizontal="center" vertical="top"/>
    </xf>
    <xf numFmtId="0" fontId="25" fillId="0" borderId="11" xfId="1" applyFont="1" applyFill="1" applyBorder="1" applyAlignment="1">
      <alignment vertical="top"/>
    </xf>
    <xf numFmtId="0" fontId="25" fillId="0" borderId="0" xfId="0" applyNumberFormat="1" applyFont="1" applyAlignment="1">
      <alignment horizontal="center" vertical="center"/>
    </xf>
    <xf numFmtId="1" fontId="25" fillId="0" borderId="0" xfId="1" applyNumberFormat="1" applyFont="1"/>
    <xf numFmtId="0" fontId="25" fillId="0" borderId="0" xfId="0" applyNumberFormat="1" applyFont="1" applyBorder="1" applyAlignment="1">
      <alignment horizontal="center" vertical="center"/>
    </xf>
    <xf numFmtId="1" fontId="25" fillId="0" borderId="0" xfId="1" applyNumberFormat="1" applyFont="1" applyBorder="1"/>
    <xf numFmtId="0" fontId="25" fillId="0" borderId="20" xfId="1" applyFont="1" applyBorder="1"/>
    <xf numFmtId="0" fontId="25" fillId="0" borderId="20" xfId="1" applyFont="1" applyFill="1" applyBorder="1"/>
    <xf numFmtId="0" fontId="25" fillId="0" borderId="22" xfId="1" applyFont="1" applyFill="1" applyBorder="1" applyAlignment="1">
      <alignment horizontal="center" vertical="top"/>
    </xf>
    <xf numFmtId="0" fontId="25" fillId="0" borderId="20" xfId="1" applyFont="1" applyFill="1" applyBorder="1" applyAlignment="1">
      <alignment vertical="top"/>
    </xf>
    <xf numFmtId="0" fontId="25" fillId="0" borderId="0" xfId="1" applyFont="1" applyAlignment="1">
      <alignment horizontal="center" vertical="center"/>
    </xf>
    <xf numFmtId="49" fontId="25" fillId="0" borderId="0" xfId="1" applyNumberFormat="1" applyFont="1" applyFill="1"/>
    <xf numFmtId="0" fontId="25" fillId="0" borderId="21" xfId="1" applyFont="1" applyBorder="1" applyAlignment="1">
      <alignment horizontal="right"/>
    </xf>
    <xf numFmtId="0" fontId="25" fillId="0" borderId="28" xfId="1" applyFont="1" applyFill="1" applyBorder="1"/>
    <xf numFmtId="0" fontId="25" fillId="0" borderId="0" xfId="1" applyFont="1" applyFill="1" applyBorder="1" applyAlignment="1">
      <alignment horizontal="right"/>
    </xf>
    <xf numFmtId="0" fontId="25" fillId="0" borderId="23" xfId="1" applyFont="1" applyBorder="1" applyAlignment="1">
      <alignment horizontal="right"/>
    </xf>
    <xf numFmtId="0" fontId="25" fillId="0" borderId="18" xfId="1" applyFont="1" applyFill="1" applyBorder="1"/>
    <xf numFmtId="0" fontId="25" fillId="6" borderId="0" xfId="1" applyFont="1" applyFill="1"/>
    <xf numFmtId="0" fontId="25" fillId="5" borderId="0" xfId="1" applyFont="1" applyFill="1"/>
    <xf numFmtId="0" fontId="25" fillId="4" borderId="0" xfId="1" applyFont="1" applyFill="1"/>
    <xf numFmtId="0" fontId="25" fillId="8" borderId="0" xfId="1" applyFont="1" applyFill="1"/>
    <xf numFmtId="0" fontId="25" fillId="0" borderId="22" xfId="1" applyFont="1" applyFill="1" applyBorder="1" applyAlignment="1">
      <alignment vertical="top"/>
    </xf>
    <xf numFmtId="0" fontId="25" fillId="0" borderId="28" xfId="1" applyFont="1" applyFill="1" applyBorder="1" applyAlignment="1">
      <alignment vertical="top"/>
    </xf>
    <xf numFmtId="0" fontId="25" fillId="0" borderId="0" xfId="1" applyFont="1" applyFill="1" applyAlignment="1">
      <alignment vertical="top"/>
    </xf>
    <xf numFmtId="0" fontId="28" fillId="0" borderId="0" xfId="1" applyNumberFormat="1" applyFont="1" applyFill="1" applyBorder="1"/>
    <xf numFmtId="0" fontId="28" fillId="0" borderId="0" xfId="1" applyNumberFormat="1" applyFont="1" applyFill="1" applyBorder="1" applyAlignment="1">
      <alignment horizontal="center"/>
    </xf>
    <xf numFmtId="0" fontId="29" fillId="0" borderId="0" xfId="1" applyNumberFormat="1" applyFont="1" applyFill="1" applyBorder="1"/>
    <xf numFmtId="0" fontId="29" fillId="0" borderId="0" xfId="1" applyFont="1" applyFill="1" applyBorder="1"/>
    <xf numFmtId="0" fontId="28" fillId="0" borderId="0" xfId="1" applyNumberFormat="1" applyFont="1" applyFill="1" applyBorder="1" applyAlignment="1"/>
    <xf numFmtId="0" fontId="29" fillId="0" borderId="0" xfId="1" applyNumberFormat="1" applyFont="1" applyFill="1" applyBorder="1" applyAlignment="1">
      <alignment horizontal="center"/>
    </xf>
    <xf numFmtId="16" fontId="29" fillId="0" borderId="0" xfId="1" applyNumberFormat="1" applyFont="1" applyFill="1" applyBorder="1" applyAlignment="1">
      <alignment horizontal="center"/>
    </xf>
    <xf numFmtId="0" fontId="30" fillId="0" borderId="1" xfId="0" applyFont="1" applyBorder="1" applyAlignment="1">
      <alignment horizontal="right"/>
    </xf>
    <xf numFmtId="16" fontId="30" fillId="0" borderId="1" xfId="0" applyNumberFormat="1" applyFont="1" applyBorder="1" applyAlignment="1">
      <alignment horizontal="right"/>
    </xf>
    <xf numFmtId="0" fontId="31" fillId="0" borderId="1" xfId="0" applyFont="1" applyBorder="1" applyAlignment="1">
      <alignment horizontal="right"/>
    </xf>
    <xf numFmtId="0" fontId="2" fillId="0" borderId="16" xfId="0" applyFont="1" applyBorder="1"/>
    <xf numFmtId="0" fontId="32" fillId="0" borderId="0" xfId="0" applyFont="1"/>
    <xf numFmtId="0" fontId="2" fillId="0" borderId="15" xfId="0" applyFont="1" applyBorder="1"/>
    <xf numFmtId="0" fontId="2" fillId="0" borderId="5" xfId="0" applyFont="1" applyBorder="1"/>
    <xf numFmtId="0" fontId="2" fillId="0" borderId="6" xfId="0" applyFont="1" applyBorder="1"/>
    <xf numFmtId="0" fontId="2" fillId="0" borderId="33" xfId="0" applyFont="1" applyBorder="1"/>
    <xf numFmtId="0" fontId="2" fillId="0" borderId="34" xfId="0" applyFont="1" applyBorder="1"/>
    <xf numFmtId="0" fontId="0" fillId="0" borderId="41" xfId="0" applyBorder="1" applyAlignment="1">
      <alignment horizontal="right"/>
    </xf>
    <xf numFmtId="0" fontId="2" fillId="0" borderId="43" xfId="0" applyFont="1" applyBorder="1"/>
    <xf numFmtId="0" fontId="2" fillId="0" borderId="44" xfId="0" applyFont="1" applyBorder="1"/>
    <xf numFmtId="0" fontId="2" fillId="0" borderId="46" xfId="0" applyFont="1" applyBorder="1"/>
    <xf numFmtId="0" fontId="2" fillId="0" borderId="47" xfId="0" applyFont="1" applyBorder="1"/>
    <xf numFmtId="0" fontId="2" fillId="0" borderId="8" xfId="0" applyFont="1" applyBorder="1"/>
    <xf numFmtId="0" fontId="0" fillId="2" borderId="0" xfId="0" applyFill="1"/>
    <xf numFmtId="0" fontId="33" fillId="0" borderId="0" xfId="1" applyNumberFormat="1" applyFont="1" applyFill="1" applyBorder="1"/>
    <xf numFmtId="0" fontId="33" fillId="0" borderId="0" xfId="1" applyNumberFormat="1" applyFont="1" applyFill="1" applyBorder="1" applyAlignment="1">
      <alignment horizontal="center"/>
    </xf>
    <xf numFmtId="0" fontId="34" fillId="0" borderId="0" xfId="1" applyNumberFormat="1" applyFont="1" applyFill="1" applyBorder="1"/>
    <xf numFmtId="0" fontId="34" fillId="0" borderId="0" xfId="1" applyFont="1" applyFill="1" applyBorder="1"/>
    <xf numFmtId="0" fontId="33" fillId="0" borderId="0" xfId="1" applyNumberFormat="1" applyFont="1" applyFill="1" applyBorder="1" applyAlignment="1"/>
    <xf numFmtId="0" fontId="34" fillId="0" borderId="0" xfId="1" applyNumberFormat="1" applyFont="1" applyFill="1" applyBorder="1" applyAlignment="1">
      <alignment horizontal="center"/>
    </xf>
    <xf numFmtId="16" fontId="34" fillId="0" borderId="0" xfId="1" applyNumberFormat="1" applyFont="1" applyFill="1" applyBorder="1" applyAlignment="1">
      <alignment horizontal="center"/>
    </xf>
    <xf numFmtId="0" fontId="34" fillId="0" borderId="0" xfId="1" applyNumberFormat="1" applyFont="1" applyFill="1" applyBorder="1" applyAlignment="1"/>
    <xf numFmtId="0" fontId="34" fillId="0" borderId="0" xfId="1" applyFont="1" applyFill="1" applyBorder="1" applyAlignment="1"/>
    <xf numFmtId="0" fontId="3" fillId="0" borderId="0" xfId="0" applyFont="1" applyAlignment="1">
      <alignment horizontal="center"/>
    </xf>
    <xf numFmtId="0" fontId="37" fillId="0" borderId="0" xfId="0" applyFont="1"/>
    <xf numFmtId="0" fontId="38" fillId="0" borderId="0" xfId="0" applyFont="1"/>
    <xf numFmtId="0" fontId="38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4" fillId="11" borderId="12" xfId="0" applyFont="1" applyFill="1" applyBorder="1" applyAlignment="1">
      <alignment horizontal="center"/>
    </xf>
    <xf numFmtId="0" fontId="6" fillId="11" borderId="27" xfId="0" applyFont="1" applyFill="1" applyBorder="1" applyAlignment="1">
      <alignment horizontal="center"/>
    </xf>
    <xf numFmtId="0" fontId="6" fillId="11" borderId="29" xfId="0" applyFont="1" applyFill="1" applyBorder="1" applyAlignment="1">
      <alignment horizontal="center"/>
    </xf>
    <xf numFmtId="0" fontId="6" fillId="11" borderId="17" xfId="0" applyFont="1" applyFill="1" applyBorder="1" applyAlignment="1">
      <alignment horizontal="center"/>
    </xf>
    <xf numFmtId="0" fontId="4" fillId="11" borderId="11" xfId="0" applyFont="1" applyFill="1" applyBorder="1"/>
    <xf numFmtId="0" fontId="4" fillId="11" borderId="6" xfId="0" applyFont="1" applyFill="1" applyBorder="1"/>
    <xf numFmtId="0" fontId="4" fillId="11" borderId="12" xfId="0" applyFont="1" applyFill="1" applyBorder="1"/>
    <xf numFmtId="0" fontId="4" fillId="11" borderId="27" xfId="0" applyFont="1" applyFill="1" applyBorder="1" applyAlignment="1">
      <alignment horizontal="center"/>
    </xf>
    <xf numFmtId="0" fontId="4" fillId="11" borderId="29" xfId="0" applyFont="1" applyFill="1" applyBorder="1" applyAlignment="1">
      <alignment horizontal="center"/>
    </xf>
    <xf numFmtId="0" fontId="4" fillId="11" borderId="17" xfId="0" applyFont="1" applyFill="1" applyBorder="1" applyAlignment="1">
      <alignment horizontal="center"/>
    </xf>
    <xf numFmtId="0" fontId="4" fillId="11" borderId="0" xfId="0" applyFont="1" applyFill="1"/>
    <xf numFmtId="0" fontId="4" fillId="0" borderId="6" xfId="0" applyFont="1" applyBorder="1"/>
    <xf numFmtId="0" fontId="4" fillId="0" borderId="12" xfId="0" applyFont="1" applyBorder="1"/>
    <xf numFmtId="0" fontId="4" fillId="0" borderId="27" xfId="0" applyFont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4" fillId="0" borderId="0" xfId="0" applyFont="1" applyFill="1"/>
    <xf numFmtId="0" fontId="6" fillId="0" borderId="0" xfId="0" applyFont="1" applyFill="1" applyAlignment="1">
      <alignment horizontal="center"/>
    </xf>
    <xf numFmtId="0" fontId="25" fillId="0" borderId="0" xfId="1" applyFont="1" applyFill="1" applyBorder="1" applyAlignment="1">
      <alignment horizontal="center"/>
    </xf>
    <xf numFmtId="0" fontId="17" fillId="0" borderId="0" xfId="1" applyFont="1" applyAlignment="1">
      <alignment vertical="top"/>
    </xf>
    <xf numFmtId="0" fontId="25" fillId="0" borderId="0" xfId="1" applyNumberFormat="1" applyFont="1" applyAlignment="1">
      <alignment horizontal="center" vertical="top"/>
    </xf>
    <xf numFmtId="0" fontId="25" fillId="0" borderId="0" xfId="1" applyFont="1" applyAlignment="1">
      <alignment vertical="top"/>
    </xf>
    <xf numFmtId="0" fontId="25" fillId="0" borderId="0" xfId="1" applyNumberFormat="1" applyFont="1" applyAlignment="1">
      <alignment vertical="top"/>
    </xf>
    <xf numFmtId="0" fontId="25" fillId="3" borderId="0" xfId="1" applyFont="1" applyFill="1" applyAlignment="1">
      <alignment vertical="top"/>
    </xf>
    <xf numFmtId="0" fontId="17" fillId="0" borderId="0" xfId="1" applyFont="1" applyAlignment="1">
      <alignment horizontal="left" vertical="top"/>
    </xf>
    <xf numFmtId="0" fontId="17" fillId="0" borderId="0" xfId="1" applyFont="1" applyBorder="1" applyAlignment="1">
      <alignment vertical="top"/>
    </xf>
    <xf numFmtId="0" fontId="17" fillId="0" borderId="0" xfId="1" applyNumberFormat="1" applyFont="1" applyFill="1" applyBorder="1" applyAlignment="1">
      <alignment vertical="top"/>
    </xf>
    <xf numFmtId="0" fontId="18" fillId="0" borderId="0" xfId="1" applyNumberFormat="1" applyFont="1" applyFill="1" applyBorder="1" applyAlignment="1">
      <alignment vertical="top"/>
    </xf>
    <xf numFmtId="0" fontId="28" fillId="0" borderId="0" xfId="1" applyNumberFormat="1" applyFont="1" applyFill="1" applyBorder="1" applyAlignment="1">
      <alignment horizontal="center" vertical="top"/>
    </xf>
    <xf numFmtId="0" fontId="28" fillId="0" borderId="0" xfId="1" applyNumberFormat="1" applyFont="1" applyFill="1" applyBorder="1" applyAlignment="1">
      <alignment vertical="top"/>
    </xf>
    <xf numFmtId="0" fontId="29" fillId="0" borderId="0" xfId="1" applyNumberFormat="1" applyFont="1" applyFill="1" applyBorder="1" applyAlignment="1">
      <alignment vertical="top"/>
    </xf>
    <xf numFmtId="0" fontId="29" fillId="0" borderId="0" xfId="1" applyFont="1" applyFill="1" applyBorder="1" applyAlignment="1">
      <alignment vertical="top"/>
    </xf>
    <xf numFmtId="0" fontId="18" fillId="0" borderId="0" xfId="1" applyNumberFormat="1" applyFont="1" applyFill="1" applyBorder="1" applyAlignment="1">
      <alignment horizontal="center" vertical="top"/>
    </xf>
    <xf numFmtId="0" fontId="18" fillId="0" borderId="0" xfId="1" applyNumberFormat="1" applyFont="1" applyAlignment="1">
      <alignment vertical="top"/>
    </xf>
    <xf numFmtId="0" fontId="17" fillId="0" borderId="0" xfId="1" applyNumberFormat="1" applyFont="1" applyAlignment="1">
      <alignment vertical="top"/>
    </xf>
    <xf numFmtId="0" fontId="18" fillId="0" borderId="0" xfId="1" applyNumberFormat="1" applyFont="1" applyAlignment="1">
      <alignment horizontal="center" vertical="top"/>
    </xf>
    <xf numFmtId="0" fontId="17" fillId="0" borderId="0" xfId="1" applyFont="1" applyFill="1" applyBorder="1" applyAlignment="1">
      <alignment vertical="top"/>
    </xf>
    <xf numFmtId="0" fontId="17" fillId="0" borderId="0" xfId="1" applyFont="1" applyAlignment="1">
      <alignment horizontal="center" vertical="top"/>
    </xf>
    <xf numFmtId="0" fontId="25" fillId="0" borderId="0" xfId="1" applyFont="1" applyBorder="1" applyAlignment="1">
      <alignment horizontal="right" vertical="top"/>
    </xf>
    <xf numFmtId="0" fontId="25" fillId="3" borderId="0" xfId="1" applyFont="1" applyFill="1" applyBorder="1" applyAlignment="1">
      <alignment vertical="top"/>
    </xf>
    <xf numFmtId="0" fontId="17" fillId="0" borderId="0" xfId="1" applyNumberFormat="1" applyFont="1" applyBorder="1" applyAlignment="1">
      <alignment vertical="top"/>
    </xf>
    <xf numFmtId="0" fontId="18" fillId="0" borderId="0" xfId="1" applyNumberFormat="1" applyFont="1" applyBorder="1" applyAlignment="1">
      <alignment vertical="top"/>
    </xf>
    <xf numFmtId="0" fontId="18" fillId="0" borderId="0" xfId="1" applyNumberFormat="1" applyFont="1" applyBorder="1" applyAlignment="1">
      <alignment horizontal="center" vertical="top"/>
    </xf>
    <xf numFmtId="0" fontId="25" fillId="0" borderId="0" xfId="0" applyNumberFormat="1" applyFont="1" applyAlignment="1">
      <alignment horizontal="center" vertical="top"/>
    </xf>
    <xf numFmtId="1" fontId="25" fillId="0" borderId="0" xfId="1" applyNumberFormat="1" applyFont="1" applyAlignment="1">
      <alignment vertical="top"/>
    </xf>
    <xf numFmtId="0" fontId="23" fillId="0" borderId="0" xfId="0" applyFont="1" applyFill="1"/>
    <xf numFmtId="0" fontId="2" fillId="0" borderId="0" xfId="0" applyFont="1" applyFill="1"/>
    <xf numFmtId="0" fontId="2" fillId="0" borderId="0" xfId="0" applyFont="1" applyFill="1" applyAlignment="1">
      <alignment horizontal="left"/>
    </xf>
    <xf numFmtId="0" fontId="13" fillId="0" borderId="0" xfId="0" applyFont="1" applyFill="1"/>
    <xf numFmtId="0" fontId="24" fillId="0" borderId="0" xfId="0" applyFont="1" applyFill="1"/>
    <xf numFmtId="0" fontId="2" fillId="0" borderId="0" xfId="0" applyFont="1" applyFill="1" applyAlignment="1">
      <alignment horizontal="center"/>
    </xf>
    <xf numFmtId="0" fontId="11" fillId="0" borderId="0" xfId="0" applyFont="1" applyFill="1"/>
    <xf numFmtId="0" fontId="4" fillId="0" borderId="11" xfId="0" applyFont="1" applyFill="1" applyBorder="1"/>
    <xf numFmtId="0" fontId="4" fillId="0" borderId="20" xfId="0" applyFont="1" applyFill="1" applyBorder="1" applyAlignment="1">
      <alignment horizontal="left"/>
    </xf>
    <xf numFmtId="0" fontId="4" fillId="0" borderId="20" xfId="0" applyFont="1" applyFill="1" applyBorder="1"/>
    <xf numFmtId="0" fontId="4" fillId="0" borderId="21" xfId="0" applyFont="1" applyFill="1" applyBorder="1"/>
    <xf numFmtId="0" fontId="4" fillId="0" borderId="0" xfId="0" applyFont="1" applyFill="1" applyBorder="1"/>
    <xf numFmtId="0" fontId="4" fillId="0" borderId="22" xfId="0" applyFont="1" applyFill="1" applyBorder="1"/>
    <xf numFmtId="0" fontId="4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center"/>
    </xf>
    <xf numFmtId="0" fontId="4" fillId="0" borderId="23" xfId="0" applyFont="1" applyFill="1" applyBorder="1"/>
    <xf numFmtId="0" fontId="2" fillId="0" borderId="1" xfId="0" applyFont="1" applyFill="1" applyBorder="1"/>
    <xf numFmtId="0" fontId="2" fillId="0" borderId="1" xfId="0" applyFont="1" applyFill="1" applyBorder="1" applyAlignment="1">
      <alignment horizontal="center"/>
    </xf>
    <xf numFmtId="164" fontId="4" fillId="0" borderId="0" xfId="0" applyNumberFormat="1" applyFont="1" applyFill="1" applyBorder="1" applyAlignment="1">
      <alignment horizontal="left"/>
    </xf>
    <xf numFmtId="0" fontId="2" fillId="0" borderId="22" xfId="0" applyFont="1" applyFill="1" applyBorder="1"/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/>
    <xf numFmtId="49" fontId="4" fillId="0" borderId="0" xfId="0" applyNumberFormat="1" applyFont="1" applyFill="1" applyBorder="1" applyAlignment="1">
      <alignment horizontal="left"/>
    </xf>
    <xf numFmtId="0" fontId="4" fillId="0" borderId="1" xfId="0" applyFont="1" applyFill="1" applyBorder="1"/>
    <xf numFmtId="0" fontId="4" fillId="0" borderId="24" xfId="0" applyFont="1" applyFill="1" applyBorder="1"/>
    <xf numFmtId="0" fontId="4" fillId="0" borderId="25" xfId="0" applyFont="1" applyFill="1" applyBorder="1" applyAlignment="1">
      <alignment horizontal="left"/>
    </xf>
    <xf numFmtId="0" fontId="4" fillId="0" borderId="25" xfId="0" applyFont="1" applyFill="1" applyBorder="1"/>
    <xf numFmtId="0" fontId="4" fillId="0" borderId="25" xfId="0" applyFont="1" applyFill="1" applyBorder="1" applyAlignment="1"/>
    <xf numFmtId="0" fontId="4" fillId="0" borderId="26" xfId="0" applyFont="1" applyFill="1" applyBorder="1"/>
    <xf numFmtId="0" fontId="4" fillId="0" borderId="1" xfId="0" applyFont="1" applyFill="1" applyBorder="1" applyAlignment="1"/>
    <xf numFmtId="0" fontId="35" fillId="0" borderId="0" xfId="0" applyFont="1"/>
    <xf numFmtId="14" fontId="35" fillId="0" borderId="0" xfId="0" applyNumberFormat="1" applyFont="1"/>
    <xf numFmtId="0" fontId="41" fillId="0" borderId="0" xfId="0" applyFont="1" applyFill="1" applyBorder="1" applyAlignment="1">
      <alignment horizontal="center"/>
    </xf>
    <xf numFmtId="0" fontId="41" fillId="0" borderId="1" xfId="0" applyFont="1" applyBorder="1" applyAlignment="1">
      <alignment horizontal="center"/>
    </xf>
    <xf numFmtId="0" fontId="41" fillId="12" borderId="1" xfId="0" applyFont="1" applyFill="1" applyBorder="1" applyAlignment="1">
      <alignment horizontal="center"/>
    </xf>
    <xf numFmtId="49" fontId="41" fillId="0" borderId="1" xfId="0" applyNumberFormat="1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41" fillId="0" borderId="48" xfId="0" applyFont="1" applyBorder="1" applyAlignment="1">
      <alignment horizontal="center"/>
    </xf>
    <xf numFmtId="0" fontId="41" fillId="12" borderId="48" xfId="0" applyFont="1" applyFill="1" applyBorder="1" applyAlignment="1">
      <alignment horizontal="center"/>
    </xf>
    <xf numFmtId="49" fontId="42" fillId="0" borderId="0" xfId="0" applyNumberFormat="1" applyFont="1" applyBorder="1" applyAlignment="1">
      <alignment horizontal="center"/>
    </xf>
    <xf numFmtId="49" fontId="41" fillId="0" borderId="0" xfId="0" applyNumberFormat="1" applyFont="1" applyBorder="1" applyAlignment="1">
      <alignment horizontal="center"/>
    </xf>
    <xf numFmtId="49" fontId="43" fillId="0" borderId="0" xfId="0" applyNumberFormat="1" applyFont="1" applyBorder="1" applyAlignment="1">
      <alignment horizontal="center"/>
    </xf>
    <xf numFmtId="0" fontId="4" fillId="0" borderId="0" xfId="0" applyFont="1" applyAlignment="1">
      <alignment horizontal="left"/>
    </xf>
    <xf numFmtId="0" fontId="44" fillId="0" borderId="0" xfId="1" applyFont="1" applyBorder="1"/>
    <xf numFmtId="0" fontId="44" fillId="0" borderId="0" xfId="1" applyFont="1"/>
    <xf numFmtId="0" fontId="44" fillId="0" borderId="0" xfId="1" applyFont="1" applyFill="1"/>
    <xf numFmtId="0" fontId="44" fillId="0" borderId="0" xfId="1" applyFont="1" applyFill="1" applyBorder="1" applyAlignment="1">
      <alignment horizontal="center"/>
    </xf>
    <xf numFmtId="0" fontId="23" fillId="0" borderId="0" xfId="0" applyFont="1"/>
    <xf numFmtId="0" fontId="23" fillId="0" borderId="0" xfId="0" applyFont="1" applyAlignment="1">
      <alignment horizontal="center"/>
    </xf>
    <xf numFmtId="16" fontId="23" fillId="11" borderId="4" xfId="0" applyNumberFormat="1" applyFont="1" applyFill="1" applyBorder="1" applyAlignment="1">
      <alignment horizontal="center"/>
    </xf>
    <xf numFmtId="0" fontId="23" fillId="11" borderId="5" xfId="0" applyFont="1" applyFill="1" applyBorder="1" applyAlignment="1">
      <alignment horizontal="center"/>
    </xf>
    <xf numFmtId="0" fontId="23" fillId="11" borderId="9" xfId="0" applyFont="1" applyFill="1" applyBorder="1" applyAlignment="1">
      <alignment horizontal="center"/>
    </xf>
    <xf numFmtId="49" fontId="23" fillId="0" borderId="7" xfId="0" applyNumberFormat="1" applyFont="1" applyBorder="1" applyAlignment="1">
      <alignment horizontal="center"/>
    </xf>
    <xf numFmtId="0" fontId="23" fillId="0" borderId="1" xfId="0" applyNumberFormat="1" applyFont="1" applyBorder="1" applyAlignment="1">
      <alignment horizontal="center"/>
    </xf>
    <xf numFmtId="0" fontId="23" fillId="0" borderId="10" xfId="0" applyNumberFormat="1" applyFont="1" applyBorder="1" applyAlignment="1">
      <alignment horizontal="center"/>
    </xf>
    <xf numFmtId="0" fontId="23" fillId="0" borderId="1" xfId="0" applyFont="1" applyBorder="1" applyAlignment="1">
      <alignment horizontal="center"/>
    </xf>
    <xf numFmtId="49" fontId="23" fillId="0" borderId="1" xfId="0" applyNumberFormat="1" applyFont="1" applyBorder="1" applyAlignment="1">
      <alignment horizontal="center"/>
    </xf>
    <xf numFmtId="0" fontId="23" fillId="0" borderId="10" xfId="0" applyFont="1" applyBorder="1" applyAlignment="1">
      <alignment horizontal="center"/>
    </xf>
    <xf numFmtId="0" fontId="23" fillId="11" borderId="6" xfId="0" applyFont="1" applyFill="1" applyBorder="1" applyAlignment="1">
      <alignment horizontal="center"/>
    </xf>
    <xf numFmtId="16" fontId="23" fillId="0" borderId="4" xfId="0" applyNumberFormat="1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3" fillId="0" borderId="8" xfId="0" applyFont="1" applyBorder="1" applyAlignment="1">
      <alignment horizontal="center"/>
    </xf>
    <xf numFmtId="0" fontId="23" fillId="0" borderId="32" xfId="0" applyFont="1" applyBorder="1"/>
    <xf numFmtId="0" fontId="23" fillId="0" borderId="33" xfId="0" applyFont="1" applyBorder="1" applyAlignment="1">
      <alignment horizontal="center"/>
    </xf>
    <xf numFmtId="49" fontId="23" fillId="0" borderId="33" xfId="0" applyNumberFormat="1" applyFont="1" applyBorder="1" applyAlignment="1">
      <alignment horizontal="center"/>
    </xf>
    <xf numFmtId="0" fontId="23" fillId="0" borderId="34" xfId="0" applyFont="1" applyBorder="1" applyAlignment="1">
      <alignment horizontal="center"/>
    </xf>
    <xf numFmtId="0" fontId="4" fillId="0" borderId="1" xfId="0" applyFont="1" applyFill="1" applyBorder="1" applyAlignment="1"/>
    <xf numFmtId="0" fontId="45" fillId="0" borderId="0" xfId="0" applyFont="1"/>
    <xf numFmtId="0" fontId="36" fillId="0" borderId="0" xfId="0" applyFont="1" applyFill="1" applyBorder="1" applyAlignment="1">
      <alignment horizontal="center"/>
    </xf>
    <xf numFmtId="0" fontId="36" fillId="0" borderId="52" xfId="0" applyFont="1" applyFill="1" applyBorder="1"/>
    <xf numFmtId="0" fontId="36" fillId="0" borderId="19" xfId="0" applyFont="1" applyFill="1" applyBorder="1"/>
    <xf numFmtId="49" fontId="35" fillId="0" borderId="1" xfId="0" applyNumberFormat="1" applyFont="1" applyBorder="1" applyAlignment="1">
      <alignment horizontal="center"/>
    </xf>
    <xf numFmtId="165" fontId="35" fillId="0" borderId="1" xfId="0" applyNumberFormat="1" applyFont="1" applyBorder="1" applyAlignment="1">
      <alignment horizontal="center"/>
    </xf>
    <xf numFmtId="20" fontId="35" fillId="0" borderId="1" xfId="0" applyNumberFormat="1" applyFont="1" applyBorder="1" applyAlignment="1">
      <alignment horizontal="center"/>
    </xf>
    <xf numFmtId="0" fontId="35" fillId="13" borderId="1" xfId="0" applyFont="1" applyFill="1" applyBorder="1" applyAlignment="1">
      <alignment horizontal="center"/>
    </xf>
    <xf numFmtId="0" fontId="35" fillId="0" borderId="1" xfId="0" applyFont="1" applyBorder="1" applyAlignment="1">
      <alignment horizontal="center"/>
    </xf>
    <xf numFmtId="0" fontId="35" fillId="14" borderId="1" xfId="0" applyFont="1" applyFill="1" applyBorder="1" applyAlignment="1">
      <alignment horizontal="center"/>
    </xf>
    <xf numFmtId="0" fontId="35" fillId="0" borderId="1" xfId="0" applyFont="1" applyFill="1" applyBorder="1" applyAlignment="1">
      <alignment horizontal="center"/>
    </xf>
    <xf numFmtId="0" fontId="35" fillId="15" borderId="1" xfId="0" applyFont="1" applyFill="1" applyBorder="1" applyAlignment="1">
      <alignment horizontal="center"/>
    </xf>
    <xf numFmtId="0" fontId="35" fillId="16" borderId="1" xfId="0" applyFont="1" applyFill="1" applyBorder="1" applyAlignment="1">
      <alignment horizontal="center"/>
    </xf>
    <xf numFmtId="0" fontId="35" fillId="0" borderId="1" xfId="0" applyFont="1" applyBorder="1"/>
    <xf numFmtId="0" fontId="35" fillId="17" borderId="1" xfId="0" applyFont="1" applyFill="1" applyBorder="1" applyAlignment="1">
      <alignment horizontal="center"/>
    </xf>
    <xf numFmtId="0" fontId="35" fillId="0" borderId="0" xfId="0" applyFont="1" applyAlignment="1">
      <alignment horizontal="center"/>
    </xf>
    <xf numFmtId="49" fontId="35" fillId="0" borderId="0" xfId="0" applyNumberFormat="1" applyFont="1" applyBorder="1" applyAlignment="1">
      <alignment horizontal="center"/>
    </xf>
    <xf numFmtId="0" fontId="35" fillId="0" borderId="0" xfId="0" applyFont="1" applyBorder="1" applyAlignment="1">
      <alignment horizontal="center"/>
    </xf>
    <xf numFmtId="0" fontId="35" fillId="0" borderId="48" xfId="0" applyFont="1" applyBorder="1"/>
    <xf numFmtId="165" fontId="35" fillId="0" borderId="48" xfId="0" applyNumberFormat="1" applyFont="1" applyBorder="1" applyAlignment="1">
      <alignment horizontal="center"/>
    </xf>
    <xf numFmtId="0" fontId="35" fillId="16" borderId="48" xfId="0" applyFont="1" applyFill="1" applyBorder="1" applyAlignment="1">
      <alignment horizontal="center"/>
    </xf>
    <xf numFmtId="0" fontId="35" fillId="15" borderId="48" xfId="0" applyFont="1" applyFill="1" applyBorder="1" applyAlignment="1">
      <alignment horizontal="center"/>
    </xf>
    <xf numFmtId="20" fontId="35" fillId="0" borderId="0" xfId="0" applyNumberFormat="1" applyFont="1" applyFill="1" applyBorder="1" applyAlignment="1">
      <alignment horizontal="center"/>
    </xf>
    <xf numFmtId="0" fontId="35" fillId="0" borderId="0" xfId="0" applyFont="1" applyFill="1" applyBorder="1" applyAlignment="1">
      <alignment horizontal="left"/>
    </xf>
    <xf numFmtId="0" fontId="35" fillId="14" borderId="48" xfId="0" applyFont="1" applyFill="1" applyBorder="1" applyAlignment="1">
      <alignment horizontal="center"/>
    </xf>
    <xf numFmtId="0" fontId="35" fillId="13" borderId="48" xfId="0" applyFont="1" applyFill="1" applyBorder="1" applyAlignment="1">
      <alignment horizontal="center"/>
    </xf>
    <xf numFmtId="49" fontId="35" fillId="0" borderId="0" xfId="0" applyNumberFormat="1" applyFont="1" applyFill="1" applyBorder="1" applyAlignment="1">
      <alignment horizontal="center"/>
    </xf>
    <xf numFmtId="0" fontId="35" fillId="17" borderId="48" xfId="0" applyFont="1" applyFill="1" applyBorder="1" applyAlignment="1">
      <alignment horizontal="center"/>
    </xf>
    <xf numFmtId="0" fontId="35" fillId="0" borderId="0" xfId="0" applyFont="1" applyFill="1" applyBorder="1"/>
    <xf numFmtId="0" fontId="35" fillId="0" borderId="48" xfId="0" applyFont="1" applyBorder="1" applyAlignment="1">
      <alignment horizontal="center"/>
    </xf>
    <xf numFmtId="165" fontId="35" fillId="0" borderId="48" xfId="0" applyNumberFormat="1" applyFont="1" applyFill="1" applyBorder="1" applyAlignment="1">
      <alignment horizontal="center"/>
    </xf>
    <xf numFmtId="0" fontId="35" fillId="0" borderId="0" xfId="0" applyFont="1" applyBorder="1"/>
    <xf numFmtId="20" fontId="35" fillId="0" borderId="0" xfId="0" applyNumberFormat="1" applyFont="1"/>
    <xf numFmtId="49" fontId="35" fillId="0" borderId="48" xfId="0" applyNumberFormat="1" applyFont="1" applyBorder="1" applyAlignment="1">
      <alignment horizontal="center"/>
    </xf>
    <xf numFmtId="49" fontId="46" fillId="0" borderId="0" xfId="0" applyNumberFormat="1" applyFont="1" applyBorder="1" applyAlignment="1">
      <alignment horizontal="center"/>
    </xf>
    <xf numFmtId="0" fontId="11" fillId="0" borderId="0" xfId="0" applyFont="1" applyAlignment="1">
      <alignment vertical="center"/>
    </xf>
    <xf numFmtId="0" fontId="25" fillId="0" borderId="0" xfId="1" applyFont="1" applyBorder="1" applyAlignment="1">
      <alignment horizontal="left" vertical="top"/>
    </xf>
    <xf numFmtId="0" fontId="25" fillId="0" borderId="0" xfId="1" applyFont="1" applyBorder="1" applyAlignment="1">
      <alignment horizontal="left"/>
    </xf>
    <xf numFmtId="0" fontId="3" fillId="0" borderId="0" xfId="0" applyFont="1" applyAlignment="1">
      <alignment horizontal="center"/>
    </xf>
    <xf numFmtId="0" fontId="41" fillId="0" borderId="1" xfId="0" applyFont="1" applyBorder="1" applyAlignment="1">
      <alignment horizontal="left"/>
    </xf>
    <xf numFmtId="20" fontId="35" fillId="0" borderId="1" xfId="0" applyNumberFormat="1" applyFont="1" applyBorder="1" applyAlignment="1">
      <alignment horizontal="left"/>
    </xf>
    <xf numFmtId="0" fontId="36" fillId="0" borderId="0" xfId="0" applyFont="1"/>
    <xf numFmtId="0" fontId="24" fillId="0" borderId="0" xfId="0" applyFont="1"/>
    <xf numFmtId="0" fontId="24" fillId="0" borderId="0" xfId="0" applyFont="1" applyAlignment="1">
      <alignment horizontal="left"/>
    </xf>
    <xf numFmtId="0" fontId="3" fillId="0" borderId="0" xfId="0" applyFont="1" applyAlignment="1">
      <alignment vertical="center"/>
    </xf>
    <xf numFmtId="0" fontId="36" fillId="0" borderId="1" xfId="0" applyFont="1" applyBorder="1"/>
    <xf numFmtId="0" fontId="36" fillId="0" borderId="1" xfId="0" applyFont="1" applyBorder="1" applyAlignment="1">
      <alignment horizontal="center"/>
    </xf>
    <xf numFmtId="0" fontId="36" fillId="0" borderId="1" xfId="0" applyNumberFormat="1" applyFont="1" applyBorder="1" applyAlignment="1">
      <alignment horizontal="center"/>
    </xf>
    <xf numFmtId="0" fontId="24" fillId="0" borderId="0" xfId="0" applyFont="1" applyAlignment="1">
      <alignment horizontal="center"/>
    </xf>
    <xf numFmtId="0" fontId="36" fillId="11" borderId="1" xfId="0" applyFont="1" applyFill="1" applyBorder="1" applyAlignment="1">
      <alignment vertical="center"/>
    </xf>
    <xf numFmtId="0" fontId="36" fillId="11" borderId="1" xfId="0" applyFont="1" applyFill="1" applyBorder="1" applyAlignment="1">
      <alignment horizontal="center" vertical="center"/>
    </xf>
    <xf numFmtId="0" fontId="36" fillId="0" borderId="0" xfId="0" applyFont="1" applyBorder="1" applyAlignment="1">
      <alignment horizontal="center"/>
    </xf>
    <xf numFmtId="0" fontId="3" fillId="11" borderId="1" xfId="0" applyFont="1" applyFill="1" applyBorder="1" applyAlignment="1">
      <alignment horizontal="center" vertical="center"/>
    </xf>
    <xf numFmtId="0" fontId="3" fillId="11" borderId="1" xfId="0" applyFont="1" applyFill="1" applyBorder="1" applyAlignment="1">
      <alignment horizontal="center" vertical="center" wrapText="1"/>
    </xf>
    <xf numFmtId="0" fontId="47" fillId="0" borderId="0" xfId="0" applyFont="1"/>
    <xf numFmtId="0" fontId="48" fillId="0" borderId="0" xfId="0" applyFont="1"/>
    <xf numFmtId="0" fontId="48" fillId="0" borderId="1" xfId="0" applyFont="1" applyBorder="1" applyAlignment="1">
      <alignment horizontal="center"/>
    </xf>
    <xf numFmtId="0" fontId="48" fillId="0" borderId="1" xfId="0" applyFont="1" applyBorder="1"/>
    <xf numFmtId="0" fontId="49" fillId="0" borderId="0" xfId="0" applyFont="1"/>
    <xf numFmtId="0" fontId="50" fillId="0" borderId="0" xfId="0" applyFont="1"/>
    <xf numFmtId="0" fontId="50" fillId="11" borderId="0" xfId="0" applyFont="1" applyFill="1" applyAlignment="1">
      <alignment horizontal="center"/>
    </xf>
    <xf numFmtId="0" fontId="50" fillId="11" borderId="0" xfId="0" applyFont="1" applyFill="1"/>
    <xf numFmtId="0" fontId="50" fillId="11" borderId="1" xfId="0" applyFont="1" applyFill="1" applyBorder="1" applyAlignment="1">
      <alignment horizontal="center"/>
    </xf>
    <xf numFmtId="0" fontId="50" fillId="11" borderId="1" xfId="0" applyFont="1" applyFill="1" applyBorder="1"/>
    <xf numFmtId="0" fontId="50" fillId="11" borderId="1" xfId="0" applyFont="1" applyFill="1" applyBorder="1" applyAlignment="1">
      <alignment horizontal="center" vertical="center"/>
    </xf>
    <xf numFmtId="0" fontId="50" fillId="11" borderId="1" xfId="0" applyFont="1" applyFill="1" applyBorder="1" applyAlignment="1">
      <alignment horizontal="left" vertical="center" wrapText="1"/>
    </xf>
    <xf numFmtId="0" fontId="50" fillId="11" borderId="1" xfId="0" applyFont="1" applyFill="1" applyBorder="1" applyAlignment="1">
      <alignment horizontal="center" vertical="center" wrapText="1"/>
    </xf>
    <xf numFmtId="0" fontId="50" fillId="11" borderId="1" xfId="0" applyFont="1" applyFill="1" applyBorder="1" applyAlignment="1">
      <alignment vertical="center"/>
    </xf>
    <xf numFmtId="0" fontId="51" fillId="0" borderId="0" xfId="0" applyFont="1"/>
    <xf numFmtId="0" fontId="21" fillId="11" borderId="1" xfId="0" applyFont="1" applyFill="1" applyBorder="1" applyAlignment="1">
      <alignment horizontal="center" vertical="center"/>
    </xf>
    <xf numFmtId="0" fontId="21" fillId="11" borderId="1" xfId="0" applyFont="1" applyFill="1" applyBorder="1" applyAlignment="1">
      <alignment horizontal="left" vertical="center" wrapText="1"/>
    </xf>
    <xf numFmtId="0" fontId="21" fillId="11" borderId="1" xfId="0" applyFont="1" applyFill="1" applyBorder="1" applyAlignment="1">
      <alignment horizontal="center" vertical="center" wrapText="1"/>
    </xf>
    <xf numFmtId="0" fontId="21" fillId="11" borderId="1" xfId="0" applyFont="1" applyFill="1" applyBorder="1" applyAlignment="1">
      <alignment vertical="center"/>
    </xf>
    <xf numFmtId="22" fontId="23" fillId="0" borderId="0" xfId="0" applyNumberFormat="1" applyFont="1" applyAlignment="1">
      <alignment horizontal="left"/>
    </xf>
    <xf numFmtId="14" fontId="0" fillId="0" borderId="0" xfId="0" applyNumberFormat="1"/>
    <xf numFmtId="0" fontId="3" fillId="0" borderId="0" xfId="0" applyFont="1" applyAlignment="1">
      <alignment horizontal="center" vertical="top"/>
    </xf>
    <xf numFmtId="0" fontId="21" fillId="0" borderId="0" xfId="0" applyFont="1" applyAlignment="1">
      <alignment horizontal="left" vertical="top"/>
    </xf>
    <xf numFmtId="0" fontId="2" fillId="11" borderId="5" xfId="0" applyFont="1" applyFill="1" applyBorder="1"/>
    <xf numFmtId="0" fontId="2" fillId="11" borderId="6" xfId="0" applyFont="1" applyFill="1" applyBorder="1"/>
    <xf numFmtId="0" fontId="2" fillId="11" borderId="33" xfId="0" applyFont="1" applyFill="1" applyBorder="1"/>
    <xf numFmtId="0" fontId="2" fillId="11" borderId="34" xfId="0" applyFont="1" applyFill="1" applyBorder="1"/>
    <xf numFmtId="0" fontId="2" fillId="11" borderId="1" xfId="0" applyFont="1" applyFill="1" applyBorder="1"/>
    <xf numFmtId="0" fontId="2" fillId="11" borderId="8" xfId="0" applyFont="1" applyFill="1" applyBorder="1"/>
    <xf numFmtId="0" fontId="36" fillId="0" borderId="1" xfId="0" applyFont="1" applyBorder="1" applyAlignment="1">
      <alignment horizontal="center"/>
    </xf>
    <xf numFmtId="0" fontId="36" fillId="0" borderId="1" xfId="0" applyFont="1" applyBorder="1" applyAlignment="1">
      <alignment horizontal="center"/>
    </xf>
    <xf numFmtId="0" fontId="32" fillId="0" borderId="0" xfId="0" applyFont="1" applyAlignment="1">
      <alignment horizontal="left"/>
    </xf>
    <xf numFmtId="0" fontId="0" fillId="0" borderId="0" xfId="0" applyAlignment="1">
      <alignment horizontal="left"/>
    </xf>
    <xf numFmtId="0" fontId="36" fillId="11" borderId="1" xfId="0" applyFont="1" applyFill="1" applyBorder="1" applyAlignment="1">
      <alignment vertical="center" wrapText="1"/>
    </xf>
    <xf numFmtId="0" fontId="24" fillId="0" borderId="0" xfId="0" applyFont="1" applyAlignment="1">
      <alignment horizontal="right"/>
    </xf>
    <xf numFmtId="0" fontId="23" fillId="0" borderId="0" xfId="0" applyFont="1" applyAlignment="1">
      <alignment horizontal="left"/>
    </xf>
    <xf numFmtId="0" fontId="23" fillId="0" borderId="0" xfId="0" applyNumberFormat="1" applyFont="1" applyAlignment="1">
      <alignment horizontal="left"/>
    </xf>
    <xf numFmtId="0" fontId="23" fillId="0" borderId="0" xfId="0" applyNumberFormat="1" applyFont="1" applyAlignment="1">
      <alignment horizontal="center"/>
    </xf>
    <xf numFmtId="0" fontId="34" fillId="0" borderId="0" xfId="1" applyFont="1" applyBorder="1"/>
    <xf numFmtId="0" fontId="0" fillId="0" borderId="1" xfId="0" applyBorder="1"/>
    <xf numFmtId="49" fontId="3" fillId="0" borderId="0" xfId="0" applyNumberFormat="1" applyFont="1" applyFill="1" applyAlignment="1">
      <alignment horizontal="center"/>
    </xf>
    <xf numFmtId="49" fontId="5" fillId="0" borderId="0" xfId="0" applyNumberFormat="1" applyFont="1" applyFill="1" applyAlignment="1">
      <alignment horizontal="center"/>
    </xf>
    <xf numFmtId="49" fontId="8" fillId="0" borderId="1" xfId="0" applyNumberFormat="1" applyFont="1" applyFill="1" applyBorder="1" applyAlignment="1">
      <alignment horizontal="center"/>
    </xf>
    <xf numFmtId="0" fontId="29" fillId="0" borderId="0" xfId="1" applyFont="1" applyAlignment="1">
      <alignment vertical="center"/>
    </xf>
    <xf numFmtId="0" fontId="29" fillId="0" borderId="0" xfId="1" applyFont="1" applyAlignment="1">
      <alignment horizontal="right" vertical="center"/>
    </xf>
    <xf numFmtId="0" fontId="36" fillId="0" borderId="1" xfId="0" applyFont="1" applyBorder="1" applyAlignment="1">
      <alignment horizontal="center"/>
    </xf>
    <xf numFmtId="0" fontId="48" fillId="0" borderId="1" xfId="0" applyFont="1" applyBorder="1" applyAlignment="1">
      <alignment horizontal="center"/>
    </xf>
    <xf numFmtId="0" fontId="48" fillId="0" borderId="1" xfId="0" applyFont="1" applyBorder="1" applyAlignment="1">
      <alignment horizontal="center"/>
    </xf>
    <xf numFmtId="49" fontId="8" fillId="2" borderId="1" xfId="0" applyNumberFormat="1" applyFont="1" applyFill="1" applyBorder="1" applyAlignment="1">
      <alignment horizontal="center"/>
    </xf>
    <xf numFmtId="49" fontId="8" fillId="18" borderId="1" xfId="0" applyNumberFormat="1" applyFont="1" applyFill="1" applyBorder="1" applyAlignment="1">
      <alignment horizontal="center"/>
    </xf>
    <xf numFmtId="49" fontId="8" fillId="3" borderId="1" xfId="0" applyNumberFormat="1" applyFont="1" applyFill="1" applyBorder="1" applyAlignment="1">
      <alignment horizontal="center"/>
    </xf>
    <xf numFmtId="49" fontId="8" fillId="9" borderId="1" xfId="0" applyNumberFormat="1" applyFont="1" applyFill="1" applyBorder="1" applyAlignment="1">
      <alignment horizontal="center"/>
    </xf>
    <xf numFmtId="0" fontId="55" fillId="14" borderId="1" xfId="0" applyFont="1" applyFill="1" applyBorder="1" applyAlignment="1">
      <alignment horizontal="center"/>
    </xf>
    <xf numFmtId="0" fontId="55" fillId="13" borderId="1" xfId="0" applyFont="1" applyFill="1" applyBorder="1" applyAlignment="1">
      <alignment horizontal="center"/>
    </xf>
    <xf numFmtId="0" fontId="55" fillId="15" borderId="1" xfId="0" applyFont="1" applyFill="1" applyBorder="1" applyAlignment="1">
      <alignment horizontal="center"/>
    </xf>
    <xf numFmtId="0" fontId="56" fillId="0" borderId="1" xfId="0" applyFont="1" applyBorder="1"/>
    <xf numFmtId="0" fontId="55" fillId="0" borderId="1" xfId="0" applyFont="1" applyFill="1" applyBorder="1" applyAlignment="1">
      <alignment horizontal="center"/>
    </xf>
    <xf numFmtId="0" fontId="55" fillId="16" borderId="1" xfId="0" applyFont="1" applyFill="1" applyBorder="1" applyAlignment="1">
      <alignment horizontal="center"/>
    </xf>
    <xf numFmtId="0" fontId="55" fillId="17" borderId="1" xfId="0" applyFont="1" applyFill="1" applyBorder="1" applyAlignment="1">
      <alignment horizontal="center"/>
    </xf>
    <xf numFmtId="0" fontId="56" fillId="0" borderId="55" xfId="0" applyFont="1" applyFill="1" applyBorder="1"/>
    <xf numFmtId="165" fontId="35" fillId="2" borderId="1" xfId="0" applyNumberFormat="1" applyFont="1" applyFill="1" applyBorder="1" applyAlignment="1">
      <alignment horizontal="center"/>
    </xf>
    <xf numFmtId="165" fontId="35" fillId="0" borderId="1" xfId="0" applyNumberFormat="1" applyFont="1" applyFill="1" applyBorder="1" applyAlignment="1">
      <alignment horizontal="center"/>
    </xf>
    <xf numFmtId="0" fontId="48" fillId="0" borderId="1" xfId="0" applyFont="1" applyBorder="1" applyAlignment="1">
      <alignment horizontal="center"/>
    </xf>
    <xf numFmtId="0" fontId="55" fillId="0" borderId="49" xfId="0" applyFont="1" applyFill="1" applyBorder="1" applyAlignment="1">
      <alignment horizontal="center"/>
    </xf>
    <xf numFmtId="0" fontId="41" fillId="12" borderId="16" xfId="0" applyFont="1" applyFill="1" applyBorder="1" applyAlignment="1">
      <alignment horizontal="center"/>
    </xf>
    <xf numFmtId="0" fontId="41" fillId="0" borderId="16" xfId="0" applyFont="1" applyBorder="1" applyAlignment="1">
      <alignment horizontal="center"/>
    </xf>
    <xf numFmtId="0" fontId="41" fillId="0" borderId="16" xfId="0" applyFont="1" applyBorder="1" applyAlignment="1">
      <alignment horizontal="left"/>
    </xf>
    <xf numFmtId="49" fontId="35" fillId="0" borderId="4" xfId="0" applyNumberFormat="1" applyFont="1" applyBorder="1" applyAlignment="1">
      <alignment horizontal="center"/>
    </xf>
    <xf numFmtId="165" fontId="35" fillId="0" borderId="5" xfId="0" applyNumberFormat="1" applyFont="1" applyBorder="1" applyAlignment="1">
      <alignment horizontal="center"/>
    </xf>
    <xf numFmtId="20" fontId="35" fillId="0" borderId="5" xfId="0" applyNumberFormat="1" applyFont="1" applyBorder="1" applyAlignment="1">
      <alignment horizontal="center"/>
    </xf>
    <xf numFmtId="20" fontId="35" fillId="0" borderId="5" xfId="0" applyNumberFormat="1" applyFont="1" applyBorder="1" applyAlignment="1">
      <alignment horizontal="left"/>
    </xf>
    <xf numFmtId="0" fontId="55" fillId="13" borderId="5" xfId="0" applyFont="1" applyFill="1" applyBorder="1" applyAlignment="1">
      <alignment horizontal="center"/>
    </xf>
    <xf numFmtId="0" fontId="55" fillId="13" borderId="6" xfId="0" applyFont="1" applyFill="1" applyBorder="1" applyAlignment="1">
      <alignment horizontal="center"/>
    </xf>
    <xf numFmtId="0" fontId="35" fillId="0" borderId="7" xfId="0" applyFont="1" applyBorder="1" applyAlignment="1">
      <alignment horizontal="center"/>
    </xf>
    <xf numFmtId="0" fontId="55" fillId="14" borderId="8" xfId="0" applyFont="1" applyFill="1" applyBorder="1" applyAlignment="1">
      <alignment horizontal="center"/>
    </xf>
    <xf numFmtId="0" fontId="55" fillId="13" borderId="8" xfId="0" applyFont="1" applyFill="1" applyBorder="1" applyAlignment="1">
      <alignment horizontal="center"/>
    </xf>
    <xf numFmtId="0" fontId="35" fillId="2" borderId="7" xfId="0" applyFont="1" applyFill="1" applyBorder="1" applyAlignment="1">
      <alignment horizontal="center"/>
    </xf>
    <xf numFmtId="0" fontId="41" fillId="0" borderId="7" xfId="0" applyFont="1" applyBorder="1" applyAlignment="1">
      <alignment horizontal="center"/>
    </xf>
    <xf numFmtId="0" fontId="55" fillId="15" borderId="8" xfId="0" applyFont="1" applyFill="1" applyBorder="1" applyAlignment="1">
      <alignment horizontal="center"/>
    </xf>
    <xf numFmtId="49" fontId="41" fillId="0" borderId="7" xfId="0" applyNumberFormat="1" applyFont="1" applyBorder="1" applyAlignment="1">
      <alignment horizontal="center"/>
    </xf>
    <xf numFmtId="0" fontId="55" fillId="16" borderId="8" xfId="0" applyFont="1" applyFill="1" applyBorder="1" applyAlignment="1">
      <alignment horizontal="center"/>
    </xf>
    <xf numFmtId="0" fontId="35" fillId="0" borderId="7" xfId="0" applyFont="1" applyBorder="1"/>
    <xf numFmtId="0" fontId="55" fillId="17" borderId="8" xfId="0" applyFont="1" applyFill="1" applyBorder="1" applyAlignment="1">
      <alignment horizontal="center"/>
    </xf>
    <xf numFmtId="0" fontId="35" fillId="0" borderId="32" xfId="0" applyFont="1" applyBorder="1" applyAlignment="1">
      <alignment horizontal="center"/>
    </xf>
    <xf numFmtId="165" fontId="35" fillId="0" borderId="33" xfId="0" applyNumberFormat="1" applyFont="1" applyBorder="1" applyAlignment="1">
      <alignment horizontal="center"/>
    </xf>
    <xf numFmtId="20" fontId="35" fillId="0" borderId="33" xfId="0" applyNumberFormat="1" applyFont="1" applyBorder="1" applyAlignment="1">
      <alignment horizontal="center"/>
    </xf>
    <xf numFmtId="20" fontId="35" fillId="0" borderId="33" xfId="0" applyNumberFormat="1" applyFont="1" applyBorder="1" applyAlignment="1">
      <alignment horizontal="left"/>
    </xf>
    <xf numFmtId="0" fontId="55" fillId="17" borderId="33" xfId="0" applyFont="1" applyFill="1" applyBorder="1" applyAlignment="1">
      <alignment horizontal="center"/>
    </xf>
    <xf numFmtId="0" fontId="56" fillId="0" borderId="33" xfId="0" applyFont="1" applyBorder="1"/>
    <xf numFmtId="0" fontId="55" fillId="0" borderId="33" xfId="0" applyFont="1" applyBorder="1"/>
    <xf numFmtId="0" fontId="55" fillId="0" borderId="33" xfId="0" applyFont="1" applyBorder="1" applyAlignment="1">
      <alignment horizontal="center"/>
    </xf>
    <xf numFmtId="0" fontId="55" fillId="17" borderId="34" xfId="0" applyFont="1" applyFill="1" applyBorder="1" applyAlignment="1">
      <alignment horizontal="center"/>
    </xf>
    <xf numFmtId="165" fontId="35" fillId="2" borderId="48" xfId="0" applyNumberFormat="1" applyFont="1" applyFill="1" applyBorder="1" applyAlignment="1">
      <alignment horizontal="center"/>
    </xf>
    <xf numFmtId="49" fontId="35" fillId="2" borderId="48" xfId="0" applyNumberFormat="1" applyFont="1" applyFill="1" applyBorder="1" applyAlignment="1">
      <alignment horizontal="center"/>
    </xf>
    <xf numFmtId="0" fontId="36" fillId="0" borderId="1" xfId="0" applyFont="1" applyBorder="1" applyAlignment="1">
      <alignment horizontal="center"/>
    </xf>
    <xf numFmtId="0" fontId="55" fillId="14" borderId="56" xfId="0" applyFont="1" applyFill="1" applyBorder="1" applyAlignment="1">
      <alignment horizontal="center"/>
    </xf>
    <xf numFmtId="0" fontId="39" fillId="0" borderId="0" xfId="0" applyFont="1" applyFill="1" applyBorder="1" applyAlignment="1">
      <alignment horizontal="center"/>
    </xf>
    <xf numFmtId="0" fontId="40" fillId="0" borderId="0" xfId="0" applyFont="1" applyAlignment="1">
      <alignment horizontal="center"/>
    </xf>
    <xf numFmtId="0" fontId="36" fillId="0" borderId="1" xfId="0" applyFont="1" applyBorder="1" applyAlignment="1"/>
    <xf numFmtId="0" fontId="36" fillId="0" borderId="1" xfId="0" applyFont="1" applyBorder="1" applyAlignment="1">
      <alignment horizontal="center"/>
    </xf>
    <xf numFmtId="0" fontId="36" fillId="0" borderId="16" xfId="0" applyFont="1" applyBorder="1" applyAlignment="1">
      <alignment horizontal="center"/>
    </xf>
    <xf numFmtId="0" fontId="36" fillId="0" borderId="15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8" fillId="0" borderId="16" xfId="0" applyFont="1" applyBorder="1" applyAlignment="1">
      <alignment horizontal="center"/>
    </xf>
    <xf numFmtId="0" fontId="48" fillId="0" borderId="15" xfId="0" applyFont="1" applyBorder="1" applyAlignment="1">
      <alignment horizontal="center"/>
    </xf>
    <xf numFmtId="0" fontId="48" fillId="0" borderId="1" xfId="0" applyFont="1" applyBorder="1" applyAlignment="1">
      <alignment horizontal="center"/>
    </xf>
    <xf numFmtId="1" fontId="48" fillId="0" borderId="16" xfId="0" applyNumberFormat="1" applyFont="1" applyBorder="1" applyAlignment="1">
      <alignment horizontal="center"/>
    </xf>
    <xf numFmtId="1" fontId="48" fillId="0" borderId="15" xfId="0" applyNumberFormat="1" applyFont="1" applyBorder="1" applyAlignment="1">
      <alignment horizontal="center"/>
    </xf>
    <xf numFmtId="0" fontId="50" fillId="11" borderId="1" xfId="0" applyFont="1" applyFill="1" applyBorder="1" applyAlignment="1">
      <alignment horizontal="center"/>
    </xf>
    <xf numFmtId="0" fontId="4" fillId="0" borderId="10" xfId="0" applyFont="1" applyFill="1" applyBorder="1" applyAlignment="1"/>
    <xf numFmtId="0" fontId="0" fillId="0" borderId="19" xfId="0" applyFill="1" applyBorder="1"/>
    <xf numFmtId="0" fontId="0" fillId="0" borderId="3" xfId="0" applyFill="1" applyBorder="1"/>
    <xf numFmtId="0" fontId="4" fillId="0" borderId="1" xfId="0" applyFont="1" applyFill="1" applyBorder="1" applyAlignment="1"/>
    <xf numFmtId="0" fontId="4" fillId="0" borderId="1" xfId="0" applyNumberFormat="1" applyFont="1" applyFill="1" applyBorder="1" applyAlignment="1"/>
    <xf numFmtId="0" fontId="0" fillId="0" borderId="1" xfId="0" applyFill="1" applyBorder="1" applyAlignment="1"/>
    <xf numFmtId="0" fontId="4" fillId="0" borderId="16" xfId="0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/>
    </xf>
    <xf numFmtId="0" fontId="4" fillId="0" borderId="53" xfId="0" applyFont="1" applyFill="1" applyBorder="1" applyAlignment="1">
      <alignment horizontal="center" vertical="center"/>
    </xf>
    <xf numFmtId="0" fontId="4" fillId="0" borderId="54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9" xfId="0" applyFont="1" applyFill="1" applyBorder="1" applyAlignment="1"/>
    <xf numFmtId="0" fontId="4" fillId="0" borderId="3" xfId="0" applyFont="1" applyFill="1" applyBorder="1" applyAlignment="1"/>
    <xf numFmtId="0" fontId="4" fillId="0" borderId="2" xfId="0" applyFont="1" applyFill="1" applyBorder="1" applyAlignment="1">
      <alignment horizontal="center"/>
    </xf>
    <xf numFmtId="0" fontId="4" fillId="0" borderId="2" xfId="0" applyFont="1" applyFill="1" applyBorder="1" applyAlignment="1"/>
    <xf numFmtId="0" fontId="4" fillId="0" borderId="36" xfId="0" applyNumberFormat="1" applyFont="1" applyFill="1" applyBorder="1" applyAlignment="1"/>
    <xf numFmtId="0" fontId="4" fillId="0" borderId="37" xfId="0" applyNumberFormat="1" applyFont="1" applyFill="1" applyBorder="1" applyAlignment="1"/>
    <xf numFmtId="0" fontId="4" fillId="0" borderId="38" xfId="0" applyNumberFormat="1" applyFont="1" applyFill="1" applyBorder="1" applyAlignment="1"/>
    <xf numFmtId="0" fontId="4" fillId="0" borderId="39" xfId="0" applyNumberFormat="1" applyFont="1" applyFill="1" applyBorder="1" applyAlignment="1"/>
    <xf numFmtId="0" fontId="4" fillId="0" borderId="2" xfId="0" applyNumberFormat="1" applyFont="1" applyFill="1" applyBorder="1" applyAlignment="1"/>
    <xf numFmtId="0" fontId="4" fillId="0" borderId="40" xfId="0" applyNumberFormat="1" applyFont="1" applyFill="1" applyBorder="1" applyAlignment="1"/>
    <xf numFmtId="0" fontId="4" fillId="0" borderId="10" xfId="0" applyNumberFormat="1" applyFont="1" applyFill="1" applyBorder="1" applyAlignment="1"/>
    <xf numFmtId="0" fontId="4" fillId="0" borderId="19" xfId="0" applyNumberFormat="1" applyFont="1" applyFill="1" applyBorder="1" applyAlignment="1"/>
    <xf numFmtId="0" fontId="4" fillId="0" borderId="3" xfId="0" applyNumberFormat="1" applyFont="1" applyFill="1" applyBorder="1" applyAlignment="1"/>
    <xf numFmtId="0" fontId="4" fillId="0" borderId="49" xfId="0" applyFont="1" applyFill="1" applyBorder="1" applyAlignment="1"/>
    <xf numFmtId="0" fontId="4" fillId="0" borderId="50" xfId="0" applyFont="1" applyFill="1" applyBorder="1" applyAlignment="1"/>
    <xf numFmtId="0" fontId="4" fillId="0" borderId="51" xfId="0" applyFont="1" applyFill="1" applyBorder="1" applyAlignment="1"/>
    <xf numFmtId="0" fontId="6" fillId="0" borderId="12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10" borderId="12" xfId="0" applyFont="1" applyFill="1" applyBorder="1" applyAlignment="1">
      <alignment horizontal="center" vertical="center"/>
    </xf>
    <xf numFmtId="0" fontId="6" fillId="10" borderId="14" xfId="0" applyFont="1" applyFill="1" applyBorder="1" applyAlignment="1">
      <alignment horizontal="center" vertical="center"/>
    </xf>
    <xf numFmtId="0" fontId="6" fillId="0" borderId="30" xfId="0" applyFont="1" applyBorder="1" applyAlignment="1">
      <alignment vertical="center"/>
    </xf>
    <xf numFmtId="0" fontId="6" fillId="0" borderId="31" xfId="0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6" fillId="0" borderId="13" xfId="0" applyNumberFormat="1" applyFont="1" applyBorder="1" applyAlignment="1">
      <alignment vertical="center"/>
    </xf>
    <xf numFmtId="0" fontId="4" fillId="0" borderId="13" xfId="0" applyNumberFormat="1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20" fontId="6" fillId="0" borderId="28" xfId="0" applyNumberFormat="1" applyFont="1" applyBorder="1" applyAlignment="1">
      <alignment horizontal="center"/>
    </xf>
    <xf numFmtId="0" fontId="6" fillId="0" borderId="18" xfId="0" applyFont="1" applyBorder="1" applyAlignment="1">
      <alignment horizontal="center"/>
    </xf>
    <xf numFmtId="0" fontId="6" fillId="2" borderId="28" xfId="0" applyFont="1" applyFill="1" applyBorder="1" applyAlignment="1">
      <alignment horizontal="center"/>
    </xf>
    <xf numFmtId="0" fontId="6" fillId="2" borderId="18" xfId="0" applyFont="1" applyFill="1" applyBorder="1" applyAlignment="1">
      <alignment horizontal="center"/>
    </xf>
    <xf numFmtId="0" fontId="6" fillId="0" borderId="7" xfId="0" applyFont="1" applyBorder="1" applyAlignment="1">
      <alignment vertical="center"/>
    </xf>
    <xf numFmtId="0" fontId="6" fillId="0" borderId="28" xfId="0" applyNumberFormat="1" applyFont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52" fillId="0" borderId="0" xfId="0" applyFont="1" applyAlignment="1">
      <alignment vertical="center"/>
    </xf>
    <xf numFmtId="0" fontId="11" fillId="0" borderId="0" xfId="0" applyFont="1" applyAlignment="1">
      <alignment horizontal="center"/>
    </xf>
    <xf numFmtId="0" fontId="52" fillId="0" borderId="0" xfId="0" applyFont="1" applyAlignment="1"/>
    <xf numFmtId="0" fontId="18" fillId="0" borderId="0" xfId="1" applyNumberFormat="1" applyFont="1" applyFill="1" applyBorder="1" applyAlignment="1"/>
    <xf numFmtId="0" fontId="28" fillId="0" borderId="0" xfId="1" applyNumberFormat="1" applyFont="1" applyFill="1" applyBorder="1" applyAlignment="1"/>
    <xf numFmtId="0" fontId="18" fillId="0" borderId="0" xfId="1" applyNumberFormat="1" applyFont="1" applyBorder="1" applyAlignment="1"/>
    <xf numFmtId="0" fontId="26" fillId="0" borderId="0" xfId="1" applyNumberFormat="1" applyFont="1" applyBorder="1" applyAlignment="1">
      <alignment horizontal="center" vertical="center"/>
    </xf>
    <xf numFmtId="0" fontId="26" fillId="0" borderId="0" xfId="1" applyFont="1" applyBorder="1" applyAlignment="1">
      <alignment horizontal="right" vertical="center"/>
    </xf>
    <xf numFmtId="0" fontId="29" fillId="4" borderId="0" xfId="1" applyFont="1" applyFill="1" applyAlignment="1">
      <alignment vertical="center"/>
    </xf>
    <xf numFmtId="0" fontId="26" fillId="0" borderId="0" xfId="1" applyNumberFormat="1" applyFont="1" applyAlignment="1">
      <alignment horizontal="center" vertical="center"/>
    </xf>
    <xf numFmtId="0" fontId="26" fillId="0" borderId="0" xfId="1" applyFont="1" applyAlignment="1">
      <alignment horizontal="right" vertical="center"/>
    </xf>
    <xf numFmtId="0" fontId="29" fillId="0" borderId="0" xfId="1" applyFont="1" applyAlignment="1">
      <alignment vertical="center"/>
    </xf>
    <xf numFmtId="0" fontId="53" fillId="0" borderId="0" xfId="1" applyNumberFormat="1" applyFont="1" applyAlignment="1">
      <alignment horizontal="center" vertical="center"/>
    </xf>
    <xf numFmtId="0" fontId="29" fillId="5" borderId="0" xfId="1" applyFont="1" applyFill="1" applyAlignment="1">
      <alignment vertical="center"/>
    </xf>
    <xf numFmtId="0" fontId="29" fillId="6" borderId="0" xfId="1" applyFont="1" applyFill="1" applyAlignment="1">
      <alignment vertical="center"/>
    </xf>
    <xf numFmtId="0" fontId="27" fillId="0" borderId="0" xfId="1" applyNumberFormat="1" applyFont="1" applyAlignment="1">
      <alignment horizontal="center" vertical="center"/>
    </xf>
    <xf numFmtId="0" fontId="26" fillId="0" borderId="0" xfId="0" applyNumberFormat="1" applyFont="1" applyAlignment="1">
      <alignment horizontal="center" vertical="center"/>
    </xf>
    <xf numFmtId="1" fontId="26" fillId="0" borderId="0" xfId="1" applyNumberFormat="1" applyFont="1" applyAlignment="1">
      <alignment horizontal="right" vertical="center"/>
    </xf>
    <xf numFmtId="0" fontId="26" fillId="0" borderId="0" xfId="0" applyNumberFormat="1" applyFont="1" applyBorder="1" applyAlignment="1">
      <alignment horizontal="center" vertical="center"/>
    </xf>
    <xf numFmtId="1" fontId="26" fillId="0" borderId="0" xfId="1" applyNumberFormat="1" applyFont="1" applyBorder="1" applyAlignment="1">
      <alignment horizontal="right" vertical="center"/>
    </xf>
    <xf numFmtId="0" fontId="54" fillId="8" borderId="0" xfId="1" applyNumberFormat="1" applyFont="1" applyFill="1" applyAlignment="1">
      <alignment horizontal="right" vertical="center"/>
    </xf>
    <xf numFmtId="0" fontId="54" fillId="0" borderId="0" xfId="1" applyNumberFormat="1" applyFont="1" applyAlignment="1">
      <alignment horizontal="right" vertical="center"/>
    </xf>
    <xf numFmtId="0" fontId="54" fillId="4" borderId="0" xfId="1" applyNumberFormat="1" applyFont="1" applyFill="1" applyAlignment="1">
      <alignment horizontal="right" vertical="center"/>
    </xf>
    <xf numFmtId="0" fontId="54" fillId="5" borderId="0" xfId="1" applyNumberFormat="1" applyFont="1" applyFill="1" applyAlignment="1">
      <alignment horizontal="right" vertical="center"/>
    </xf>
    <xf numFmtId="0" fontId="54" fillId="6" borderId="0" xfId="1" applyNumberFormat="1" applyFont="1" applyFill="1" applyAlignment="1">
      <alignment horizontal="right" vertical="center"/>
    </xf>
    <xf numFmtId="0" fontId="33" fillId="0" borderId="0" xfId="1" applyNumberFormat="1" applyFont="1" applyFill="1" applyBorder="1" applyAlignment="1"/>
    <xf numFmtId="0" fontId="50" fillId="0" borderId="0" xfId="0" applyFont="1" applyAlignment="1">
      <alignment horizontal="center" wrapText="1"/>
    </xf>
    <xf numFmtId="0" fontId="49" fillId="0" borderId="0" xfId="0" applyFont="1" applyAlignment="1">
      <alignment horizontal="center" wrapText="1"/>
    </xf>
    <xf numFmtId="0" fontId="30" fillId="0" borderId="45" xfId="0" applyFont="1" applyBorder="1" applyAlignment="1">
      <alignment horizontal="center" vertical="center"/>
    </xf>
    <xf numFmtId="0" fontId="30" fillId="11" borderId="41" xfId="0" applyFont="1" applyFill="1" applyBorder="1" applyAlignment="1">
      <alignment horizontal="center" vertical="center"/>
    </xf>
    <xf numFmtId="0" fontId="30" fillId="11" borderId="42" xfId="0" applyFont="1" applyFill="1" applyBorder="1" applyAlignment="1">
      <alignment horizontal="center" vertical="center"/>
    </xf>
    <xf numFmtId="0" fontId="30" fillId="0" borderId="41" xfId="0" applyFont="1" applyBorder="1" applyAlignment="1">
      <alignment horizontal="center" vertical="center"/>
    </xf>
    <xf numFmtId="0" fontId="30" fillId="0" borderId="42" xfId="0" applyFont="1" applyBorder="1" applyAlignment="1">
      <alignment horizontal="center" vertical="center"/>
    </xf>
    <xf numFmtId="0" fontId="32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16" fontId="30" fillId="11" borderId="41" xfId="0" applyNumberFormat="1" applyFont="1" applyFill="1" applyBorder="1" applyAlignment="1">
      <alignment horizontal="center" vertical="center"/>
    </xf>
    <xf numFmtId="0" fontId="30" fillId="11" borderId="4" xfId="0" applyFont="1" applyFill="1" applyBorder="1" applyAlignment="1">
      <alignment horizontal="center" vertical="center"/>
    </xf>
    <xf numFmtId="0" fontId="30" fillId="11" borderId="32" xfId="0" applyFont="1" applyFill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30" fillId="0" borderId="32" xfId="0" applyFont="1" applyBorder="1" applyAlignment="1">
      <alignment horizontal="center" vertical="center"/>
    </xf>
    <xf numFmtId="0" fontId="30" fillId="0" borderId="31" xfId="0" applyFont="1" applyBorder="1" applyAlignment="1">
      <alignment horizontal="center" vertical="center"/>
    </xf>
    <xf numFmtId="0" fontId="30" fillId="0" borderId="30" xfId="0" applyFont="1" applyBorder="1" applyAlignment="1">
      <alignment horizontal="center" vertical="center"/>
    </xf>
    <xf numFmtId="16" fontId="30" fillId="11" borderId="4" xfId="0" applyNumberFormat="1" applyFont="1" applyFill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0" fontId="30" fillId="11" borderId="7" xfId="0" applyFont="1" applyFill="1" applyBorder="1" applyAlignment="1">
      <alignment horizontal="center" vertical="center"/>
    </xf>
    <xf numFmtId="16" fontId="30" fillId="0" borderId="4" xfId="0" applyNumberFormat="1" applyFont="1" applyBorder="1" applyAlignment="1">
      <alignment horizontal="center" vertical="center"/>
    </xf>
    <xf numFmtId="16" fontId="30" fillId="0" borderId="41" xfId="0" applyNumberFormat="1" applyFont="1" applyBorder="1" applyAlignment="1">
      <alignment horizontal="center" vertical="center"/>
    </xf>
  </cellXfs>
  <cellStyles count="2">
    <cellStyle name="normálne 2" xfId="1"/>
    <cellStyle name="normální" xfId="0" builtinId="0"/>
  </cellStyles>
  <dxfs count="6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fgColor theme="5" tint="0.3999450666829432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fgColor theme="5" tint="0.3999450666829432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fgColor theme="5" tint="0.3999450666829432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fgColor theme="5" tint="0.3999450666829432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fgColor theme="5" tint="0.3999450666829432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fgColor theme="5" tint="0.3999450666829432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fgColor theme="5" tint="0.3999450666829432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fgColor theme="5" tint="0.3999450666829432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fgColor theme="5" tint="0.3999450666829432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fgColor theme="5" tint="0.3999450666829432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fgColor theme="5" tint="0.3999450666829432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fgColor theme="5" tint="0.3999450666829432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fgColor theme="5" tint="0.3999450666829432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fgColor theme="5" tint="0.3999450666829432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fgColor theme="5" tint="0.3999450666829432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fgColor theme="5" tint="0.3999450666829432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ser/Desktop/MZ_bratislava/Turnaj_v22_office7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trucny navod"/>
      <sheetName val="zoznam prihlasenych"/>
      <sheetName val="PREZENTÁCIA"/>
      <sheetName val="S 3"/>
      <sheetName val="S 4"/>
      <sheetName val="S 5"/>
      <sheetName val="zoznam zapasov"/>
      <sheetName val="zapisy ciste"/>
      <sheetName val="Pavuk 8"/>
      <sheetName val="Pavuk 16"/>
      <sheetName val="PAVUK 32"/>
      <sheetName val="PAVUK 64"/>
      <sheetName val="PAVUK 128"/>
      <sheetName val="konecne vysledky P8"/>
      <sheetName val="konecne vysledky P16"/>
      <sheetName val="konecne vysledky P32"/>
      <sheetName val="konecne vysledky P64"/>
      <sheetName val="konecne vysledky P128"/>
      <sheetName val="Berger"/>
      <sheetName val="porazeni z pavukov"/>
      <sheetName val="urcenie poradia zapasov"/>
      <sheetName val="harok poradia v skupinach"/>
    </sheetNames>
    <sheetDataSet>
      <sheetData sheetId="0"/>
      <sheetData sheetId="1"/>
      <sheetData sheetId="2"/>
      <sheetData sheetId="3"/>
      <sheetData sheetId="4">
        <row r="78">
          <cell r="E78" t="str">
            <v xml:space="preserve"> </v>
          </cell>
          <cell r="Y78" t="str">
            <v xml:space="preserve"> </v>
          </cell>
        </row>
        <row r="79">
          <cell r="E79" t="str">
            <v xml:space="preserve"> </v>
          </cell>
          <cell r="Y79" t="str">
            <v xml:space="preserve"> </v>
          </cell>
        </row>
        <row r="80">
          <cell r="E80" t="str">
            <v xml:space="preserve"> </v>
          </cell>
          <cell r="Y80" t="str">
            <v xml:space="preserve"> </v>
          </cell>
        </row>
        <row r="81">
          <cell r="E81" t="str">
            <v xml:space="preserve"> </v>
          </cell>
          <cell r="Y81" t="str">
            <v xml:space="preserve"> </v>
          </cell>
        </row>
        <row r="84">
          <cell r="E84" t="str">
            <v xml:space="preserve"> </v>
          </cell>
          <cell r="Y84" t="str">
            <v xml:space="preserve"> </v>
          </cell>
        </row>
        <row r="85">
          <cell r="E85" t="str">
            <v xml:space="preserve"> </v>
          </cell>
          <cell r="Y85" t="str">
            <v xml:space="preserve"> </v>
          </cell>
        </row>
        <row r="86">
          <cell r="E86" t="str">
            <v xml:space="preserve"> </v>
          </cell>
          <cell r="Y86" t="str">
            <v xml:space="preserve"> </v>
          </cell>
        </row>
        <row r="87">
          <cell r="E87" t="str">
            <v xml:space="preserve"> </v>
          </cell>
          <cell r="Y87" t="str">
            <v xml:space="preserve"> </v>
          </cell>
        </row>
        <row r="90">
          <cell r="E90" t="str">
            <v xml:space="preserve"> </v>
          </cell>
          <cell r="Y90" t="str">
            <v xml:space="preserve"> </v>
          </cell>
        </row>
        <row r="91">
          <cell r="E91" t="str">
            <v xml:space="preserve"> </v>
          </cell>
          <cell r="Y91" t="str">
            <v xml:space="preserve"> </v>
          </cell>
        </row>
        <row r="92">
          <cell r="E92" t="str">
            <v xml:space="preserve"> </v>
          </cell>
          <cell r="Y92" t="str">
            <v xml:space="preserve"> </v>
          </cell>
        </row>
        <row r="93">
          <cell r="E93" t="str">
            <v xml:space="preserve"> </v>
          </cell>
          <cell r="Y93" t="str">
            <v xml:space="preserve"> </v>
          </cell>
        </row>
        <row r="96">
          <cell r="E96" t="str">
            <v xml:space="preserve"> </v>
          </cell>
          <cell r="Y96" t="str">
            <v xml:space="preserve"> </v>
          </cell>
        </row>
        <row r="97">
          <cell r="E97" t="str">
            <v xml:space="preserve"> </v>
          </cell>
          <cell r="Y97" t="str">
            <v xml:space="preserve"> </v>
          </cell>
        </row>
        <row r="98">
          <cell r="E98" t="str">
            <v xml:space="preserve"> </v>
          </cell>
          <cell r="Y98" t="str">
            <v xml:space="preserve"> </v>
          </cell>
        </row>
        <row r="99">
          <cell r="E99" t="str">
            <v xml:space="preserve"> </v>
          </cell>
          <cell r="Y99" t="str">
            <v xml:space="preserve"> </v>
          </cell>
        </row>
        <row r="102">
          <cell r="E102" t="str">
            <v xml:space="preserve"> </v>
          </cell>
          <cell r="Y102" t="str">
            <v xml:space="preserve"> </v>
          </cell>
        </row>
        <row r="103">
          <cell r="E103" t="str">
            <v xml:space="preserve"> </v>
          </cell>
          <cell r="Y103" t="str">
            <v xml:space="preserve"> </v>
          </cell>
        </row>
        <row r="104">
          <cell r="E104" t="str">
            <v xml:space="preserve"> </v>
          </cell>
          <cell r="Y104" t="str">
            <v xml:space="preserve"> </v>
          </cell>
        </row>
        <row r="105">
          <cell r="E105" t="str">
            <v xml:space="preserve"> </v>
          </cell>
          <cell r="Y105" t="str">
            <v xml:space="preserve"> </v>
          </cell>
        </row>
        <row r="108">
          <cell r="E108" t="str">
            <v xml:space="preserve"> </v>
          </cell>
          <cell r="Y108" t="str">
            <v xml:space="preserve"> </v>
          </cell>
        </row>
        <row r="109">
          <cell r="E109" t="str">
            <v xml:space="preserve"> </v>
          </cell>
          <cell r="Y109" t="str">
            <v xml:space="preserve"> </v>
          </cell>
        </row>
        <row r="110">
          <cell r="E110" t="str">
            <v xml:space="preserve"> </v>
          </cell>
          <cell r="Y110" t="str">
            <v xml:space="preserve"> </v>
          </cell>
        </row>
        <row r="111">
          <cell r="E111" t="str">
            <v xml:space="preserve"> </v>
          </cell>
          <cell r="Y111" t="str">
            <v xml:space="preserve"> </v>
          </cell>
        </row>
        <row r="114">
          <cell r="E114" t="str">
            <v xml:space="preserve"> </v>
          </cell>
          <cell r="Y114" t="str">
            <v xml:space="preserve"> </v>
          </cell>
        </row>
        <row r="115">
          <cell r="E115" t="str">
            <v xml:space="preserve"> </v>
          </cell>
          <cell r="Y115" t="str">
            <v xml:space="preserve"> </v>
          </cell>
        </row>
        <row r="116">
          <cell r="E116" t="str">
            <v xml:space="preserve"> </v>
          </cell>
          <cell r="Y116" t="str">
            <v xml:space="preserve"> </v>
          </cell>
        </row>
        <row r="117">
          <cell r="E117" t="str">
            <v xml:space="preserve"> </v>
          </cell>
          <cell r="Y117" t="str">
            <v xml:space="preserve"> </v>
          </cell>
        </row>
        <row r="120">
          <cell r="E120" t="str">
            <v xml:space="preserve"> </v>
          </cell>
          <cell r="Y120" t="str">
            <v xml:space="preserve"> </v>
          </cell>
        </row>
        <row r="121">
          <cell r="E121" t="str">
            <v xml:space="preserve"> </v>
          </cell>
          <cell r="Y121" t="str">
            <v xml:space="preserve"> </v>
          </cell>
        </row>
        <row r="122">
          <cell r="E122" t="str">
            <v xml:space="preserve"> </v>
          </cell>
          <cell r="Y122" t="str">
            <v xml:space="preserve"> </v>
          </cell>
        </row>
        <row r="123">
          <cell r="E123" t="str">
            <v xml:space="preserve"> </v>
          </cell>
          <cell r="Y123" t="str">
            <v xml:space="preserve"> </v>
          </cell>
        </row>
        <row r="126">
          <cell r="E126" t="str">
            <v xml:space="preserve"> </v>
          </cell>
          <cell r="Y126" t="str">
            <v xml:space="preserve"> </v>
          </cell>
        </row>
        <row r="127">
          <cell r="E127" t="str">
            <v xml:space="preserve"> </v>
          </cell>
          <cell r="Y127" t="str">
            <v xml:space="preserve"> </v>
          </cell>
        </row>
        <row r="128">
          <cell r="E128" t="str">
            <v xml:space="preserve"> </v>
          </cell>
          <cell r="Y128" t="str">
            <v xml:space="preserve"> </v>
          </cell>
        </row>
        <row r="129">
          <cell r="E129" t="str">
            <v xml:space="preserve"> </v>
          </cell>
          <cell r="Y129" t="str">
            <v xml:space="preserve"> </v>
          </cell>
        </row>
        <row r="132">
          <cell r="E132" t="str">
            <v xml:space="preserve"> </v>
          </cell>
          <cell r="Y132" t="str">
            <v xml:space="preserve"> </v>
          </cell>
        </row>
        <row r="133">
          <cell r="E133" t="str">
            <v xml:space="preserve"> </v>
          </cell>
          <cell r="Y133" t="str">
            <v xml:space="preserve"> </v>
          </cell>
        </row>
        <row r="134">
          <cell r="E134" t="str">
            <v xml:space="preserve"> </v>
          </cell>
          <cell r="Y134" t="str">
            <v xml:space="preserve"> </v>
          </cell>
        </row>
        <row r="135">
          <cell r="E135" t="str">
            <v xml:space="preserve"> </v>
          </cell>
          <cell r="Y135" t="str">
            <v xml:space="preserve"> </v>
          </cell>
        </row>
        <row r="138">
          <cell r="E138" t="str">
            <v xml:space="preserve"> </v>
          </cell>
          <cell r="Y138" t="str">
            <v xml:space="preserve"> </v>
          </cell>
        </row>
        <row r="139">
          <cell r="E139" t="str">
            <v xml:space="preserve"> </v>
          </cell>
          <cell r="Y139" t="str">
            <v xml:space="preserve"> </v>
          </cell>
        </row>
        <row r="140">
          <cell r="E140" t="str">
            <v xml:space="preserve"> </v>
          </cell>
          <cell r="Y140" t="str">
            <v xml:space="preserve"> </v>
          </cell>
        </row>
        <row r="141">
          <cell r="E141" t="str">
            <v xml:space="preserve"> </v>
          </cell>
          <cell r="Y141" t="str">
            <v xml:space="preserve"> </v>
          </cell>
        </row>
        <row r="144">
          <cell r="E144" t="str">
            <v xml:space="preserve"> </v>
          </cell>
          <cell r="Y144" t="str">
            <v xml:space="preserve"> </v>
          </cell>
        </row>
        <row r="145">
          <cell r="E145" t="str">
            <v xml:space="preserve"> </v>
          </cell>
          <cell r="Y145" t="str">
            <v xml:space="preserve"> </v>
          </cell>
        </row>
        <row r="146">
          <cell r="E146" t="str">
            <v xml:space="preserve"> </v>
          </cell>
          <cell r="Y146" t="str">
            <v xml:space="preserve"> </v>
          </cell>
        </row>
        <row r="147">
          <cell r="E147" t="str">
            <v xml:space="preserve"> </v>
          </cell>
          <cell r="Y147" t="str">
            <v xml:space="preserve"> </v>
          </cell>
        </row>
        <row r="150">
          <cell r="E150" t="str">
            <v xml:space="preserve"> </v>
          </cell>
          <cell r="Y150" t="str">
            <v xml:space="preserve"> </v>
          </cell>
        </row>
        <row r="151">
          <cell r="E151" t="str">
            <v xml:space="preserve"> </v>
          </cell>
          <cell r="Y151" t="str">
            <v xml:space="preserve"> </v>
          </cell>
        </row>
        <row r="152">
          <cell r="E152" t="str">
            <v xml:space="preserve"> </v>
          </cell>
          <cell r="Y152" t="str">
            <v xml:space="preserve"> </v>
          </cell>
        </row>
        <row r="153">
          <cell r="E153" t="str">
            <v xml:space="preserve"> </v>
          </cell>
          <cell r="Y153" t="str">
            <v xml:space="preserve"> </v>
          </cell>
        </row>
        <row r="156">
          <cell r="E156" t="str">
            <v xml:space="preserve"> </v>
          </cell>
          <cell r="Y156" t="str">
            <v xml:space="preserve"> </v>
          </cell>
        </row>
        <row r="157">
          <cell r="E157" t="str">
            <v xml:space="preserve"> </v>
          </cell>
          <cell r="Y157" t="str">
            <v xml:space="preserve"> </v>
          </cell>
        </row>
        <row r="158">
          <cell r="E158" t="str">
            <v xml:space="preserve"> </v>
          </cell>
          <cell r="Y158" t="str">
            <v xml:space="preserve"> </v>
          </cell>
        </row>
        <row r="159">
          <cell r="E159" t="str">
            <v xml:space="preserve"> </v>
          </cell>
          <cell r="Y159" t="str">
            <v xml:space="preserve"> </v>
          </cell>
        </row>
        <row r="162">
          <cell r="E162" t="str">
            <v xml:space="preserve"> </v>
          </cell>
          <cell r="Y162" t="str">
            <v xml:space="preserve"> </v>
          </cell>
        </row>
        <row r="163">
          <cell r="E163" t="str">
            <v xml:space="preserve"> </v>
          </cell>
          <cell r="Y163" t="str">
            <v xml:space="preserve"> </v>
          </cell>
        </row>
        <row r="164">
          <cell r="E164" t="str">
            <v xml:space="preserve"> </v>
          </cell>
          <cell r="Y164" t="str">
            <v xml:space="preserve"> </v>
          </cell>
        </row>
        <row r="165">
          <cell r="E165" t="str">
            <v xml:space="preserve"> </v>
          </cell>
          <cell r="Y165" t="str">
            <v xml:space="preserve"> </v>
          </cell>
        </row>
        <row r="168">
          <cell r="E168" t="str">
            <v xml:space="preserve"> </v>
          </cell>
          <cell r="Y168" t="str">
            <v xml:space="preserve"> </v>
          </cell>
        </row>
        <row r="169">
          <cell r="E169" t="str">
            <v xml:space="preserve"> </v>
          </cell>
          <cell r="Y169" t="str">
            <v xml:space="preserve"> </v>
          </cell>
        </row>
        <row r="170">
          <cell r="E170" t="str">
            <v xml:space="preserve"> </v>
          </cell>
          <cell r="Y170" t="str">
            <v xml:space="preserve"> </v>
          </cell>
        </row>
        <row r="171">
          <cell r="E171" t="str">
            <v xml:space="preserve"> </v>
          </cell>
          <cell r="Y171" t="str">
            <v xml:space="preserve"> </v>
          </cell>
        </row>
        <row r="174">
          <cell r="E174" t="str">
            <v xml:space="preserve"> </v>
          </cell>
          <cell r="Y174" t="str">
            <v xml:space="preserve"> </v>
          </cell>
        </row>
        <row r="175">
          <cell r="E175" t="str">
            <v xml:space="preserve"> </v>
          </cell>
          <cell r="Y175" t="str">
            <v xml:space="preserve"> </v>
          </cell>
        </row>
        <row r="176">
          <cell r="E176" t="str">
            <v xml:space="preserve"> </v>
          </cell>
          <cell r="Y176" t="str">
            <v xml:space="preserve"> </v>
          </cell>
        </row>
        <row r="177">
          <cell r="E177" t="str">
            <v xml:space="preserve"> </v>
          </cell>
          <cell r="Y177" t="str">
            <v xml:space="preserve"> </v>
          </cell>
        </row>
        <row r="180">
          <cell r="E180" t="str">
            <v xml:space="preserve"> </v>
          </cell>
          <cell r="Y180" t="str">
            <v xml:space="preserve"> </v>
          </cell>
        </row>
        <row r="181">
          <cell r="E181" t="str">
            <v xml:space="preserve"> </v>
          </cell>
          <cell r="Y181" t="str">
            <v xml:space="preserve"> </v>
          </cell>
        </row>
        <row r="182">
          <cell r="E182" t="str">
            <v xml:space="preserve"> </v>
          </cell>
          <cell r="Y182" t="str">
            <v xml:space="preserve"> </v>
          </cell>
        </row>
        <row r="183">
          <cell r="E183" t="str">
            <v xml:space="preserve"> </v>
          </cell>
          <cell r="Y183" t="str">
            <v xml:space="preserve"> </v>
          </cell>
        </row>
        <row r="186">
          <cell r="E186" t="str">
            <v xml:space="preserve"> </v>
          </cell>
          <cell r="Y186" t="str">
            <v xml:space="preserve"> </v>
          </cell>
        </row>
        <row r="187">
          <cell r="E187" t="str">
            <v xml:space="preserve"> </v>
          </cell>
          <cell r="Y187" t="str">
            <v xml:space="preserve"> </v>
          </cell>
        </row>
        <row r="188">
          <cell r="E188" t="str">
            <v xml:space="preserve"> </v>
          </cell>
          <cell r="Y188" t="str">
            <v xml:space="preserve"> </v>
          </cell>
        </row>
        <row r="189">
          <cell r="E189" t="str">
            <v xml:space="preserve"> </v>
          </cell>
          <cell r="Y189" t="str">
            <v xml:space="preserve"> </v>
          </cell>
        </row>
        <row r="192">
          <cell r="E192" t="str">
            <v xml:space="preserve"> </v>
          </cell>
          <cell r="Y192" t="str">
            <v xml:space="preserve"> </v>
          </cell>
        </row>
        <row r="193">
          <cell r="E193" t="str">
            <v xml:space="preserve"> </v>
          </cell>
          <cell r="Y193" t="str">
            <v xml:space="preserve"> </v>
          </cell>
        </row>
        <row r="194">
          <cell r="E194" t="str">
            <v xml:space="preserve"> </v>
          </cell>
          <cell r="Y194" t="str">
            <v xml:space="preserve"> </v>
          </cell>
        </row>
        <row r="195">
          <cell r="E195" t="str">
            <v xml:space="preserve"> </v>
          </cell>
          <cell r="Y195" t="str">
            <v xml:space="preserve"> </v>
          </cell>
        </row>
        <row r="198">
          <cell r="E198" t="str">
            <v xml:space="preserve"> </v>
          </cell>
          <cell r="Y198" t="str">
            <v xml:space="preserve"> </v>
          </cell>
        </row>
        <row r="199">
          <cell r="E199" t="str">
            <v xml:space="preserve"> </v>
          </cell>
          <cell r="Y199" t="str">
            <v xml:space="preserve"> </v>
          </cell>
        </row>
        <row r="200">
          <cell r="E200" t="str">
            <v xml:space="preserve"> </v>
          </cell>
          <cell r="Y200" t="str">
            <v xml:space="preserve"> </v>
          </cell>
        </row>
        <row r="201">
          <cell r="E201" t="str">
            <v xml:space="preserve"> </v>
          </cell>
          <cell r="Y201" t="str">
            <v xml:space="preserve"> </v>
          </cell>
        </row>
        <row r="204">
          <cell r="E204" t="str">
            <v xml:space="preserve"> </v>
          </cell>
          <cell r="Y204" t="str">
            <v xml:space="preserve"> </v>
          </cell>
        </row>
        <row r="205">
          <cell r="E205" t="str">
            <v xml:space="preserve"> </v>
          </cell>
          <cell r="Y205" t="str">
            <v xml:space="preserve"> </v>
          </cell>
        </row>
        <row r="206">
          <cell r="E206" t="str">
            <v xml:space="preserve"> </v>
          </cell>
          <cell r="Y206" t="str">
            <v xml:space="preserve"> </v>
          </cell>
        </row>
        <row r="207">
          <cell r="E207" t="str">
            <v xml:space="preserve"> </v>
          </cell>
          <cell r="Y207" t="str">
            <v xml:space="preserve"> </v>
          </cell>
        </row>
        <row r="210">
          <cell r="E210" t="str">
            <v xml:space="preserve"> </v>
          </cell>
          <cell r="Y210" t="str">
            <v xml:space="preserve"> </v>
          </cell>
        </row>
        <row r="211">
          <cell r="E211" t="str">
            <v xml:space="preserve"> </v>
          </cell>
          <cell r="Y211" t="str">
            <v xml:space="preserve"> </v>
          </cell>
        </row>
        <row r="212">
          <cell r="E212" t="str">
            <v xml:space="preserve"> </v>
          </cell>
          <cell r="Y212" t="str">
            <v xml:space="preserve"> </v>
          </cell>
        </row>
        <row r="213">
          <cell r="E213" t="str">
            <v xml:space="preserve"> </v>
          </cell>
          <cell r="Y213" t="str">
            <v xml:space="preserve"> </v>
          </cell>
        </row>
        <row r="216">
          <cell r="E216" t="str">
            <v xml:space="preserve"> </v>
          </cell>
          <cell r="Y216" t="str">
            <v xml:space="preserve"> </v>
          </cell>
        </row>
        <row r="217">
          <cell r="E217" t="str">
            <v xml:space="preserve"> </v>
          </cell>
          <cell r="Y217" t="str">
            <v xml:space="preserve"> </v>
          </cell>
        </row>
        <row r="218">
          <cell r="E218" t="str">
            <v xml:space="preserve"> </v>
          </cell>
          <cell r="Y218" t="str">
            <v xml:space="preserve"> </v>
          </cell>
        </row>
        <row r="219">
          <cell r="E219" t="str">
            <v xml:space="preserve"> </v>
          </cell>
          <cell r="Y219" t="str">
            <v xml:space="preserve"> </v>
          </cell>
        </row>
        <row r="222">
          <cell r="E222" t="str">
            <v xml:space="preserve"> </v>
          </cell>
          <cell r="Y222" t="str">
            <v xml:space="preserve"> </v>
          </cell>
        </row>
        <row r="223">
          <cell r="E223" t="str">
            <v xml:space="preserve"> </v>
          </cell>
          <cell r="Y223" t="str">
            <v xml:space="preserve"> </v>
          </cell>
        </row>
        <row r="224">
          <cell r="E224" t="str">
            <v xml:space="preserve"> </v>
          </cell>
          <cell r="Y224" t="str">
            <v xml:space="preserve"> </v>
          </cell>
        </row>
        <row r="225">
          <cell r="E225" t="str">
            <v xml:space="preserve"> </v>
          </cell>
          <cell r="Y225" t="str">
            <v xml:space="preserve"> </v>
          </cell>
        </row>
        <row r="228">
          <cell r="E228" t="str">
            <v xml:space="preserve"> </v>
          </cell>
          <cell r="Y228" t="str">
            <v xml:space="preserve"> </v>
          </cell>
        </row>
        <row r="229">
          <cell r="E229" t="str">
            <v xml:space="preserve"> </v>
          </cell>
          <cell r="Y229" t="str">
            <v xml:space="preserve"> </v>
          </cell>
        </row>
        <row r="230">
          <cell r="E230" t="str">
            <v xml:space="preserve"> </v>
          </cell>
          <cell r="Y230" t="str">
            <v xml:space="preserve"> </v>
          </cell>
        </row>
        <row r="231">
          <cell r="E231" t="str">
            <v xml:space="preserve"> </v>
          </cell>
          <cell r="Y231" t="str">
            <v xml:space="preserve"> </v>
          </cell>
        </row>
        <row r="234">
          <cell r="E234" t="str">
            <v xml:space="preserve"> </v>
          </cell>
          <cell r="Y234" t="str">
            <v xml:space="preserve"> </v>
          </cell>
        </row>
        <row r="235">
          <cell r="E235" t="str">
            <v xml:space="preserve"> </v>
          </cell>
          <cell r="Y235" t="str">
            <v xml:space="preserve"> </v>
          </cell>
        </row>
        <row r="236">
          <cell r="E236" t="str">
            <v xml:space="preserve"> </v>
          </cell>
          <cell r="Y236" t="str">
            <v xml:space="preserve"> </v>
          </cell>
        </row>
        <row r="237">
          <cell r="E237" t="str">
            <v xml:space="preserve"> </v>
          </cell>
          <cell r="Y237" t="str">
            <v xml:space="preserve"> </v>
          </cell>
        </row>
        <row r="240">
          <cell r="E240" t="str">
            <v xml:space="preserve"> </v>
          </cell>
          <cell r="Y240" t="str">
            <v xml:space="preserve"> </v>
          </cell>
        </row>
        <row r="241">
          <cell r="E241" t="str">
            <v xml:space="preserve"> </v>
          </cell>
          <cell r="Y241" t="str">
            <v xml:space="preserve"> </v>
          </cell>
        </row>
        <row r="242">
          <cell r="E242" t="str">
            <v xml:space="preserve"> </v>
          </cell>
          <cell r="Y242" t="str">
            <v xml:space="preserve"> </v>
          </cell>
        </row>
        <row r="243">
          <cell r="E243" t="str">
            <v xml:space="preserve"> </v>
          </cell>
          <cell r="Y243" t="str">
            <v xml:space="preserve"> </v>
          </cell>
        </row>
        <row r="246">
          <cell r="E246" t="str">
            <v xml:space="preserve"> </v>
          </cell>
          <cell r="Y246" t="str">
            <v xml:space="preserve"> </v>
          </cell>
        </row>
        <row r="247">
          <cell r="E247" t="str">
            <v xml:space="preserve"> </v>
          </cell>
          <cell r="Y247" t="str">
            <v xml:space="preserve"> </v>
          </cell>
        </row>
        <row r="248">
          <cell r="E248" t="str">
            <v xml:space="preserve"> </v>
          </cell>
          <cell r="Y248" t="str">
            <v xml:space="preserve"> </v>
          </cell>
        </row>
        <row r="249">
          <cell r="E249" t="str">
            <v xml:space="preserve"> </v>
          </cell>
          <cell r="Y249" t="str">
            <v xml:space="preserve"> </v>
          </cell>
        </row>
        <row r="252">
          <cell r="E252" t="str">
            <v xml:space="preserve"> </v>
          </cell>
          <cell r="Y252" t="str">
            <v xml:space="preserve"> </v>
          </cell>
        </row>
        <row r="253">
          <cell r="E253" t="str">
            <v xml:space="preserve"> </v>
          </cell>
          <cell r="Y253" t="str">
            <v xml:space="preserve"> </v>
          </cell>
        </row>
        <row r="254">
          <cell r="E254" t="str">
            <v xml:space="preserve"> </v>
          </cell>
          <cell r="Y254" t="str">
            <v xml:space="preserve"> </v>
          </cell>
        </row>
        <row r="255">
          <cell r="E255" t="str">
            <v xml:space="preserve"> </v>
          </cell>
          <cell r="Y255" t="str">
            <v xml:space="preserve"> </v>
          </cell>
        </row>
        <row r="258">
          <cell r="E258" t="str">
            <v xml:space="preserve"> </v>
          </cell>
          <cell r="Y258" t="str">
            <v xml:space="preserve"> </v>
          </cell>
        </row>
        <row r="259">
          <cell r="E259" t="str">
            <v xml:space="preserve"> </v>
          </cell>
          <cell r="Y259" t="str">
            <v xml:space="preserve"> </v>
          </cell>
        </row>
        <row r="260">
          <cell r="E260" t="str">
            <v xml:space="preserve"> </v>
          </cell>
          <cell r="Y260" t="str">
            <v xml:space="preserve"> </v>
          </cell>
        </row>
        <row r="261">
          <cell r="E261" t="str">
            <v xml:space="preserve"> </v>
          </cell>
          <cell r="Y261" t="str">
            <v xml:space="preserve"> </v>
          </cell>
        </row>
        <row r="264">
          <cell r="E264" t="str">
            <v xml:space="preserve"> </v>
          </cell>
          <cell r="Y264" t="str">
            <v xml:space="preserve"> </v>
          </cell>
        </row>
        <row r="265">
          <cell r="E265" t="str">
            <v xml:space="preserve"> </v>
          </cell>
          <cell r="Y265" t="str">
            <v xml:space="preserve"> </v>
          </cell>
        </row>
        <row r="266">
          <cell r="E266" t="str">
            <v xml:space="preserve"> </v>
          </cell>
          <cell r="Y266" t="str">
            <v xml:space="preserve"> </v>
          </cell>
        </row>
        <row r="267">
          <cell r="E267" t="str">
            <v xml:space="preserve"> </v>
          </cell>
          <cell r="Y267" t="str">
            <v xml:space="preserve"> </v>
          </cell>
        </row>
        <row r="270">
          <cell r="E270" t="str">
            <v xml:space="preserve"> </v>
          </cell>
          <cell r="Y270" t="str">
            <v xml:space="preserve"> </v>
          </cell>
        </row>
        <row r="271">
          <cell r="E271" t="str">
            <v xml:space="preserve"> </v>
          </cell>
          <cell r="Y271" t="str">
            <v xml:space="preserve"> </v>
          </cell>
        </row>
        <row r="272">
          <cell r="E272" t="str">
            <v xml:space="preserve"> </v>
          </cell>
          <cell r="Y272" t="str">
            <v xml:space="preserve"> </v>
          </cell>
        </row>
        <row r="273">
          <cell r="E273" t="str">
            <v xml:space="preserve"> </v>
          </cell>
          <cell r="Y273" t="str">
            <v xml:space="preserve"> </v>
          </cell>
        </row>
        <row r="276">
          <cell r="E276" t="str">
            <v xml:space="preserve"> </v>
          </cell>
          <cell r="Y276" t="str">
            <v xml:space="preserve"> </v>
          </cell>
        </row>
        <row r="277">
          <cell r="E277" t="str">
            <v xml:space="preserve"> </v>
          </cell>
          <cell r="Y277" t="str">
            <v xml:space="preserve"> </v>
          </cell>
        </row>
        <row r="278">
          <cell r="E278" t="str">
            <v xml:space="preserve"> </v>
          </cell>
          <cell r="Y278" t="str">
            <v xml:space="preserve"> </v>
          </cell>
        </row>
        <row r="279">
          <cell r="E279" t="str">
            <v xml:space="preserve"> </v>
          </cell>
          <cell r="Y279" t="str">
            <v xml:space="preserve"> </v>
          </cell>
        </row>
        <row r="282">
          <cell r="E282" t="str">
            <v xml:space="preserve"> </v>
          </cell>
          <cell r="Y282" t="str">
            <v xml:space="preserve"> </v>
          </cell>
        </row>
        <row r="283">
          <cell r="E283" t="str">
            <v xml:space="preserve"> </v>
          </cell>
          <cell r="Y283" t="str">
            <v xml:space="preserve"> </v>
          </cell>
        </row>
        <row r="284">
          <cell r="E284" t="str">
            <v xml:space="preserve"> </v>
          </cell>
          <cell r="Y284" t="str">
            <v xml:space="preserve"> </v>
          </cell>
        </row>
        <row r="285">
          <cell r="E285" t="str">
            <v xml:space="preserve"> </v>
          </cell>
          <cell r="Y285" t="str">
            <v xml:space="preserve"> </v>
          </cell>
        </row>
        <row r="288">
          <cell r="E288" t="str">
            <v xml:space="preserve"> </v>
          </cell>
          <cell r="Y288" t="str">
            <v xml:space="preserve"> </v>
          </cell>
        </row>
        <row r="289">
          <cell r="E289" t="str">
            <v xml:space="preserve"> </v>
          </cell>
          <cell r="Y289" t="str">
            <v xml:space="preserve"> </v>
          </cell>
        </row>
        <row r="290">
          <cell r="E290" t="str">
            <v xml:space="preserve"> </v>
          </cell>
          <cell r="Y290" t="str">
            <v xml:space="preserve"> </v>
          </cell>
        </row>
        <row r="291">
          <cell r="E291" t="str">
            <v xml:space="preserve"> </v>
          </cell>
          <cell r="Y291" t="str">
            <v xml:space="preserve"> </v>
          </cell>
        </row>
        <row r="294">
          <cell r="E294" t="str">
            <v xml:space="preserve"> </v>
          </cell>
          <cell r="Y294" t="str">
            <v xml:space="preserve"> </v>
          </cell>
        </row>
        <row r="295">
          <cell r="E295" t="str">
            <v xml:space="preserve"> </v>
          </cell>
          <cell r="Y295" t="str">
            <v xml:space="preserve"> </v>
          </cell>
        </row>
        <row r="296">
          <cell r="E296" t="str">
            <v xml:space="preserve"> </v>
          </cell>
          <cell r="Y296" t="str">
            <v xml:space="preserve"> </v>
          </cell>
        </row>
        <row r="297">
          <cell r="E297" t="str">
            <v xml:space="preserve"> </v>
          </cell>
          <cell r="Y297" t="str">
            <v xml:space="preserve"> </v>
          </cell>
        </row>
        <row r="300">
          <cell r="E300" t="str">
            <v xml:space="preserve"> </v>
          </cell>
          <cell r="Y300" t="str">
            <v xml:space="preserve"> </v>
          </cell>
        </row>
        <row r="301">
          <cell r="E301" t="str">
            <v xml:space="preserve"> </v>
          </cell>
          <cell r="Y301" t="str">
            <v xml:space="preserve"> </v>
          </cell>
        </row>
        <row r="302">
          <cell r="E302" t="str">
            <v xml:space="preserve"> </v>
          </cell>
          <cell r="Y302" t="str">
            <v xml:space="preserve"> </v>
          </cell>
        </row>
        <row r="303">
          <cell r="E303" t="str">
            <v xml:space="preserve"> </v>
          </cell>
          <cell r="Y303" t="str">
            <v xml:space="preserve">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Dokument_aplikace_Microsoft_Office_Word_97-_20031.doc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I2:M19"/>
  <sheetViews>
    <sheetView workbookViewId="0">
      <selection activeCell="C23" sqref="C23"/>
    </sheetView>
  </sheetViews>
  <sheetFormatPr defaultRowHeight="15"/>
  <sheetData>
    <row r="2" spans="10:10">
      <c r="J2" t="s">
        <v>508</v>
      </c>
    </row>
    <row r="3" spans="10:10">
      <c r="J3" t="s">
        <v>509</v>
      </c>
    </row>
    <row r="17" spans="9:13">
      <c r="I17" s="282"/>
      <c r="J17" s="282" t="s">
        <v>398</v>
      </c>
      <c r="K17" s="282"/>
      <c r="L17" s="282"/>
      <c r="M17" s="282"/>
    </row>
    <row r="18" spans="9:13">
      <c r="I18" s="282"/>
      <c r="J18" s="282"/>
      <c r="K18" s="282"/>
      <c r="L18" s="282"/>
      <c r="M18" s="282"/>
    </row>
    <row r="19" spans="9:13">
      <c r="I19" s="282" t="s">
        <v>513</v>
      </c>
      <c r="K19" s="282"/>
      <c r="L19" s="282"/>
      <c r="M19" s="283">
        <v>41006</v>
      </c>
    </row>
  </sheetData>
  <pageMargins left="0.7" right="0.7" top="0.75" bottom="0.75" header="0.3" footer="0.3"/>
  <pageSetup paperSize="9" orientation="portrait" horizontalDpi="300" verticalDpi="300" r:id="rId1"/>
  <legacyDrawing r:id="rId2"/>
  <oleObjects>
    <oleObject progId="Word.Document.8" dvAspect="DVASPECT_ICON" shapeId="11268" r:id="rId3"/>
  </oleObjects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G387"/>
  <sheetViews>
    <sheetView showGridLines="0" tabSelected="1" view="pageBreakPreview" zoomScale="40" zoomScaleSheetLayoutView="40" workbookViewId="0">
      <selection activeCell="H34" sqref="H34"/>
    </sheetView>
  </sheetViews>
  <sheetFormatPr defaultRowHeight="18" customHeight="1"/>
  <cols>
    <col min="1" max="1" width="11.7109375" style="49" customWidth="1"/>
    <col min="2" max="2" width="9.42578125" style="417" customWidth="1"/>
    <col min="3" max="3" width="6" style="100" customWidth="1"/>
    <col min="4" max="4" width="7.5703125" style="101" customWidth="1"/>
    <col min="5" max="5" width="58.42578125" style="105" customWidth="1"/>
    <col min="6" max="6" width="62.140625" style="101" customWidth="1"/>
    <col min="7" max="7" width="60.7109375" style="101" customWidth="1"/>
    <col min="8" max="8" width="58.140625" style="101" customWidth="1"/>
    <col min="9" max="9" width="60.42578125" style="101" customWidth="1"/>
    <col min="10" max="10" width="40.7109375" style="101" customWidth="1"/>
    <col min="11" max="11" width="40.7109375" style="49" customWidth="1"/>
    <col min="12" max="12" width="24.140625" style="51" customWidth="1"/>
    <col min="13" max="13" width="24.140625" style="49" customWidth="1"/>
    <col min="14" max="14" width="4.7109375" style="52" customWidth="1"/>
    <col min="15" max="15" width="6.140625" style="49" customWidth="1"/>
    <col min="16" max="16" width="9.140625" style="52"/>
    <col min="17" max="17" width="9.140625" style="49"/>
    <col min="18" max="18" width="10.42578125" style="58" bestFit="1" customWidth="1"/>
    <col min="19" max="19" width="27.140625" style="58" customWidth="1"/>
    <col min="20" max="20" width="14.5703125" style="55" bestFit="1" customWidth="1"/>
    <col min="21" max="21" width="9.140625" style="170"/>
    <col min="22" max="22" width="29.7109375" style="169" customWidth="1"/>
    <col min="23" max="26" width="9.140625" style="169"/>
    <col min="27" max="27" width="9.140625" style="170"/>
    <col min="28" max="28" width="9.140625" style="171"/>
    <col min="29" max="29" width="6.28515625" style="172" customWidth="1"/>
    <col min="30" max="30" width="10.42578125" style="171" bestFit="1" customWidth="1"/>
    <col min="31" max="31" width="27.140625" style="58" customWidth="1"/>
    <col min="32" max="38" width="9.140625" style="55"/>
    <col min="39" max="39" width="9.140625" style="56"/>
    <col min="40" max="40" width="9.140625" style="58" customWidth="1"/>
    <col min="41" max="41" width="5" style="53" customWidth="1"/>
    <col min="42" max="42" width="10.42578125" style="50" bestFit="1" customWidth="1"/>
    <col min="43" max="43" width="27.140625" style="50" customWidth="1"/>
    <col min="44" max="50" width="9.140625" style="53"/>
    <col min="51" max="51" width="9.140625" style="54"/>
    <col min="52" max="52" width="9.140625" style="50"/>
    <col min="53" max="53" width="9.140625" style="53"/>
    <col min="54" max="54" width="10.42578125" style="50" bestFit="1" customWidth="1"/>
    <col min="55" max="55" width="27.140625" style="50" customWidth="1"/>
    <col min="56" max="62" width="9.140625" style="53"/>
    <col min="63" max="63" width="9.140625" style="54"/>
    <col min="64" max="65" width="9.140625" style="50"/>
    <col min="66" max="68" width="9.140625" style="55"/>
    <col min="69" max="69" width="9.140625" style="56"/>
    <col min="70" max="70" width="9.140625" style="55"/>
    <col min="71" max="71" width="9.140625" style="57"/>
    <col min="72" max="72" width="10.42578125" style="58" bestFit="1" customWidth="1"/>
    <col min="73" max="73" width="11.140625" style="58" customWidth="1"/>
    <col min="74" max="80" width="9.140625" style="55"/>
    <col min="81" max="81" width="9.140625" style="56"/>
    <col min="82" max="82" width="9.140625" style="55"/>
    <col min="83" max="83" width="9.140625" style="57"/>
    <col min="84" max="84" width="12.7109375" style="58" customWidth="1"/>
    <col min="85" max="85" width="27.140625" style="58" customWidth="1"/>
    <col min="86" max="92" width="9.140625" style="55"/>
    <col min="93" max="93" width="9.140625" style="56"/>
    <col min="94" max="94" width="9.140625" style="55"/>
    <col min="95" max="103" width="9.140625" style="49"/>
    <col min="104" max="111" width="9.140625" style="59"/>
    <col min="112" max="16384" width="9.140625" style="49"/>
  </cols>
  <sheetData>
    <row r="1" spans="1:111" s="226" customFormat="1" ht="90" customHeight="1">
      <c r="B1" s="417"/>
      <c r="C1" s="227"/>
      <c r="D1" s="228"/>
      <c r="E1" s="228"/>
      <c r="F1" s="229"/>
      <c r="G1" s="245" t="s">
        <v>115</v>
      </c>
      <c r="H1" s="356">
        <v>16</v>
      </c>
      <c r="I1" s="245" t="s">
        <v>116</v>
      </c>
      <c r="J1" s="246" t="s">
        <v>499</v>
      </c>
      <c r="K1" s="232"/>
      <c r="L1" s="231"/>
      <c r="N1" s="232"/>
      <c r="P1" s="232"/>
      <c r="R1" s="233"/>
      <c r="S1" s="233"/>
      <c r="T1" s="234"/>
      <c r="U1" s="235"/>
      <c r="V1" s="236"/>
      <c r="W1" s="236"/>
      <c r="X1" s="236"/>
      <c r="Y1" s="236"/>
      <c r="Z1" s="236"/>
      <c r="AA1" s="235"/>
      <c r="AB1" s="237"/>
      <c r="AC1" s="238"/>
      <c r="AD1" s="237"/>
      <c r="AE1" s="233"/>
      <c r="AF1" s="234"/>
      <c r="AG1" s="234"/>
      <c r="AH1" s="234"/>
      <c r="AI1" s="234"/>
      <c r="AJ1" s="234"/>
      <c r="AK1" s="234"/>
      <c r="AL1" s="234"/>
      <c r="AM1" s="239"/>
      <c r="AN1" s="233"/>
      <c r="AO1" s="240"/>
      <c r="AP1" s="241"/>
      <c r="AQ1" s="241"/>
      <c r="AR1" s="240"/>
      <c r="AS1" s="240"/>
      <c r="AT1" s="240"/>
      <c r="AU1" s="240"/>
      <c r="AV1" s="240"/>
      <c r="AW1" s="240"/>
      <c r="AX1" s="240"/>
      <c r="AY1" s="242"/>
      <c r="AZ1" s="241"/>
      <c r="BA1" s="240"/>
      <c r="BB1" s="241"/>
      <c r="BC1" s="241"/>
      <c r="BD1" s="240"/>
      <c r="BE1" s="240"/>
      <c r="BF1" s="240"/>
      <c r="BG1" s="240"/>
      <c r="BH1" s="240"/>
      <c r="BI1" s="240"/>
      <c r="BJ1" s="240"/>
      <c r="BK1" s="242"/>
      <c r="BL1" s="241"/>
      <c r="BM1" s="241"/>
      <c r="BN1" s="234"/>
      <c r="BO1" s="234"/>
      <c r="BP1" s="234"/>
      <c r="BQ1" s="239"/>
      <c r="BR1" s="234"/>
      <c r="BS1" s="243"/>
      <c r="BT1" s="233"/>
      <c r="BU1" s="233"/>
      <c r="BV1" s="234"/>
      <c r="BW1" s="234"/>
      <c r="BX1" s="234"/>
      <c r="BY1" s="234"/>
      <c r="BZ1" s="234"/>
      <c r="CA1" s="234"/>
      <c r="CB1" s="234"/>
      <c r="CC1" s="239"/>
      <c r="CD1" s="234"/>
      <c r="CE1" s="243"/>
      <c r="CF1" s="233"/>
      <c r="CG1" s="233"/>
      <c r="CH1" s="234"/>
      <c r="CI1" s="234"/>
      <c r="CJ1" s="234"/>
      <c r="CK1" s="234"/>
      <c r="CL1" s="234"/>
      <c r="CM1" s="234"/>
      <c r="CN1" s="234"/>
      <c r="CO1" s="239"/>
      <c r="CP1" s="234"/>
      <c r="CZ1" s="244"/>
      <c r="DA1" s="244"/>
      <c r="DB1" s="244"/>
      <c r="DC1" s="244"/>
      <c r="DD1" s="244"/>
      <c r="DE1" s="244"/>
      <c r="DF1" s="244"/>
      <c r="DG1" s="244"/>
    </row>
    <row r="2" spans="1:111" ht="45" customHeight="1">
      <c r="C2" s="412" t="str">
        <f>CONCATENATE("Majstrovstvá Slovenska jednotlivcov, kategória ",'startova listina'!D3,", ročník ",'startova listina'!I3,", dvojhra chlapcov -2. stupeň")</f>
        <v>Majstrovstvá Slovenska jednotlivcov, kategória Mladší žiaci, ročník 2014, dvojhra chlapcov -2. stupeň</v>
      </c>
      <c r="D2" s="296"/>
      <c r="E2" s="297"/>
      <c r="F2" s="298"/>
    </row>
    <row r="3" spans="1:111" ht="39.950000000000003" customHeight="1" thickBot="1">
      <c r="B3" s="417" t="s">
        <v>117</v>
      </c>
      <c r="H3" s="105"/>
      <c r="I3" s="105"/>
      <c r="J3" s="105"/>
      <c r="K3" s="52"/>
      <c r="L3" s="60"/>
      <c r="M3" s="52"/>
      <c r="CZ3" s="59">
        <v>16</v>
      </c>
      <c r="DA3" s="59">
        <v>15</v>
      </c>
      <c r="DB3" s="59">
        <v>14</v>
      </c>
      <c r="DC3" s="59">
        <v>13</v>
      </c>
      <c r="DD3" s="59">
        <v>12</v>
      </c>
      <c r="DE3" s="59">
        <v>11</v>
      </c>
      <c r="DF3" s="59">
        <v>10</v>
      </c>
      <c r="DG3" s="59">
        <v>9</v>
      </c>
    </row>
    <row r="4" spans="1:111" ht="50.25" customHeight="1" thickBot="1">
      <c r="A4" s="49" t="s">
        <v>155</v>
      </c>
      <c r="B4" s="539"/>
      <c r="C4" s="537" t="str">
        <f>IF(H1="nespravny pavuk","xx","A1")</f>
        <v>A1</v>
      </c>
      <c r="D4" s="538">
        <v>1</v>
      </c>
      <c r="E4" s="135" t="str">
        <f>IF(ISERROR(IF($J$1="n","",IF($J$1="a",VLOOKUP(C4,'poradie v skupinach'!$A$5:$C$37,2),"")))=TRUE,"",IF($J$1="n","",IF($J$1="a",VLOOKUP(C4,'poradie v skupinach'!$A$5:$C$37,2),"")))</f>
        <v>DIKO Dalibor</v>
      </c>
      <c r="F4" s="108" t="str">
        <f>IF(ISERROR(IF($J$1="n","",IF($J$1="a",VLOOKUP(C4,'poradie v skupinach'!$A$5:$C$37,3),"")))=TRUE,"",IF($J$1="n","",IF($J$1="a",VLOOKUP(C4,'poradie v skupinach'!$A$5:$C$37,3),"")))</f>
        <v>TJ ORAVAN NÁMESTOVO</v>
      </c>
      <c r="G4" s="109"/>
      <c r="H4" s="106"/>
      <c r="I4" s="110"/>
      <c r="J4" s="110"/>
      <c r="K4" s="57"/>
      <c r="L4" s="60" t="str">
        <f>A4</f>
        <v>CHP11</v>
      </c>
      <c r="M4" s="52" t="str">
        <f>E4</f>
        <v>DIKO Dalibor</v>
      </c>
      <c r="T4" s="55">
        <f>IF(OR(ISERROR(V4)=TRUE,V4=0,V4="x",V4="",V4=" "),0,1)</f>
        <v>1</v>
      </c>
      <c r="U4" s="170">
        <v>1</v>
      </c>
      <c r="V4" s="169" t="str">
        <f>J19</f>
        <v>PINDURA Tobiáš</v>
      </c>
      <c r="BS4" s="55" t="s">
        <v>118</v>
      </c>
      <c r="BT4" s="58" t="s">
        <v>119</v>
      </c>
      <c r="CW4" s="61">
        <v>9</v>
      </c>
      <c r="CX4" s="62">
        <v>14</v>
      </c>
      <c r="CY4" s="49">
        <v>1</v>
      </c>
      <c r="CZ4" s="59" t="s">
        <v>120</v>
      </c>
      <c r="DA4" s="59" t="s">
        <v>120</v>
      </c>
      <c r="DB4" s="59" t="s">
        <v>120</v>
      </c>
      <c r="DC4" s="59" t="s">
        <v>120</v>
      </c>
      <c r="DD4" s="59" t="s">
        <v>120</v>
      </c>
      <c r="DE4" s="59" t="s">
        <v>120</v>
      </c>
      <c r="DF4" s="59" t="s">
        <v>120</v>
      </c>
      <c r="DG4" s="59" t="s">
        <v>120</v>
      </c>
    </row>
    <row r="5" spans="1:111" ht="60" customHeight="1" thickBot="1">
      <c r="A5" s="49" t="s">
        <v>193</v>
      </c>
      <c r="B5" s="539"/>
      <c r="C5" s="537"/>
      <c r="D5" s="538"/>
      <c r="E5" s="111" t="str">
        <f>VLOOKUP($A4,'zapisy k stolom'!$Y$5:$AC$3073,5,0)</f>
        <v>Tbl.: 1   H: 16.00   D: So</v>
      </c>
      <c r="F5" s="112" t="s">
        <v>147</v>
      </c>
      <c r="G5" s="113" t="str">
        <f>IF(C4="x",E6,IF(C6="x",E4,VLOOKUP($A4,'zapisy k stolom'!$Y$5:$AC$3073,3,0)))</f>
        <v>DIKO Dalibor</v>
      </c>
      <c r="H5" s="109"/>
      <c r="I5" s="110"/>
      <c r="J5" s="110"/>
      <c r="K5" s="57"/>
      <c r="L5" s="60" t="str">
        <f t="shared" ref="L5:L34" si="0">A5</f>
        <v>CHP91</v>
      </c>
      <c r="M5" s="52" t="str">
        <f>G5</f>
        <v>DIKO Dalibor</v>
      </c>
      <c r="R5" s="63"/>
      <c r="S5" s="64"/>
      <c r="T5" s="55">
        <f>IF(OR(ISERROR(V5)=TRUE,V5=0,V5="x",V5="",V5=" "),T4,T4+1)</f>
        <v>2</v>
      </c>
      <c r="U5" s="170">
        <v>2</v>
      </c>
      <c r="V5" s="169" t="str">
        <f>IF(J19=I11,I27,I11)</f>
        <v>DIKO Dalibor</v>
      </c>
      <c r="Y5" s="173"/>
      <c r="Z5" s="173"/>
      <c r="AA5" s="173"/>
      <c r="AD5" s="174"/>
      <c r="AE5" s="64"/>
      <c r="AK5" s="531"/>
      <c r="AL5" s="531"/>
      <c r="AM5" s="531"/>
      <c r="BO5" s="531"/>
      <c r="BP5" s="531"/>
      <c r="BQ5" s="531"/>
      <c r="BR5" s="49">
        <f>IF(BS5="x",0,1)</f>
        <v>1</v>
      </c>
      <c r="BS5" s="57" t="str">
        <f>IF(G5=E4,E6,E4)</f>
        <v>ĎANOVSKÝ Martin</v>
      </c>
      <c r="BT5" s="63"/>
      <c r="BU5" s="64"/>
      <c r="CA5" s="531"/>
      <c r="CB5" s="531"/>
      <c r="CC5" s="531"/>
      <c r="CF5" s="63"/>
      <c r="CG5" s="64"/>
      <c r="CM5" s="531"/>
      <c r="CN5" s="531"/>
      <c r="CO5" s="531"/>
      <c r="CW5" s="65">
        <v>10</v>
      </c>
      <c r="CX5" s="66">
        <v>11</v>
      </c>
      <c r="CY5" s="49">
        <v>2</v>
      </c>
      <c r="CZ5" s="59" t="s">
        <v>120</v>
      </c>
      <c r="DA5" s="59" t="s">
        <v>121</v>
      </c>
      <c r="DB5" s="59" t="s">
        <v>121</v>
      </c>
      <c r="DC5" s="59" t="s">
        <v>121</v>
      </c>
      <c r="DD5" s="59" t="s">
        <v>121</v>
      </c>
      <c r="DE5" s="59" t="s">
        <v>121</v>
      </c>
      <c r="DF5" s="59" t="s">
        <v>121</v>
      </c>
      <c r="DG5" s="59" t="s">
        <v>121</v>
      </c>
    </row>
    <row r="6" spans="1:111" ht="60" customHeight="1" thickBot="1">
      <c r="A6" s="49" t="s">
        <v>160</v>
      </c>
      <c r="B6" s="536">
        <v>3</v>
      </c>
      <c r="C6" s="537" t="s">
        <v>97</v>
      </c>
      <c r="D6" s="538">
        <v>2</v>
      </c>
      <c r="E6" s="108" t="str">
        <f>IF(ISERROR(IF($J$1="n","",IF($J$1="a",VLOOKUP(C6,'poradie v skupinach'!$A$5:$C$37,2),"")))=TRUE,"",IF($J$1="n","",IF($J$1="a",VLOOKUP(C6,'poradie v skupinach'!$A$5:$C$37,2),"")))</f>
        <v>ĎANOVSKÝ Martin</v>
      </c>
      <c r="F6" s="114" t="str">
        <f>IF(ISERROR(IF($J$1="n","",IF($J$1="a",VLOOKUP(C6,'poradie v skupinach'!$A$5:$C$37,3),"")))=TRUE,"",IF($J$1="n","",IF($J$1="a",VLOOKUP(C6,'poradie v skupinach'!$A$5:$C$37,3),"")))</f>
        <v>LOKOMOTÍVA VRÚTKY</v>
      </c>
      <c r="G6" s="115" t="str">
        <f>IF(G5="","",IF(OR(C4="x",C6="x"),"",VLOOKUP($A4,'zapisy k stolom'!$Y$5:$AC$3073,4,0)))</f>
        <v xml:space="preserve">3:0 ( 9,10,9,,,, ) </v>
      </c>
      <c r="H6" s="116"/>
      <c r="I6" s="110"/>
      <c r="J6" s="110"/>
      <c r="K6" s="57"/>
      <c r="L6" s="60" t="str">
        <f t="shared" si="0"/>
        <v>CHP12</v>
      </c>
      <c r="M6" s="52" t="str">
        <f>E6</f>
        <v>ĎANOVSKÝ Martin</v>
      </c>
      <c r="R6" s="70"/>
      <c r="T6" s="55">
        <f t="shared" ref="T6:T19" si="1">IF(OR(ISERROR(V6)=TRUE,V6=0,V6="x",V6="",V6=" "),T5,T5+1)</f>
        <v>3</v>
      </c>
      <c r="U6" s="170">
        <v>3</v>
      </c>
      <c r="V6" s="169" t="str">
        <f>IF(I11=H7,H15,H7)</f>
        <v>FEČO Samuel</v>
      </c>
      <c r="W6" s="170"/>
      <c r="X6" s="170"/>
      <c r="Y6" s="170"/>
      <c r="AD6" s="175"/>
      <c r="AG6" s="56"/>
      <c r="AH6" s="56"/>
      <c r="AI6" s="56"/>
      <c r="AJ6" s="56"/>
      <c r="AK6" s="56"/>
      <c r="BN6" s="56"/>
      <c r="BO6" s="56"/>
      <c r="BR6" s="49"/>
      <c r="BT6" s="70"/>
      <c r="BW6" s="56"/>
      <c r="BX6" s="56"/>
      <c r="BY6" s="56"/>
      <c r="BZ6" s="56"/>
      <c r="CA6" s="56"/>
      <c r="CF6" s="70"/>
      <c r="CI6" s="56"/>
      <c r="CJ6" s="56"/>
      <c r="CK6" s="56"/>
      <c r="CL6" s="56"/>
      <c r="CM6" s="56"/>
      <c r="CW6" s="65">
        <v>11</v>
      </c>
      <c r="CX6" s="66">
        <v>6</v>
      </c>
      <c r="CY6" s="49">
        <v>3</v>
      </c>
      <c r="CZ6" s="59" t="s">
        <v>120</v>
      </c>
      <c r="DA6" s="59" t="s">
        <v>120</v>
      </c>
      <c r="DB6" s="59" t="s">
        <v>120</v>
      </c>
      <c r="DC6" s="59" t="s">
        <v>120</v>
      </c>
      <c r="DD6" s="59" t="s">
        <v>120</v>
      </c>
      <c r="DE6" s="59" t="s">
        <v>120</v>
      </c>
      <c r="DF6" s="59" t="s">
        <v>120</v>
      </c>
      <c r="DG6" s="59" t="s">
        <v>120</v>
      </c>
    </row>
    <row r="7" spans="1:111" ht="60" customHeight="1" thickBot="1">
      <c r="A7" s="49" t="s">
        <v>194</v>
      </c>
      <c r="B7" s="536"/>
      <c r="C7" s="537"/>
      <c r="D7" s="538"/>
      <c r="G7" s="117" t="s">
        <v>148</v>
      </c>
      <c r="H7" s="118" t="str">
        <f>VLOOKUP($A5,'zapisy k stolom'!$Y$5:$AC$3073,3,0)</f>
        <v>DIKO Dalibor</v>
      </c>
      <c r="I7" s="109"/>
      <c r="J7" s="109"/>
      <c r="K7" s="57"/>
      <c r="L7" s="60" t="str">
        <f t="shared" si="0"/>
        <v>CHP131</v>
      </c>
      <c r="M7" s="52" t="str">
        <f>H7</f>
        <v>DIKO Dalibor</v>
      </c>
      <c r="R7" s="63"/>
      <c r="T7" s="55">
        <f t="shared" si="1"/>
        <v>4</v>
      </c>
      <c r="U7" s="170">
        <v>4</v>
      </c>
      <c r="V7" s="169" t="str">
        <f>IF(I27=H23,H31,H23)</f>
        <v>KYSEL Martin</v>
      </c>
      <c r="W7" s="170"/>
      <c r="X7" s="170"/>
      <c r="Y7" s="170"/>
      <c r="AD7" s="174"/>
      <c r="AG7" s="56"/>
      <c r="AH7" s="56"/>
      <c r="AI7" s="56"/>
      <c r="AJ7" s="56"/>
      <c r="AK7" s="56"/>
      <c r="BN7" s="56"/>
      <c r="BO7" s="56"/>
      <c r="BR7" s="49"/>
      <c r="BT7" s="72" t="str">
        <f>IF(H7=G5,G9,G5)</f>
        <v>CYPRICH Samuel</v>
      </c>
      <c r="BW7" s="56"/>
      <c r="BX7" s="56"/>
      <c r="BY7" s="56"/>
      <c r="BZ7" s="56"/>
      <c r="CA7" s="56"/>
      <c r="CF7" s="63"/>
      <c r="CI7" s="56"/>
      <c r="CJ7" s="56"/>
      <c r="CK7" s="56"/>
      <c r="CL7" s="56"/>
      <c r="CM7" s="56"/>
      <c r="CW7" s="65">
        <v>12</v>
      </c>
      <c r="CX7" s="66">
        <v>7</v>
      </c>
      <c r="CY7" s="49">
        <v>4</v>
      </c>
      <c r="CZ7" s="59" t="s">
        <v>120</v>
      </c>
      <c r="DA7" s="59" t="s">
        <v>120</v>
      </c>
      <c r="DB7" s="59" t="s">
        <v>120</v>
      </c>
      <c r="DC7" s="59" t="s">
        <v>120</v>
      </c>
      <c r="DD7" s="59" t="s">
        <v>120</v>
      </c>
      <c r="DE7" s="59" t="s">
        <v>120</v>
      </c>
      <c r="DF7" s="59" t="s">
        <v>120</v>
      </c>
      <c r="DG7" s="59" t="s">
        <v>120</v>
      </c>
    </row>
    <row r="8" spans="1:111" ht="60" customHeight="1" thickBot="1">
      <c r="A8" s="49" t="s">
        <v>195</v>
      </c>
      <c r="B8" s="536">
        <v>3</v>
      </c>
      <c r="C8" s="537" t="s">
        <v>85</v>
      </c>
      <c r="D8" s="538">
        <v>3</v>
      </c>
      <c r="E8" s="135" t="str">
        <f>IF(ISERROR(IF($J$1="n","",IF($J$1="a",VLOOKUP(C8,'poradie v skupinach'!$A$5:$C$37,2),"")))=TRUE,"",IF($J$1="n","",IF($J$1="a",VLOOKUP(C8,'poradie v skupinach'!$A$5:$C$37,2),"")))</f>
        <v>SUCHA Tomáš</v>
      </c>
      <c r="F8" s="108" t="str">
        <f>IF(ISERROR(IF($J$1="n","",IF($J$1="a",VLOOKUP(C8,'poradie v skupinach'!$A$5:$C$37,3),"")))=TRUE,"",IF($J$1="n","",IF($J$1="a",VLOOKUP(C8,'poradie v skupinach'!$A$5:$C$37,3),"")))</f>
        <v>ŠKST KARLOVA VES</v>
      </c>
      <c r="G8" s="119" t="str">
        <f>VLOOKUP($A5,'zapisy k stolom'!$Y$5:$AC$3073,5,0)</f>
        <v>Tbl.: 1   H: 16.30   D: So</v>
      </c>
      <c r="H8" s="120" t="str">
        <f>IF(H7="","",VLOOKUP($A5,'zapisy k stolom'!$Y$5:$AC$3073,4,0))</f>
        <v xml:space="preserve">3:0 ( 9,7,14,,,, ) </v>
      </c>
      <c r="I8" s="116"/>
      <c r="J8" s="110"/>
      <c r="K8" s="57"/>
      <c r="L8" s="60" t="str">
        <f t="shared" si="0"/>
        <v>CHP21</v>
      </c>
      <c r="M8" s="52" t="str">
        <f>E8</f>
        <v>SUCHA Tomáš</v>
      </c>
      <c r="R8" s="63"/>
      <c r="T8" s="55">
        <f t="shared" si="1"/>
        <v>5</v>
      </c>
      <c r="U8" s="170">
        <v>5</v>
      </c>
      <c r="V8" s="169" t="str">
        <f>IF(H7=G5,G9,G5)</f>
        <v>CYPRICH Samuel</v>
      </c>
      <c r="W8" s="170"/>
      <c r="X8" s="170"/>
      <c r="Y8" s="170"/>
      <c r="AD8" s="174"/>
      <c r="AG8" s="56"/>
      <c r="AH8" s="56"/>
      <c r="AI8" s="56"/>
      <c r="AJ8" s="56"/>
      <c r="AK8" s="56"/>
      <c r="BN8" s="56"/>
      <c r="BO8" s="56"/>
      <c r="BR8" s="49"/>
      <c r="BT8" s="63"/>
      <c r="BW8" s="56"/>
      <c r="BX8" s="56"/>
      <c r="BY8" s="56"/>
      <c r="BZ8" s="56"/>
      <c r="CA8" s="56"/>
      <c r="CF8" s="63"/>
      <c r="CI8" s="56"/>
      <c r="CJ8" s="56"/>
      <c r="CK8" s="56"/>
      <c r="CL8" s="56"/>
      <c r="CM8" s="56"/>
      <c r="CW8" s="65">
        <v>13</v>
      </c>
      <c r="CX8" s="66">
        <v>10</v>
      </c>
      <c r="CY8" s="49">
        <v>5</v>
      </c>
      <c r="CZ8" s="59" t="s">
        <v>120</v>
      </c>
      <c r="DA8" s="59" t="s">
        <v>120</v>
      </c>
      <c r="DB8" s="59" t="s">
        <v>120</v>
      </c>
      <c r="DC8" s="59" t="s">
        <v>120</v>
      </c>
      <c r="DD8" s="59" t="s">
        <v>120</v>
      </c>
      <c r="DE8" s="59" t="s">
        <v>120</v>
      </c>
      <c r="DF8" s="59" t="s">
        <v>120</v>
      </c>
      <c r="DG8" s="59" t="s">
        <v>120</v>
      </c>
    </row>
    <row r="9" spans="1:111" ht="60" customHeight="1" thickBot="1">
      <c r="A9" s="49" t="s">
        <v>196</v>
      </c>
      <c r="B9" s="536"/>
      <c r="C9" s="537"/>
      <c r="D9" s="538"/>
      <c r="E9" s="111" t="str">
        <f>VLOOKUP($A8,'zapisy k stolom'!$Y$5:$AC$3073,5,0)</f>
        <v>Tbl.: 2   H: 16.00   D: So</v>
      </c>
      <c r="F9" s="117" t="s">
        <v>149</v>
      </c>
      <c r="G9" s="121" t="str">
        <f>IF(C8="x",E10,IF(C10="x",E8,VLOOKUP($A8,'zapisy k stolom'!$Y$5:$AC$3073,3,0)))</f>
        <v>CYPRICH Samuel</v>
      </c>
      <c r="H9" s="116"/>
      <c r="I9" s="116"/>
      <c r="J9" s="110"/>
      <c r="K9" s="57"/>
      <c r="L9" s="60" t="str">
        <f t="shared" si="0"/>
        <v>CHP92</v>
      </c>
      <c r="M9" s="52" t="str">
        <f>G9</f>
        <v>CYPRICH Samuel</v>
      </c>
      <c r="R9" s="63"/>
      <c r="T9" s="55">
        <f t="shared" si="1"/>
        <v>6</v>
      </c>
      <c r="U9" s="170">
        <v>6</v>
      </c>
      <c r="V9" s="169" t="str">
        <f>IF(H15=G13,G17,G13)</f>
        <v>HURKA Rastislav</v>
      </c>
      <c r="W9" s="170"/>
      <c r="X9" s="170"/>
      <c r="Y9" s="170"/>
      <c r="AD9" s="174"/>
      <c r="AG9" s="56"/>
      <c r="AH9" s="56"/>
      <c r="AI9" s="56"/>
      <c r="AJ9" s="56"/>
      <c r="AK9" s="56"/>
      <c r="BN9" s="56"/>
      <c r="BO9" s="56"/>
      <c r="BR9" s="49">
        <f>IF(BS9="x",0,MAX(BR$5:$BR8)+1)</f>
        <v>2</v>
      </c>
      <c r="BS9" s="57" t="str">
        <f>IF(G9=E8,E10,E8)</f>
        <v>SUCHA Tomáš</v>
      </c>
      <c r="BT9" s="63"/>
      <c r="BW9" s="56"/>
      <c r="BX9" s="56"/>
      <c r="BY9" s="56"/>
      <c r="BZ9" s="56"/>
      <c r="CA9" s="56"/>
      <c r="CF9" s="63"/>
      <c r="CI9" s="56"/>
      <c r="CJ9" s="56"/>
      <c r="CK9" s="56"/>
      <c r="CL9" s="56"/>
      <c r="CM9" s="56"/>
      <c r="CW9" s="65">
        <v>14</v>
      </c>
      <c r="CX9" s="66">
        <v>15</v>
      </c>
      <c r="CY9" s="49">
        <v>6</v>
      </c>
      <c r="CZ9" s="59" t="s">
        <v>120</v>
      </c>
      <c r="DA9" s="59" t="s">
        <v>120</v>
      </c>
      <c r="DB9" s="59" t="s">
        <v>120</v>
      </c>
      <c r="DC9" s="59" t="s">
        <v>120</v>
      </c>
      <c r="DD9" s="59" t="s">
        <v>120</v>
      </c>
      <c r="DE9" s="59" t="s">
        <v>121</v>
      </c>
      <c r="DF9" s="59" t="s">
        <v>121</v>
      </c>
      <c r="DG9" s="59" t="s">
        <v>121</v>
      </c>
    </row>
    <row r="10" spans="1:111" ht="60" customHeight="1" thickBot="1">
      <c r="A10" s="49" t="s">
        <v>197</v>
      </c>
      <c r="B10" s="541">
        <v>2</v>
      </c>
      <c r="C10" s="537" t="s">
        <v>100</v>
      </c>
      <c r="D10" s="538">
        <v>4</v>
      </c>
      <c r="E10" s="108" t="str">
        <f>IF(ISERROR(IF($J$1="n","",IF($J$1="a",VLOOKUP(C10,'poradie v skupinach'!$A$5:$C$37,2),"")))=TRUE,"",IF($J$1="n","",IF($J$1="a",VLOOKUP(C10,'poradie v skupinach'!$A$5:$C$37,2),"")))</f>
        <v>CYPRICH Samuel</v>
      </c>
      <c r="F10" s="114" t="str">
        <f>IF(ISERROR(IF($J$1="n","",IF($J$1="a",VLOOKUP(C10,'poradie v skupinach'!$A$5:$C$37,3),"")))=TRUE,"",IF($J$1="n","",IF($J$1="a",VLOOKUP(C10,'poradie v skupinach'!$A$5:$C$37,3),"")))</f>
        <v>MSK ČADCA</v>
      </c>
      <c r="G10" s="144" t="str">
        <f>IF(G9="","",IF(OR(C8="x",C10="x"),"",VLOOKUP($A8,'zapisy k stolom'!$Y$5:$AC$3073,4,0)))</f>
        <v xml:space="preserve">3:0 ( 6,4,5,,,, ) </v>
      </c>
      <c r="H10" s="110"/>
      <c r="I10" s="116"/>
      <c r="J10" s="110"/>
      <c r="K10" s="57"/>
      <c r="L10" s="60" t="str">
        <f t="shared" si="0"/>
        <v>CHP22</v>
      </c>
      <c r="M10" s="52" t="str">
        <f>E10</f>
        <v>CYPRICH Samuel</v>
      </c>
      <c r="T10" s="55">
        <f t="shared" si="1"/>
        <v>7</v>
      </c>
      <c r="U10" s="170">
        <v>7</v>
      </c>
      <c r="V10" s="169" t="str">
        <f>IF(H23=G21,G25,G21)</f>
        <v>PETRÍK Filip</v>
      </c>
      <c r="BR10" s="49"/>
      <c r="CW10" s="65">
        <v>15</v>
      </c>
      <c r="CX10" s="66">
        <v>2</v>
      </c>
      <c r="CY10" s="49">
        <v>7</v>
      </c>
      <c r="CZ10" s="59" t="s">
        <v>120</v>
      </c>
      <c r="DA10" s="59" t="s">
        <v>120</v>
      </c>
      <c r="DB10" s="59" t="s">
        <v>120</v>
      </c>
      <c r="DC10" s="59" t="s">
        <v>120</v>
      </c>
      <c r="DD10" s="59" t="s">
        <v>121</v>
      </c>
      <c r="DE10" s="59" t="s">
        <v>121</v>
      </c>
      <c r="DF10" s="59" t="s">
        <v>121</v>
      </c>
      <c r="DG10" s="59" t="s">
        <v>121</v>
      </c>
    </row>
    <row r="11" spans="1:111" ht="60" customHeight="1" thickBot="1">
      <c r="A11" s="49" t="s">
        <v>198</v>
      </c>
      <c r="B11" s="541"/>
      <c r="C11" s="537"/>
      <c r="D11" s="538"/>
      <c r="G11" s="106"/>
      <c r="H11" s="122" t="s">
        <v>151</v>
      </c>
      <c r="I11" s="123" t="str">
        <f>VLOOKUP($A7,'zapisy k stolom'!$Y$5:$AC$3073,3,0)</f>
        <v>DIKO Dalibor</v>
      </c>
      <c r="J11" s="109"/>
      <c r="K11" s="71"/>
      <c r="L11" s="60" t="str">
        <f t="shared" si="0"/>
        <v>CHP151</v>
      </c>
      <c r="M11" s="52" t="str">
        <f>I11</f>
        <v>DIKO Dalibor</v>
      </c>
      <c r="R11" s="63"/>
      <c r="S11" s="64"/>
      <c r="T11" s="55">
        <f t="shared" si="1"/>
        <v>8</v>
      </c>
      <c r="U11" s="170">
        <v>8</v>
      </c>
      <c r="V11" s="169" t="str">
        <f>IF(H31=G29,G33,G29)</f>
        <v>KLAJBER Adam</v>
      </c>
      <c r="Y11" s="173"/>
      <c r="Z11" s="173"/>
      <c r="AA11" s="173"/>
      <c r="AD11" s="174"/>
      <c r="AE11" s="64"/>
      <c r="AK11" s="531"/>
      <c r="AL11" s="531"/>
      <c r="AM11" s="531"/>
      <c r="BO11" s="531"/>
      <c r="BP11" s="531"/>
      <c r="BQ11" s="531"/>
      <c r="BR11" s="49"/>
      <c r="BT11" s="63"/>
      <c r="BU11" s="64"/>
      <c r="CA11" s="531"/>
      <c r="CB11" s="531"/>
      <c r="CC11" s="531"/>
      <c r="CF11" s="73"/>
      <c r="CG11" s="64"/>
      <c r="CM11" s="531"/>
      <c r="CN11" s="531"/>
      <c r="CO11" s="531"/>
      <c r="CW11" s="74">
        <v>16</v>
      </c>
      <c r="CX11" s="75">
        <v>0</v>
      </c>
      <c r="CY11" s="49">
        <v>8</v>
      </c>
      <c r="CZ11" s="59" t="s">
        <v>120</v>
      </c>
      <c r="DA11" s="59" t="s">
        <v>120</v>
      </c>
      <c r="DB11" s="59" t="s">
        <v>120</v>
      </c>
      <c r="DC11" s="59" t="s">
        <v>120</v>
      </c>
      <c r="DD11" s="59" t="s">
        <v>120</v>
      </c>
      <c r="DE11" s="59" t="s">
        <v>120</v>
      </c>
      <c r="DF11" s="59" t="s">
        <v>120</v>
      </c>
      <c r="DG11" s="59" t="s">
        <v>120</v>
      </c>
    </row>
    <row r="12" spans="1:111" ht="60" customHeight="1" thickBot="1">
      <c r="A12" s="49" t="s">
        <v>199</v>
      </c>
      <c r="B12" s="541">
        <v>2</v>
      </c>
      <c r="C12" s="537" t="s">
        <v>108</v>
      </c>
      <c r="D12" s="538">
        <v>5</v>
      </c>
      <c r="E12" s="135" t="str">
        <f>IF(ISERROR(IF($J$1="n","",IF($J$1="a",VLOOKUP(C12,'poradie v skupinach'!$A$5:$C$37,2),"")))=TRUE,"",IF($J$1="n","",IF($J$1="a",VLOOKUP(C12,'poradie v skupinach'!$A$5:$C$37,2),"")))</f>
        <v>PAPÁNEK Martin</v>
      </c>
      <c r="F12" s="108" t="str">
        <f>IF(ISERROR(IF($J$1="n","",IF($J$1="a",VLOOKUP(C12,'poradie v skupinach'!$A$5:$C$37,3),"")))=TRUE,"",IF($J$1="n","",IF($J$1="a",VLOOKUP(C12,'poradie v skupinach'!$A$5:$C$37,3),"")))</f>
        <v>STK NOVÁ BAŇA/PODLUŽANY</v>
      </c>
      <c r="G12" s="109"/>
      <c r="H12" s="124" t="str">
        <f>VLOOKUP($A7,'zapisy k stolom'!$Y$5:$AC$3073,5,0)</f>
        <v>Tbl.: 1   H: 10.00   D: Ne</v>
      </c>
      <c r="I12" s="110" t="str">
        <f>IF(I11="","",VLOOKUP($A7,'zapisy k stolom'!$Y$5:$AC$3073,4,0))</f>
        <v xml:space="preserve">3:1 ( 8,-8,6,10,,, ) </v>
      </c>
      <c r="J12" s="116"/>
      <c r="K12" s="57"/>
      <c r="L12" s="60" t="str">
        <f t="shared" si="0"/>
        <v>CHP31</v>
      </c>
      <c r="M12" s="52" t="str">
        <f>E12</f>
        <v>PAPÁNEK Martin</v>
      </c>
      <c r="R12" s="63"/>
      <c r="T12" s="55">
        <f t="shared" si="1"/>
        <v>9</v>
      </c>
      <c r="U12" s="170">
        <v>9</v>
      </c>
      <c r="V12" s="169" t="str">
        <f>IF(G5=E4,E6,E4)</f>
        <v>ĎANOVSKÝ Martin</v>
      </c>
      <c r="W12" s="170"/>
      <c r="X12" s="170"/>
      <c r="Y12" s="170"/>
      <c r="AD12" s="174"/>
      <c r="AG12" s="56"/>
      <c r="AH12" s="56"/>
      <c r="AI12" s="56"/>
      <c r="AJ12" s="56"/>
      <c r="AK12" s="56"/>
      <c r="BN12" s="56"/>
      <c r="BO12" s="56"/>
      <c r="BR12" s="49"/>
      <c r="BT12" s="63"/>
      <c r="BW12" s="56"/>
      <c r="BX12" s="56"/>
      <c r="BY12" s="56"/>
      <c r="BZ12" s="56"/>
      <c r="CA12" s="56"/>
      <c r="CF12" s="63"/>
      <c r="CI12" s="56"/>
      <c r="CJ12" s="56"/>
      <c r="CK12" s="56"/>
      <c r="CL12" s="56"/>
      <c r="CM12" s="56"/>
      <c r="CY12" s="49">
        <v>9</v>
      </c>
      <c r="CZ12" s="59" t="s">
        <v>120</v>
      </c>
      <c r="DA12" s="59" t="s">
        <v>120</v>
      </c>
      <c r="DB12" s="59" t="s">
        <v>120</v>
      </c>
      <c r="DC12" s="59" t="s">
        <v>120</v>
      </c>
      <c r="DD12" s="59" t="s">
        <v>120</v>
      </c>
      <c r="DE12" s="59" t="s">
        <v>120</v>
      </c>
      <c r="DF12" s="59" t="s">
        <v>120</v>
      </c>
      <c r="DG12" s="59" t="s">
        <v>120</v>
      </c>
    </row>
    <row r="13" spans="1:111" ht="60" customHeight="1" thickBot="1">
      <c r="A13" s="49" t="s">
        <v>200</v>
      </c>
      <c r="B13" s="541"/>
      <c r="C13" s="537"/>
      <c r="D13" s="538"/>
      <c r="E13" s="111" t="str">
        <f>VLOOKUP($A12,'zapisy k stolom'!$Y$5:$AC$3073,5,0)</f>
        <v>Tbl.: 3   H: 16.00   D: So</v>
      </c>
      <c r="F13" s="112" t="s">
        <v>150</v>
      </c>
      <c r="G13" s="113" t="str">
        <f>IF(C12="x",E14,IF(C14="x",E12,VLOOKUP($A12,'zapisy k stolom'!$Y$5:$AC$3073,3,0)))</f>
        <v>HURKA Rastislav</v>
      </c>
      <c r="H13" s="109"/>
      <c r="I13" s="116"/>
      <c r="J13" s="116"/>
      <c r="K13" s="57"/>
      <c r="L13" s="60" t="str">
        <f t="shared" si="0"/>
        <v>CHP101</v>
      </c>
      <c r="M13" s="52" t="str">
        <f>G13</f>
        <v>HURKA Rastislav</v>
      </c>
      <c r="R13" s="63"/>
      <c r="T13" s="55">
        <f t="shared" si="1"/>
        <v>10</v>
      </c>
      <c r="U13" s="170">
        <v>10</v>
      </c>
      <c r="V13" s="169" t="str">
        <f>IF(G9=E8,E10,E8)</f>
        <v>SUCHA Tomáš</v>
      </c>
      <c r="W13" s="170"/>
      <c r="X13" s="170"/>
      <c r="Y13" s="170"/>
      <c r="AD13" s="174"/>
      <c r="AG13" s="56"/>
      <c r="AH13" s="56"/>
      <c r="AI13" s="56"/>
      <c r="AJ13" s="56"/>
      <c r="AK13" s="56"/>
      <c r="BN13" s="56"/>
      <c r="BO13" s="56"/>
      <c r="BR13" s="49">
        <f>IF(BS13="x",0,MAX(BR$5:$BR12)+1)</f>
        <v>3</v>
      </c>
      <c r="BS13" s="57" t="str">
        <f>IF(G13=E12,E14,E12)</f>
        <v>PAPÁNEK Martin</v>
      </c>
      <c r="BT13" s="63"/>
      <c r="BW13" s="56"/>
      <c r="BX13" s="56"/>
      <c r="BY13" s="56"/>
      <c r="BZ13" s="56"/>
      <c r="CA13" s="56"/>
      <c r="CF13" s="63"/>
      <c r="CI13" s="56"/>
      <c r="CJ13" s="56"/>
      <c r="CK13" s="56"/>
      <c r="CL13" s="56"/>
      <c r="CM13" s="56"/>
      <c r="CY13" s="49">
        <v>10</v>
      </c>
      <c r="CZ13" s="59" t="s">
        <v>120</v>
      </c>
      <c r="DA13" s="59" t="s">
        <v>120</v>
      </c>
      <c r="DB13" s="59" t="s">
        <v>120</v>
      </c>
      <c r="DC13" s="59" t="s">
        <v>121</v>
      </c>
      <c r="DD13" s="59" t="s">
        <v>121</v>
      </c>
      <c r="DE13" s="59" t="s">
        <v>121</v>
      </c>
      <c r="DF13" s="59" t="s">
        <v>121</v>
      </c>
      <c r="DG13" s="59" t="s">
        <v>121</v>
      </c>
    </row>
    <row r="14" spans="1:111" ht="60" customHeight="1" thickBot="1">
      <c r="A14" s="49" t="s">
        <v>201</v>
      </c>
      <c r="B14" s="536">
        <v>3</v>
      </c>
      <c r="C14" s="537" t="s">
        <v>93</v>
      </c>
      <c r="D14" s="538">
        <v>6</v>
      </c>
      <c r="E14" s="108" t="str">
        <f>IF(ISERROR(IF($J$1="n","",IF($J$1="a",VLOOKUP(C14,'poradie v skupinach'!$A$5:$C$37,2),"")))=TRUE,"",IF($J$1="n","",IF($J$1="a",VLOOKUP(C14,'poradie v skupinach'!$A$5:$C$37,2),"")))</f>
        <v>HURKA Rastislav</v>
      </c>
      <c r="F14" s="114" t="str">
        <f>IF(ISERROR(IF($J$1="n","",IF($J$1="a",VLOOKUP(C14,'poradie v skupinach'!$A$5:$C$37,3),"")))=TRUE,"",IF($J$1="n","",IF($J$1="a",VLOOKUP(C14,'poradie v skupinach'!$A$5:$C$37,3),"")))</f>
        <v>STO VALALIKY</v>
      </c>
      <c r="G14" s="115" t="str">
        <f>IF(G13="","",IF(OR(C12="x",C14="x"),"",VLOOKUP($A12,'zapisy k stolom'!$Y$5:$AC$3073,4,0)))</f>
        <v xml:space="preserve">3:0 ( 7,7,3,,,, ) </v>
      </c>
      <c r="H14" s="116"/>
      <c r="I14" s="116"/>
      <c r="J14" s="116"/>
      <c r="K14" s="57"/>
      <c r="L14" s="60" t="str">
        <f t="shared" si="0"/>
        <v>CHP32</v>
      </c>
      <c r="M14" s="52" t="str">
        <f>E14</f>
        <v>HURKA Rastislav</v>
      </c>
      <c r="R14" s="63"/>
      <c r="T14" s="55">
        <f t="shared" si="1"/>
        <v>11</v>
      </c>
      <c r="U14" s="170">
        <v>11</v>
      </c>
      <c r="V14" s="169" t="str">
        <f>IF(G13=E12,E14,E12)</f>
        <v>PAPÁNEK Martin</v>
      </c>
      <c r="W14" s="170"/>
      <c r="X14" s="170"/>
      <c r="Y14" s="170"/>
      <c r="AD14" s="174"/>
      <c r="AG14" s="56"/>
      <c r="AH14" s="56"/>
      <c r="AI14" s="56"/>
      <c r="AJ14" s="56"/>
      <c r="AK14" s="56"/>
      <c r="BN14" s="56"/>
      <c r="BO14" s="56"/>
      <c r="BR14" s="49"/>
      <c r="BT14" s="63"/>
      <c r="BW14" s="56"/>
      <c r="BX14" s="56"/>
      <c r="BY14" s="56"/>
      <c r="BZ14" s="56"/>
      <c r="CA14" s="56"/>
      <c r="CF14" s="63"/>
      <c r="CI14" s="56"/>
      <c r="CJ14" s="56"/>
      <c r="CK14" s="56"/>
      <c r="CL14" s="56"/>
      <c r="CM14" s="56"/>
      <c r="CY14" s="49">
        <v>11</v>
      </c>
      <c r="CZ14" s="59" t="s">
        <v>120</v>
      </c>
      <c r="DA14" s="59" t="s">
        <v>120</v>
      </c>
      <c r="DB14" s="59" t="s">
        <v>120</v>
      </c>
      <c r="DC14" s="59" t="s">
        <v>120</v>
      </c>
      <c r="DD14" s="59" t="s">
        <v>120</v>
      </c>
      <c r="DE14" s="59" t="s">
        <v>120</v>
      </c>
      <c r="DF14" s="59" t="s">
        <v>121</v>
      </c>
      <c r="DG14" s="59" t="s">
        <v>121</v>
      </c>
    </row>
    <row r="15" spans="1:111" ht="60" customHeight="1" thickBot="1">
      <c r="A15" s="49" t="s">
        <v>202</v>
      </c>
      <c r="B15" s="536"/>
      <c r="C15" s="537"/>
      <c r="D15" s="538"/>
      <c r="G15" s="117" t="s">
        <v>152</v>
      </c>
      <c r="H15" s="121" t="str">
        <f>VLOOKUP($A13,'zapisy k stolom'!$Y$5:$AC$3073,3,0)</f>
        <v>FEČO Samuel</v>
      </c>
      <c r="I15" s="116"/>
      <c r="J15" s="116"/>
      <c r="K15" s="57"/>
      <c r="L15" s="60" t="str">
        <f t="shared" si="0"/>
        <v>CHP132</v>
      </c>
      <c r="M15" s="52" t="str">
        <f>H15</f>
        <v>FEČO Samuel</v>
      </c>
      <c r="R15" s="63"/>
      <c r="T15" s="55">
        <f t="shared" si="1"/>
        <v>12</v>
      </c>
      <c r="U15" s="170">
        <v>12</v>
      </c>
      <c r="V15" s="169" t="str">
        <f>IF(G17=E16,E18,E16)</f>
        <v>GREGOR Jakub</v>
      </c>
      <c r="W15" s="170"/>
      <c r="X15" s="170"/>
      <c r="Y15" s="170"/>
      <c r="AD15" s="174"/>
      <c r="AG15" s="56"/>
      <c r="AH15" s="56"/>
      <c r="AI15" s="56"/>
      <c r="AJ15" s="56"/>
      <c r="AK15" s="56"/>
      <c r="BN15" s="56"/>
      <c r="BO15" s="56"/>
      <c r="BR15" s="49"/>
      <c r="BT15" s="72" t="str">
        <f>IF(H15=G13,G17,G13)</f>
        <v>HURKA Rastislav</v>
      </c>
      <c r="BW15" s="56"/>
      <c r="BX15" s="56"/>
      <c r="BY15" s="56"/>
      <c r="BZ15" s="56"/>
      <c r="CA15" s="56"/>
      <c r="CF15" s="63"/>
      <c r="CI15" s="56"/>
      <c r="CJ15" s="56"/>
      <c r="CK15" s="56"/>
      <c r="CL15" s="56"/>
      <c r="CM15" s="56"/>
      <c r="CY15" s="49">
        <v>12</v>
      </c>
      <c r="CZ15" s="59" t="s">
        <v>120</v>
      </c>
      <c r="DA15" s="59" t="s">
        <v>120</v>
      </c>
      <c r="DB15" s="59" t="s">
        <v>120</v>
      </c>
      <c r="DC15" s="59" t="s">
        <v>120</v>
      </c>
      <c r="DD15" s="59" t="s">
        <v>120</v>
      </c>
      <c r="DE15" s="59" t="s">
        <v>120</v>
      </c>
      <c r="DF15" s="59" t="s">
        <v>120</v>
      </c>
      <c r="DG15" s="59" t="s">
        <v>120</v>
      </c>
    </row>
    <row r="16" spans="1:111" ht="60" customHeight="1" thickBot="1">
      <c r="A16" s="49" t="s">
        <v>203</v>
      </c>
      <c r="B16" s="536">
        <v>3</v>
      </c>
      <c r="C16" s="537" t="s">
        <v>105</v>
      </c>
      <c r="D16" s="538">
        <v>7</v>
      </c>
      <c r="E16" s="135" t="str">
        <f>IF(ISERROR(IF($J$1="n","",IF($J$1="a",VLOOKUP(C16,'poradie v skupinach'!$A$5:$C$37,2),"")))=TRUE,"",IF($J$1="n","",IF($J$1="a",VLOOKUP(C16,'poradie v skupinach'!$A$5:$C$37,2),"")))</f>
        <v>GREGOR Jakub</v>
      </c>
      <c r="F16" s="108" t="str">
        <f>IF(ISERROR(IF($J$1="n","",IF($J$1="a",VLOOKUP(C16,'poradie v skupinach'!$A$5:$C$37,3),"")))=TRUE,"",IF($J$1="n","",IF($J$1="a",VLOOKUP(C16,'poradie v skupinach'!$A$5:$C$37,3),"")))</f>
        <v>ŠKST KARLOVA VES</v>
      </c>
      <c r="G16" s="124" t="str">
        <f>VLOOKUP($A13,'zapisy k stolom'!$Y$5:$AC$3073,5,0)</f>
        <v>Tbl.: 2   H: 16.30   D: So</v>
      </c>
      <c r="H16" s="144" t="str">
        <f>IF(H15="","",VLOOKUP($A13,'zapisy k stolom'!$Y$5:$AC$3073,4,0))</f>
        <v xml:space="preserve">3:0 ( 9,9,9,,,, ) </v>
      </c>
      <c r="I16" s="110"/>
      <c r="J16" s="116"/>
      <c r="K16" s="57"/>
      <c r="L16" s="60" t="str">
        <f t="shared" si="0"/>
        <v>CHP41</v>
      </c>
      <c r="M16" s="52" t="str">
        <f>E16</f>
        <v>GREGOR Jakub</v>
      </c>
      <c r="P16" s="52" t="str">
        <f>IF(('[1]S 4'!$Y78=4),'[1]S 4'!$E78,IF(('[1]S 4'!$Y79=4),'[1]S 4'!$E79,IF(('[1]S 4'!$Y80=4),'[1]S 4'!$E80,IF(('[1]S 4'!$Y81=4),'[1]S 4'!$E81," "))))</f>
        <v xml:space="preserve"> </v>
      </c>
      <c r="T16" s="55">
        <f t="shared" si="1"/>
        <v>13</v>
      </c>
      <c r="U16" s="170">
        <v>13</v>
      </c>
      <c r="V16" s="169" t="str">
        <f>IF(G21=E20,E22,E20)</f>
        <v>MILAN Martin</v>
      </c>
      <c r="BR16" s="49"/>
      <c r="CY16" s="49">
        <v>13</v>
      </c>
      <c r="CZ16" s="59" t="s">
        <v>120</v>
      </c>
      <c r="DA16" s="59" t="s">
        <v>120</v>
      </c>
      <c r="DB16" s="59" t="s">
        <v>120</v>
      </c>
      <c r="DC16" s="59" t="s">
        <v>120</v>
      </c>
      <c r="DD16" s="59" t="s">
        <v>120</v>
      </c>
      <c r="DE16" s="59" t="s">
        <v>120</v>
      </c>
      <c r="DF16" s="59" t="s">
        <v>120</v>
      </c>
      <c r="DG16" s="59" t="s">
        <v>120</v>
      </c>
    </row>
    <row r="17" spans="1:111" ht="60" customHeight="1" thickBot="1">
      <c r="A17" s="49" t="s">
        <v>204</v>
      </c>
      <c r="B17" s="536"/>
      <c r="C17" s="537"/>
      <c r="D17" s="538"/>
      <c r="E17" s="111" t="str">
        <f>VLOOKUP($A16,'zapisy k stolom'!$Y$5:$AC$3073,5,0)</f>
        <v>Tbl.: 4   H: 16.00   D: So</v>
      </c>
      <c r="F17" s="117" t="s">
        <v>153</v>
      </c>
      <c r="G17" s="125" t="str">
        <f>IF(C16="x",E18,IF(C18="x",E16,VLOOKUP($A16,'zapisy k stolom'!$Y$5:$AC$3073,3,0)))</f>
        <v>FEČO Samuel</v>
      </c>
      <c r="H17" s="110"/>
      <c r="I17" s="110"/>
      <c r="J17" s="116"/>
      <c r="K17" s="57"/>
      <c r="L17" s="60" t="str">
        <f t="shared" si="0"/>
        <v>CHP102</v>
      </c>
      <c r="M17" s="52" t="str">
        <f>G17</f>
        <v>FEČO Samuel</v>
      </c>
      <c r="P17" s="52" t="str">
        <f>IF(('[1]S 4'!$Y84=4),'[1]S 4'!$E84,IF(('[1]S 4'!$Y85=4),'[1]S 4'!$E85,IF(('[1]S 4'!$Y86=4),'[1]S 4'!$E86,IF(('[1]S 4'!$Y87=4),'[1]S 4'!$E87," "))))</f>
        <v xml:space="preserve"> </v>
      </c>
      <c r="R17" s="63"/>
      <c r="S17" s="64"/>
      <c r="T17" s="55">
        <f t="shared" si="1"/>
        <v>14</v>
      </c>
      <c r="U17" s="170">
        <v>14</v>
      </c>
      <c r="V17" s="169" t="str">
        <f>IF(G25=E24,E26,E24)</f>
        <v>FUSEK Patrik</v>
      </c>
      <c r="Y17" s="173"/>
      <c r="Z17" s="173"/>
      <c r="AA17" s="173"/>
      <c r="AD17" s="174"/>
      <c r="AE17" s="64"/>
      <c r="AK17" s="531"/>
      <c r="AL17" s="531"/>
      <c r="AM17" s="531"/>
      <c r="BB17" s="76"/>
      <c r="BC17" s="77"/>
      <c r="BD17" s="68"/>
      <c r="BE17" s="68"/>
      <c r="BF17" s="68"/>
      <c r="BG17" s="68"/>
      <c r="BH17" s="68"/>
      <c r="BI17" s="533"/>
      <c r="BJ17" s="533"/>
      <c r="BK17" s="533"/>
      <c r="BL17" s="67"/>
      <c r="BO17" s="531"/>
      <c r="BP17" s="531"/>
      <c r="BQ17" s="531"/>
      <c r="BR17" s="49">
        <f>IF(BS17="x",0,MAX(BR$5:$BR16)+1)</f>
        <v>4</v>
      </c>
      <c r="BS17" s="57" t="str">
        <f>IF(G17=E16,E18,E16)</f>
        <v>GREGOR Jakub</v>
      </c>
      <c r="BT17" s="63"/>
      <c r="BU17" s="64"/>
      <c r="CA17" s="531"/>
      <c r="CB17" s="531"/>
      <c r="CC17" s="531"/>
      <c r="CF17" s="63"/>
      <c r="CG17" s="64"/>
      <c r="CM17" s="531"/>
      <c r="CN17" s="531"/>
      <c r="CO17" s="531"/>
      <c r="CY17" s="49">
        <v>14</v>
      </c>
      <c r="CZ17" s="59" t="s">
        <v>120</v>
      </c>
      <c r="DA17" s="59" t="s">
        <v>120</v>
      </c>
      <c r="DB17" s="59" t="s">
        <v>120</v>
      </c>
      <c r="DC17" s="59" t="s">
        <v>120</v>
      </c>
      <c r="DD17" s="59" t="s">
        <v>120</v>
      </c>
      <c r="DE17" s="59" t="s">
        <v>120</v>
      </c>
      <c r="DF17" s="59" t="s">
        <v>120</v>
      </c>
      <c r="DG17" s="59" t="s">
        <v>121</v>
      </c>
    </row>
    <row r="18" spans="1:111" ht="60" customHeight="1" thickBot="1">
      <c r="A18" s="49" t="s">
        <v>205</v>
      </c>
      <c r="B18" s="542">
        <v>1</v>
      </c>
      <c r="C18" s="537" t="s">
        <v>88</v>
      </c>
      <c r="D18" s="538">
        <v>8</v>
      </c>
      <c r="E18" s="108" t="str">
        <f>IF(ISERROR(IF($J$1="n","",IF($J$1="a",VLOOKUP(C18,'poradie v skupinach'!$A$5:$C$37,2),"")))=TRUE,"",IF($J$1="n","",IF($J$1="a",VLOOKUP(C18,'poradie v skupinach'!$A$5:$C$37,2),"")))</f>
        <v>FEČO Samuel</v>
      </c>
      <c r="F18" s="114" t="str">
        <f>IF(ISERROR(IF($J$1="n","",IF($J$1="a",VLOOKUP(C18,'poradie v skupinach'!$A$5:$C$37,3),"")))=TRUE,"",IF($J$1="n","",IF($J$1="a",VLOOKUP(C18,'poradie v skupinach'!$A$5:$C$37,3),"")))</f>
        <v>MŠK VSTK VRANOV NAD TOPĽOU</v>
      </c>
      <c r="G18" s="144" t="str">
        <f>IF(G17="","",IF(OR(C16="x",C18="x"),"",VLOOKUP($A16,'zapisy k stolom'!$Y$5:$AC$3073,4,0)))</f>
        <v xml:space="preserve">3:0 ( 3,9,4,,,, ) </v>
      </c>
      <c r="H18" s="110"/>
      <c r="I18" s="110"/>
      <c r="J18" s="116"/>
      <c r="K18" s="57"/>
      <c r="L18" s="60" t="str">
        <f t="shared" si="0"/>
        <v>CHP42</v>
      </c>
      <c r="M18" s="52" t="str">
        <f>E18</f>
        <v>FEČO Samuel</v>
      </c>
      <c r="P18" s="52" t="str">
        <f>IF(('[1]S 4'!$Y90=4),'[1]S 4'!$E90,IF(('[1]S 4'!$Y91=4),'[1]S 4'!$E91,IF(('[1]S 4'!$Y92=4),'[1]S 4'!$E92,IF(('[1]S 4'!$Y93=4),'[1]S 4'!$E93," "))))</f>
        <v xml:space="preserve"> </v>
      </c>
      <c r="R18" s="63"/>
      <c r="T18" s="55">
        <f t="shared" si="1"/>
        <v>15</v>
      </c>
      <c r="U18" s="170">
        <v>15</v>
      </c>
      <c r="V18" s="169" t="str">
        <f>IF(G29=E28,E30,E28)</f>
        <v>FEČO Michal</v>
      </c>
      <c r="W18" s="170"/>
      <c r="X18" s="170"/>
      <c r="Y18" s="170"/>
      <c r="AD18" s="174"/>
      <c r="AG18" s="56"/>
      <c r="AH18" s="56"/>
      <c r="AI18" s="56"/>
      <c r="AJ18" s="56"/>
      <c r="AK18" s="56"/>
      <c r="BB18" s="76"/>
      <c r="BC18" s="67"/>
      <c r="BD18" s="68"/>
      <c r="BE18" s="69"/>
      <c r="BF18" s="69"/>
      <c r="BG18" s="69"/>
      <c r="BH18" s="69"/>
      <c r="BI18" s="69"/>
      <c r="BJ18" s="68"/>
      <c r="BK18" s="69"/>
      <c r="BL18" s="67"/>
      <c r="BN18" s="56"/>
      <c r="BO18" s="56"/>
      <c r="BR18" s="49"/>
      <c r="BT18" s="63"/>
      <c r="BW18" s="56"/>
      <c r="BX18" s="56"/>
      <c r="BY18" s="56"/>
      <c r="BZ18" s="56"/>
      <c r="CA18" s="56"/>
      <c r="CF18" s="63"/>
      <c r="CI18" s="56"/>
      <c r="CJ18" s="56"/>
      <c r="CK18" s="56"/>
      <c r="CL18" s="56"/>
      <c r="CM18" s="56"/>
      <c r="CY18" s="49">
        <v>15</v>
      </c>
      <c r="CZ18" s="59" t="s">
        <v>120</v>
      </c>
      <c r="DA18" s="59" t="s">
        <v>120</v>
      </c>
      <c r="DB18" s="59" t="s">
        <v>121</v>
      </c>
      <c r="DC18" s="59" t="s">
        <v>121</v>
      </c>
      <c r="DD18" s="59" t="s">
        <v>121</v>
      </c>
      <c r="DE18" s="59" t="s">
        <v>121</v>
      </c>
      <c r="DF18" s="59" t="s">
        <v>121</v>
      </c>
      <c r="DG18" s="59" t="s">
        <v>121</v>
      </c>
    </row>
    <row r="19" spans="1:111" ht="60" customHeight="1" thickBot="1">
      <c r="B19" s="542"/>
      <c r="C19" s="537"/>
      <c r="D19" s="538"/>
      <c r="G19" s="106"/>
      <c r="H19" s="110"/>
      <c r="I19" s="122" t="s">
        <v>157</v>
      </c>
      <c r="J19" s="121" t="str">
        <f>VLOOKUP($A11,'zapisy k stolom'!$Y$5:$AC$3073,3,0)</f>
        <v>PINDURA Tobiáš</v>
      </c>
      <c r="K19" s="82"/>
      <c r="L19" s="60"/>
      <c r="M19" s="52"/>
      <c r="P19" s="52" t="str">
        <f>IF(('[1]S 4'!$Y96=4),'[1]S 4'!$E96,IF(('[1]S 4'!$Y97=4),'[1]S 4'!$E97,IF(('[1]S 4'!$Y98=4),'[1]S 4'!$E98,IF(('[1]S 4'!$Y99=4),'[1]S 4'!$E99," "))))</f>
        <v xml:space="preserve"> </v>
      </c>
      <c r="R19" s="63"/>
      <c r="T19" s="55">
        <f t="shared" si="1"/>
        <v>16</v>
      </c>
      <c r="U19" s="170">
        <v>16</v>
      </c>
      <c r="V19" s="169" t="str">
        <f>IF(G33=E32,E34,E32)</f>
        <v>IVANČO Félix</v>
      </c>
      <c r="W19" s="170"/>
      <c r="X19" s="170"/>
      <c r="Y19" s="170"/>
      <c r="AD19" s="174"/>
      <c r="AG19" s="56"/>
      <c r="AH19" s="56"/>
      <c r="AI19" s="56"/>
      <c r="AJ19" s="56"/>
      <c r="AK19" s="56"/>
      <c r="BB19" s="76"/>
      <c r="BC19" s="67"/>
      <c r="BD19" s="68"/>
      <c r="BE19" s="69"/>
      <c r="BF19" s="69"/>
      <c r="BG19" s="69"/>
      <c r="BH19" s="69"/>
      <c r="BI19" s="69"/>
      <c r="BJ19" s="68"/>
      <c r="BK19" s="69"/>
      <c r="BL19" s="67"/>
      <c r="BN19" s="56"/>
      <c r="BO19" s="56"/>
      <c r="BR19" s="49"/>
      <c r="BT19" s="63"/>
      <c r="BW19" s="56"/>
      <c r="BX19" s="56"/>
      <c r="BY19" s="56"/>
      <c r="BZ19" s="56"/>
      <c r="CA19" s="56"/>
      <c r="CF19" s="63"/>
      <c r="CI19" s="56"/>
      <c r="CJ19" s="56"/>
      <c r="CK19" s="56"/>
      <c r="CL19" s="56"/>
      <c r="CM19" s="56"/>
      <c r="CY19" s="49">
        <v>16</v>
      </c>
      <c r="CZ19" s="59" t="s">
        <v>120</v>
      </c>
      <c r="DA19" s="59" t="s">
        <v>120</v>
      </c>
      <c r="DB19" s="59" t="s">
        <v>120</v>
      </c>
      <c r="DC19" s="59" t="s">
        <v>120</v>
      </c>
      <c r="DD19" s="59" t="s">
        <v>120</v>
      </c>
      <c r="DE19" s="59" t="s">
        <v>120</v>
      </c>
      <c r="DF19" s="59" t="s">
        <v>120</v>
      </c>
      <c r="DG19" s="59" t="s">
        <v>120</v>
      </c>
    </row>
    <row r="20" spans="1:111" ht="60" customHeight="1" thickBot="1">
      <c r="A20" s="49" t="s">
        <v>206</v>
      </c>
      <c r="B20" s="542">
        <v>1</v>
      </c>
      <c r="C20" s="537" t="s">
        <v>92</v>
      </c>
      <c r="D20" s="538">
        <v>9</v>
      </c>
      <c r="E20" s="135" t="str">
        <f>IF(ISERROR(IF($J$1="n","",IF($J$1="a",VLOOKUP(C20,'poradie v skupinach'!$A$5:$C$37,2),"")))=TRUE,"",IF($J$1="n","",IF($J$1="a",VLOOKUP(C20,'poradie v skupinach'!$A$5:$C$37,2),"")))</f>
        <v>PINDURA Tobiáš</v>
      </c>
      <c r="F20" s="108" t="str">
        <f>IF(ISERROR(IF($J$1="n","",IF($J$1="a",VLOOKUP(C20,'poradie v skupinach'!$A$5:$C$37,3),"")))=TRUE,"",IF($J$1="n","",IF($J$1="a",VLOOKUP(C20,'poradie v skupinach'!$A$5:$C$37,3),"")))</f>
        <v>ŠKST RUŽOMBEROK</v>
      </c>
      <c r="G20" s="109"/>
      <c r="H20" s="110"/>
      <c r="I20" s="126" t="str">
        <f>VLOOKUP($A11,'zapisy k stolom'!$Y$5:$AC$3073,5,0)</f>
        <v>Tbl.: 1   H: 11.00   D: Ne</v>
      </c>
      <c r="J20" s="115" t="str">
        <f>IF(J19="","",VLOOKUP($A11,'zapisy k stolom'!$Y$5:$AC$3073,4,0))</f>
        <v xml:space="preserve">3:2 ( -4,-8,8,8,11,, ) </v>
      </c>
      <c r="K20" s="82"/>
      <c r="L20" s="60" t="str">
        <f t="shared" si="0"/>
        <v>CHP51</v>
      </c>
      <c r="M20" s="52" t="str">
        <f>E20</f>
        <v>PINDURA Tobiáš</v>
      </c>
      <c r="P20" s="52" t="str">
        <f>IF(('[1]S 4'!$Y102=4),'[1]S 4'!$E102,IF(('[1]S 4'!$Y103=4),'[1]S 4'!$E103,IF(('[1]S 4'!$Y104=4),'[1]S 4'!$E104,IF(('[1]S 4'!$Y105=4),'[1]S 4'!$E105," "))))</f>
        <v xml:space="preserve"> </v>
      </c>
      <c r="R20" s="63"/>
      <c r="S20" s="58" t="s">
        <v>385</v>
      </c>
      <c r="T20" s="169">
        <f>MAX(T4:T19)</f>
        <v>16</v>
      </c>
      <c r="V20" s="170"/>
      <c r="W20" s="170"/>
      <c r="X20" s="170"/>
      <c r="Y20" s="170"/>
      <c r="AD20" s="174"/>
      <c r="AG20" s="56"/>
      <c r="AH20" s="56"/>
      <c r="AI20" s="56"/>
      <c r="AJ20" s="56"/>
      <c r="AK20" s="56"/>
      <c r="BB20" s="76"/>
      <c r="BC20" s="67"/>
      <c r="BD20" s="68"/>
      <c r="BE20" s="69"/>
      <c r="BF20" s="69"/>
      <c r="BG20" s="69"/>
      <c r="BH20" s="69"/>
      <c r="BI20" s="69"/>
      <c r="BJ20" s="68"/>
      <c r="BK20" s="69"/>
      <c r="BL20" s="67"/>
      <c r="BN20" s="56"/>
      <c r="BO20" s="56"/>
      <c r="BR20" s="49"/>
      <c r="BT20" s="63"/>
      <c r="BW20" s="56"/>
      <c r="BX20" s="56"/>
      <c r="BY20" s="56"/>
      <c r="BZ20" s="56"/>
      <c r="CA20" s="56"/>
      <c r="CF20" s="63"/>
      <c r="CI20" s="56"/>
      <c r="CJ20" s="56"/>
      <c r="CK20" s="56"/>
      <c r="CL20" s="56"/>
      <c r="CM20" s="56"/>
    </row>
    <row r="21" spans="1:111" ht="60" customHeight="1" thickBot="1">
      <c r="A21" s="49" t="s">
        <v>207</v>
      </c>
      <c r="B21" s="542"/>
      <c r="C21" s="537"/>
      <c r="D21" s="538"/>
      <c r="E21" s="111" t="str">
        <f>VLOOKUP($A20,'zapisy k stolom'!$Y$5:$AC$3073,5,0)</f>
        <v>Tbl.: 5   H: 16.00   D: So</v>
      </c>
      <c r="F21" s="112" t="s">
        <v>154</v>
      </c>
      <c r="G21" s="113" t="str">
        <f>IF(C20="x",E22,IF(C22="x",E20,VLOOKUP($A20,'zapisy k stolom'!$Y$5:$AC$3073,3,0)))</f>
        <v>PINDURA Tobiáš</v>
      </c>
      <c r="H21" s="109"/>
      <c r="I21" s="110"/>
      <c r="J21" s="116"/>
      <c r="K21" s="57"/>
      <c r="L21" s="60" t="str">
        <f t="shared" si="0"/>
        <v>CHP111</v>
      </c>
      <c r="M21" s="52" t="str">
        <f>G21</f>
        <v>PINDURA Tobiáš</v>
      </c>
      <c r="P21" s="52" t="str">
        <f>IF(('[1]S 4'!$Y108=4),'[1]S 4'!$E108,IF(('[1]S 4'!$Y109=4),'[1]S 4'!$E109,IF(('[1]S 4'!$Y110=4),'[1]S 4'!$E110,IF(('[1]S 4'!$Y111=4),'[1]S 4'!$E111," "))))</f>
        <v xml:space="preserve"> </v>
      </c>
      <c r="R21" s="63"/>
      <c r="V21" s="170"/>
      <c r="W21" s="170"/>
      <c r="X21" s="170"/>
      <c r="Y21" s="170"/>
      <c r="AD21" s="174"/>
      <c r="AG21" s="56"/>
      <c r="AH21" s="56"/>
      <c r="AI21" s="56"/>
      <c r="AJ21" s="56"/>
      <c r="AK21" s="56"/>
      <c r="BB21" s="76"/>
      <c r="BC21" s="67"/>
      <c r="BD21" s="68"/>
      <c r="BE21" s="69"/>
      <c r="BF21" s="69"/>
      <c r="BG21" s="69"/>
      <c r="BH21" s="69"/>
      <c r="BI21" s="69"/>
      <c r="BJ21" s="68"/>
      <c r="BK21" s="69"/>
      <c r="BL21" s="67"/>
      <c r="BN21" s="56"/>
      <c r="BO21" s="56"/>
      <c r="BR21" s="49">
        <f>IF(BS21="x",0,MAX(BR$5:$BR20)+1)</f>
        <v>5</v>
      </c>
      <c r="BS21" s="57" t="str">
        <f>IF(G21=E20,E22,E20)</f>
        <v>MILAN Martin</v>
      </c>
      <c r="BT21" s="63"/>
      <c r="BW21" s="56"/>
      <c r="BX21" s="56"/>
      <c r="BY21" s="56"/>
      <c r="BZ21" s="56"/>
      <c r="CA21" s="56"/>
      <c r="CF21" s="63"/>
      <c r="CI21" s="56"/>
      <c r="CJ21" s="56"/>
      <c r="CK21" s="56"/>
      <c r="CL21" s="56"/>
      <c r="CM21" s="56"/>
    </row>
    <row r="22" spans="1:111" ht="60" customHeight="1" thickBot="1">
      <c r="A22" s="49" t="s">
        <v>208</v>
      </c>
      <c r="B22" s="536">
        <v>3</v>
      </c>
      <c r="C22" s="537" t="s">
        <v>101</v>
      </c>
      <c r="D22" s="538">
        <v>10</v>
      </c>
      <c r="E22" s="108" t="str">
        <f>IF(ISERROR(IF($J$1="n","",IF($J$1="a",VLOOKUP(C22,'poradie v skupinach'!$A$5:$C$37,2),"")))=TRUE,"",IF($J$1="n","",IF($J$1="a",VLOOKUP(C22,'poradie v skupinach'!$A$5:$C$37,2),"")))</f>
        <v>MILAN Martin</v>
      </c>
      <c r="F22" s="114" t="str">
        <f>IF(ISERROR(IF($J$1="n","",IF($J$1="a",VLOOKUP(C22,'poradie v skupinach'!$A$5:$C$37,3),"")))=TRUE,"",IF($J$1="n","",IF($J$1="a",VLOOKUP(C22,'poradie v skupinach'!$A$5:$C$37,3),"")))</f>
        <v>1.PPC FORTUNA KEŽMAROK/TJ OBCE SPIŠSKÝ ŠTIAVNIK</v>
      </c>
      <c r="G22" s="115" t="str">
        <f>IF(G21="","",IF(OR(C20="x",C22="x"),"",VLOOKUP($A20,'zapisy k stolom'!$Y$5:$AC$3073,4,0)))</f>
        <v xml:space="preserve">3:0 ( 9,5,8,,,, ) </v>
      </c>
      <c r="H22" s="116"/>
      <c r="I22" s="110"/>
      <c r="J22" s="116"/>
      <c r="K22" s="57"/>
      <c r="L22" s="60" t="str">
        <f t="shared" si="0"/>
        <v>CHP52</v>
      </c>
      <c r="M22" s="52" t="str">
        <f>E22</f>
        <v>MILAN Martin</v>
      </c>
      <c r="P22" s="52" t="str">
        <f>IF(('[1]S 4'!$Y114=4),'[1]S 4'!$E114,IF(('[1]S 4'!$Y115=4),'[1]S 4'!$E115,IF(('[1]S 4'!$Y116=4),'[1]S 4'!$E116,IF(('[1]S 4'!$Y117=4),'[1]S 4'!$E117," "))))</f>
        <v xml:space="preserve"> </v>
      </c>
      <c r="BB22" s="67"/>
      <c r="BC22" s="67"/>
      <c r="BD22" s="68"/>
      <c r="BE22" s="68"/>
      <c r="BF22" s="68"/>
      <c r="BG22" s="68"/>
      <c r="BH22" s="68"/>
      <c r="BI22" s="68"/>
      <c r="BJ22" s="68"/>
      <c r="BK22" s="69"/>
      <c r="BL22" s="67"/>
      <c r="BR22" s="49"/>
    </row>
    <row r="23" spans="1:111" ht="60" customHeight="1" thickBot="1">
      <c r="A23" s="49" t="s">
        <v>209</v>
      </c>
      <c r="B23" s="536"/>
      <c r="C23" s="537"/>
      <c r="D23" s="538"/>
      <c r="G23" s="117" t="s">
        <v>155</v>
      </c>
      <c r="H23" s="118" t="str">
        <f>VLOOKUP($A21,'zapisy k stolom'!$Y$5:$AC$3073,3,0)</f>
        <v>PINDURA Tobiáš</v>
      </c>
      <c r="I23" s="109"/>
      <c r="J23" s="127"/>
      <c r="K23" s="57"/>
      <c r="L23" s="60" t="str">
        <f t="shared" si="0"/>
        <v>CHP141</v>
      </c>
      <c r="M23" s="52" t="str">
        <f>H23</f>
        <v>PINDURA Tobiáš</v>
      </c>
      <c r="P23" s="52" t="str">
        <f>IF(('[1]S 4'!$Y120=4),'[1]S 4'!$E120,IF(('[1]S 4'!$Y121=4),'[1]S 4'!$E121,IF(('[1]S 4'!$Y122=4),'[1]S 4'!$E122,IF(('[1]S 4'!$Y123=4),'[1]S 4'!$E123," "))))</f>
        <v xml:space="preserve"> </v>
      </c>
      <c r="R23" s="63"/>
      <c r="S23" s="64"/>
      <c r="Y23" s="173"/>
      <c r="Z23" s="173"/>
      <c r="AA23" s="173"/>
      <c r="AD23" s="174"/>
      <c r="AE23" s="64"/>
      <c r="AK23" s="531"/>
      <c r="AL23" s="531"/>
      <c r="AM23" s="531"/>
      <c r="BB23" s="76"/>
      <c r="BC23" s="77"/>
      <c r="BD23" s="68"/>
      <c r="BE23" s="68"/>
      <c r="BF23" s="68"/>
      <c r="BG23" s="68"/>
      <c r="BH23" s="68"/>
      <c r="BI23" s="533"/>
      <c r="BJ23" s="533"/>
      <c r="BK23" s="533"/>
      <c r="BL23" s="67"/>
      <c r="BO23" s="531"/>
      <c r="BP23" s="531"/>
      <c r="BQ23" s="531"/>
      <c r="BR23" s="49"/>
      <c r="BT23" s="72" t="str">
        <f>IF(H23=G21,G25,G21)</f>
        <v>PETRÍK Filip</v>
      </c>
      <c r="BU23" s="64"/>
      <c r="CA23" s="531"/>
      <c r="CB23" s="531"/>
      <c r="CC23" s="531"/>
      <c r="CF23" s="63"/>
      <c r="CG23" s="64"/>
      <c r="CM23" s="531"/>
      <c r="CN23" s="531"/>
      <c r="CO23" s="531"/>
    </row>
    <row r="24" spans="1:111" ht="60" customHeight="1" thickBot="1">
      <c r="A24" s="49" t="s">
        <v>210</v>
      </c>
      <c r="B24" s="536">
        <v>3</v>
      </c>
      <c r="C24" s="537" t="s">
        <v>109</v>
      </c>
      <c r="D24" s="538">
        <v>11</v>
      </c>
      <c r="E24" s="135" t="str">
        <f>IF(ISERROR(IF($J$1="n","",IF($J$1="a",VLOOKUP(C24,'poradie v skupinach'!$A$5:$C$37,2),"")))=TRUE,"",IF($J$1="n","",IF($J$1="a",VLOOKUP(C24,'poradie v skupinach'!$A$5:$C$37,2),"")))</f>
        <v>FUSEK Patrik</v>
      </c>
      <c r="F24" s="108" t="str">
        <f>IF(ISERROR(IF($J$1="n","",IF($J$1="a",VLOOKUP(C24,'poradie v skupinach'!$A$5:$C$37,3),"")))=TRUE,"",IF($J$1="n","",IF($J$1="a",VLOOKUP(C24,'poradie v skupinach'!$A$5:$C$37,3),"")))</f>
        <v>MSK MALACKY</v>
      </c>
      <c r="G24" s="119" t="str">
        <f>VLOOKUP($A21,'zapisy k stolom'!$Y$5:$AC$3073,5,0)</f>
        <v>Tbl.: 3   H: 16.30   D: So</v>
      </c>
      <c r="H24" s="120" t="str">
        <f>IF(H23="","",VLOOKUP($A21,'zapisy k stolom'!$Y$5:$AC$3073,4,0))</f>
        <v xml:space="preserve">3:1 ( -10,8,8,8,,, ) </v>
      </c>
      <c r="I24" s="116"/>
      <c r="J24" s="116"/>
      <c r="K24" s="57"/>
      <c r="L24" s="60" t="str">
        <f t="shared" si="0"/>
        <v>CHP61</v>
      </c>
      <c r="M24" s="52" t="str">
        <f>E24</f>
        <v>FUSEK Patrik</v>
      </c>
      <c r="P24" s="52" t="str">
        <f>IF(('[1]S 4'!$Y126=4),'[1]S 4'!$E126,IF(('[1]S 4'!$Y127=4),'[1]S 4'!$E127,IF(('[1]S 4'!$Y128=4),'[1]S 4'!$E128,IF(('[1]S 4'!$Y129=4),'[1]S 4'!$E129," "))))</f>
        <v xml:space="preserve"> </v>
      </c>
      <c r="R24" s="63"/>
      <c r="V24" s="170"/>
      <c r="W24" s="170"/>
      <c r="X24" s="170"/>
      <c r="Y24" s="170"/>
      <c r="AD24" s="174"/>
      <c r="AG24" s="56"/>
      <c r="AH24" s="56"/>
      <c r="AI24" s="56"/>
      <c r="AJ24" s="56"/>
      <c r="AK24" s="56"/>
      <c r="BB24" s="76"/>
      <c r="BC24" s="67"/>
      <c r="BD24" s="68"/>
      <c r="BE24" s="69"/>
      <c r="BF24" s="69"/>
      <c r="BG24" s="69"/>
      <c r="BH24" s="69"/>
      <c r="BI24" s="69"/>
      <c r="BJ24" s="68"/>
      <c r="BK24" s="69"/>
      <c r="BL24" s="67"/>
      <c r="BN24" s="56"/>
      <c r="BO24" s="56"/>
      <c r="BR24" s="49"/>
      <c r="BT24" s="63"/>
      <c r="BW24" s="56"/>
      <c r="BX24" s="56"/>
      <c r="BY24" s="56"/>
      <c r="BZ24" s="56"/>
      <c r="CA24" s="56"/>
      <c r="CF24" s="63"/>
      <c r="CI24" s="56"/>
      <c r="CJ24" s="56"/>
      <c r="CK24" s="56"/>
      <c r="CL24" s="56"/>
      <c r="CM24" s="56"/>
    </row>
    <row r="25" spans="1:111" ht="60" customHeight="1" thickBot="1">
      <c r="A25" s="49" t="s">
        <v>211</v>
      </c>
      <c r="B25" s="536"/>
      <c r="C25" s="537"/>
      <c r="D25" s="538"/>
      <c r="E25" s="111" t="str">
        <f>VLOOKUP($A24,'zapisy k stolom'!$Y$5:$AC$3073,5,0)</f>
        <v>Tbl.: 6   H: 16.00   D: So</v>
      </c>
      <c r="F25" s="117" t="s">
        <v>156</v>
      </c>
      <c r="G25" s="121" t="str">
        <f>IF(C24="x",E26,IF(C26="x",E24,VLOOKUP($A24,'zapisy k stolom'!$Y$5:$AC$3073,3,0)))</f>
        <v>PETRÍK Filip</v>
      </c>
      <c r="H25" s="116"/>
      <c r="I25" s="116"/>
      <c r="J25" s="116"/>
      <c r="K25" s="57"/>
      <c r="L25" s="60" t="str">
        <f t="shared" si="0"/>
        <v>CHP112</v>
      </c>
      <c r="M25" s="52" t="str">
        <f>G25</f>
        <v>PETRÍK Filip</v>
      </c>
      <c r="P25" s="52" t="str">
        <f>IF(('[1]S 4'!$Y132=4),'[1]S 4'!$E132,IF(('[1]S 4'!$Y133=4),'[1]S 4'!$E133,IF(('[1]S 4'!$Y134=4),'[1]S 4'!$E134,IF(('[1]S 4'!$Y135=4),'[1]S 4'!$E135," "))))</f>
        <v xml:space="preserve"> </v>
      </c>
      <c r="R25" s="63"/>
      <c r="V25" s="170"/>
      <c r="W25" s="170"/>
      <c r="X25" s="170"/>
      <c r="Y25" s="170"/>
      <c r="AD25" s="174"/>
      <c r="AG25" s="56"/>
      <c r="AH25" s="56"/>
      <c r="AI25" s="56"/>
      <c r="AJ25" s="56"/>
      <c r="AK25" s="56"/>
      <c r="BB25" s="76"/>
      <c r="BC25" s="67"/>
      <c r="BD25" s="68"/>
      <c r="BE25" s="69"/>
      <c r="BF25" s="69"/>
      <c r="BG25" s="69"/>
      <c r="BH25" s="69"/>
      <c r="BI25" s="69"/>
      <c r="BJ25" s="68"/>
      <c r="BK25" s="69"/>
      <c r="BL25" s="67"/>
      <c r="BN25" s="56"/>
      <c r="BO25" s="56"/>
      <c r="BR25" s="49">
        <f>IF(BS25="x",0,MAX(BR$5:$BR24)+1)</f>
        <v>6</v>
      </c>
      <c r="BS25" s="57" t="str">
        <f>IF(G25=E24,E26,E24)</f>
        <v>FUSEK Patrik</v>
      </c>
      <c r="BT25" s="63"/>
      <c r="BW25" s="56"/>
      <c r="BX25" s="56"/>
      <c r="BY25" s="56"/>
      <c r="BZ25" s="56"/>
      <c r="CA25" s="56"/>
      <c r="CF25" s="63"/>
      <c r="CI25" s="56"/>
      <c r="CJ25" s="56"/>
      <c r="CK25" s="56"/>
      <c r="CL25" s="56"/>
      <c r="CM25" s="56"/>
    </row>
    <row r="26" spans="1:111" ht="60" customHeight="1" thickBot="1">
      <c r="A26" s="49" t="s">
        <v>212</v>
      </c>
      <c r="B26" s="541">
        <v>2</v>
      </c>
      <c r="C26" s="537" t="s">
        <v>96</v>
      </c>
      <c r="D26" s="538">
        <v>12</v>
      </c>
      <c r="E26" s="108" t="str">
        <f>IF(ISERROR(IF($J$1="n","",IF($J$1="a",VLOOKUP(C26,'poradie v skupinach'!$A$5:$C$37,2),"")))=TRUE,"",IF($J$1="n","",IF($J$1="a",VLOOKUP(C26,'poradie v skupinach'!$A$5:$C$37,2),"")))</f>
        <v>PETRÍK Filip</v>
      </c>
      <c r="F26" s="114" t="str">
        <f>IF(ISERROR(IF($J$1="n","",IF($J$1="a",VLOOKUP(C26,'poradie v skupinach'!$A$5:$C$37,3),"")))=TRUE,"",IF($J$1="n","",IF($J$1="a",VLOOKUP(C26,'poradie v skupinach'!$A$5:$C$37,3),"")))</f>
        <v>KST PLUS40 TREBIŠOV/ŠKST MICHALOVCE</v>
      </c>
      <c r="G26" s="144" t="str">
        <f>IF(G25="","",IF(OR(C24="x",C26="x"),"",VLOOKUP($A24,'zapisy k stolom'!$Y$5:$AC$3073,4,0)))</f>
        <v xml:space="preserve">3:1 ( 6,6,-10,10,,, ) </v>
      </c>
      <c r="H26" s="110"/>
      <c r="I26" s="116"/>
      <c r="J26" s="116"/>
      <c r="K26" s="57"/>
      <c r="L26" s="60" t="str">
        <f t="shared" si="0"/>
        <v>CHP62</v>
      </c>
      <c r="M26" s="52" t="str">
        <f>E26</f>
        <v>PETRÍK Filip</v>
      </c>
      <c r="P26" s="52" t="str">
        <f>IF(('[1]S 4'!$Y138=4),'[1]S 4'!$E138,IF(('[1]S 4'!$Y139=4),'[1]S 4'!$E139,IF(('[1]S 4'!$Y140=4),'[1]S 4'!$E140,IF(('[1]S 4'!$Y141=4),'[1]S 4'!$E141," "))))</f>
        <v xml:space="preserve"> </v>
      </c>
      <c r="R26" s="63"/>
      <c r="V26" s="170"/>
      <c r="W26" s="170"/>
      <c r="X26" s="170"/>
      <c r="Y26" s="170"/>
      <c r="AD26" s="174"/>
      <c r="AG26" s="56"/>
      <c r="AH26" s="56"/>
      <c r="AI26" s="56"/>
      <c r="AJ26" s="56"/>
      <c r="AK26" s="56"/>
      <c r="BB26" s="76"/>
      <c r="BC26" s="67"/>
      <c r="BD26" s="68"/>
      <c r="BE26" s="69"/>
      <c r="BF26" s="69"/>
      <c r="BG26" s="69"/>
      <c r="BH26" s="69"/>
      <c r="BI26" s="69"/>
      <c r="BJ26" s="68"/>
      <c r="BK26" s="69"/>
      <c r="BL26" s="67"/>
      <c r="BN26" s="56"/>
      <c r="BO26" s="56"/>
      <c r="BR26" s="49"/>
      <c r="BT26" s="63"/>
      <c r="BW26" s="56"/>
      <c r="BX26" s="56"/>
      <c r="BY26" s="56"/>
      <c r="BZ26" s="56"/>
      <c r="CA26" s="56"/>
      <c r="CF26" s="63"/>
      <c r="CI26" s="56"/>
      <c r="CJ26" s="56"/>
      <c r="CK26" s="56"/>
      <c r="CL26" s="56"/>
      <c r="CM26" s="56"/>
    </row>
    <row r="27" spans="1:111" ht="60" customHeight="1" thickBot="1">
      <c r="A27" s="49" t="s">
        <v>213</v>
      </c>
      <c r="B27" s="541"/>
      <c r="C27" s="537"/>
      <c r="D27" s="538"/>
      <c r="G27" s="106"/>
      <c r="H27" s="122" t="s">
        <v>159</v>
      </c>
      <c r="I27" s="121" t="str">
        <f>VLOOKUP($A23,'zapisy k stolom'!$Y$5:$AC$3073,3,0)</f>
        <v>PINDURA Tobiáš</v>
      </c>
      <c r="J27" s="116"/>
      <c r="K27" s="57"/>
      <c r="L27" s="60" t="str">
        <f t="shared" si="0"/>
        <v>CHP152</v>
      </c>
      <c r="M27" s="52" t="str">
        <f>I27</f>
        <v>PINDURA Tobiáš</v>
      </c>
      <c r="P27" s="52" t="str">
        <f>IF(('[1]S 4'!$Y144=4),'[1]S 4'!$E144,IF(('[1]S 4'!$Y145=4),'[1]S 4'!$E145,IF(('[1]S 4'!$Y146=4),'[1]S 4'!$E146,IF(('[1]S 4'!$Y147=4),'[1]S 4'!$E147," "))))</f>
        <v xml:space="preserve"> </v>
      </c>
      <c r="R27" s="63"/>
      <c r="V27" s="170"/>
      <c r="W27" s="170"/>
      <c r="X27" s="170"/>
      <c r="Y27" s="170"/>
      <c r="AD27" s="174"/>
      <c r="AG27" s="56"/>
      <c r="AH27" s="56"/>
      <c r="AI27" s="56"/>
      <c r="AJ27" s="56"/>
      <c r="AK27" s="56"/>
      <c r="BB27" s="76"/>
      <c r="BC27" s="67"/>
      <c r="BD27" s="68"/>
      <c r="BE27" s="69"/>
      <c r="BF27" s="69"/>
      <c r="BG27" s="69"/>
      <c r="BH27" s="69"/>
      <c r="BI27" s="69"/>
      <c r="BJ27" s="68"/>
      <c r="BK27" s="69"/>
      <c r="BL27" s="67"/>
      <c r="BN27" s="56"/>
      <c r="BO27" s="56"/>
      <c r="BR27" s="49"/>
      <c r="BT27" s="63"/>
      <c r="BW27" s="56"/>
      <c r="BX27" s="56"/>
      <c r="BY27" s="56"/>
      <c r="BZ27" s="56"/>
      <c r="CA27" s="56"/>
      <c r="CF27" s="63"/>
      <c r="CI27" s="56"/>
      <c r="CJ27" s="56"/>
      <c r="CK27" s="56"/>
      <c r="CL27" s="56"/>
      <c r="CM27" s="56"/>
    </row>
    <row r="28" spans="1:111" ht="60" customHeight="1" thickBot="1">
      <c r="A28" s="49" t="s">
        <v>214</v>
      </c>
      <c r="B28" s="541">
        <v>2</v>
      </c>
      <c r="C28" s="537" t="s">
        <v>104</v>
      </c>
      <c r="D28" s="538">
        <v>13</v>
      </c>
      <c r="E28" s="135" t="str">
        <f>IF(ISERROR(IF($J$1="n","",IF($J$1="a",VLOOKUP(C28,'poradie v skupinach'!$A$5:$C$37,2),"")))=TRUE,"",IF($J$1="n","",IF($J$1="a",VLOOKUP(C28,'poradie v skupinach'!$A$5:$C$37,2),"")))</f>
        <v>FEČO Michal</v>
      </c>
      <c r="F28" s="108" t="str">
        <f>IF(ISERROR(IF($J$1="n","",IF($J$1="a",VLOOKUP(C28,'poradie v skupinach'!$A$5:$C$37,3),"")))=TRUE,"",IF($J$1="n","",IF($J$1="a",VLOOKUP(C28,'poradie v skupinach'!$A$5:$C$37,3),"")))</f>
        <v>MŠK VSTK VRANOV NAD TOPĽOU</v>
      </c>
      <c r="G28" s="109"/>
      <c r="H28" s="124" t="str">
        <f>VLOOKUP($A23,'zapisy k stolom'!$Y$5:$AC$3073,5,0)</f>
        <v>Tbl.: 2   H: 10.00   D: Ne</v>
      </c>
      <c r="I28" s="144" t="str">
        <f>IF(I27="","",VLOOKUP($A23,'zapisy k stolom'!$Y$5:$AC$3073,4,0))</f>
        <v xml:space="preserve">3:2 ( 8,-7,3,-8,16,, ) </v>
      </c>
      <c r="J28" s="110"/>
      <c r="K28" s="57"/>
      <c r="L28" s="60" t="str">
        <f t="shared" si="0"/>
        <v>CHP71</v>
      </c>
      <c r="M28" s="52" t="str">
        <f>E28</f>
        <v>FEČO Michal</v>
      </c>
      <c r="P28" s="52" t="str">
        <f>IF(('[1]S 4'!$Y150=4),'[1]S 4'!$E150,IF(('[1]S 4'!$Y151=4),'[1]S 4'!$E151,IF(('[1]S 4'!$Y152=4),'[1]S 4'!$E152,IF(('[1]S 4'!$Y153=4),'[1]S 4'!$E153," "))))</f>
        <v xml:space="preserve"> </v>
      </c>
      <c r="BR28" s="49"/>
    </row>
    <row r="29" spans="1:111" ht="60" customHeight="1" thickBot="1">
      <c r="A29" s="49" t="s">
        <v>215</v>
      </c>
      <c r="B29" s="541"/>
      <c r="C29" s="537"/>
      <c r="D29" s="538"/>
      <c r="E29" s="111" t="str">
        <f>VLOOKUP($A28,'zapisy k stolom'!$Y$5:$AC$3073,5,0)</f>
        <v>Tbl.: 7   H: 16.00   D: So</v>
      </c>
      <c r="F29" s="112" t="s">
        <v>158</v>
      </c>
      <c r="G29" s="113" t="str">
        <f>IF(C28="x",E30,IF(C30="x",E28,VLOOKUP($A28,'zapisy k stolom'!$Y$5:$AC$3073,3,0)))</f>
        <v>KLAJBER Adam</v>
      </c>
      <c r="H29" s="109"/>
      <c r="I29" s="116"/>
      <c r="J29" s="110"/>
      <c r="K29" s="57"/>
      <c r="L29" s="60" t="str">
        <f t="shared" si="0"/>
        <v>CHP121</v>
      </c>
      <c r="M29" s="52" t="str">
        <f>G29</f>
        <v>KLAJBER Adam</v>
      </c>
      <c r="P29" s="52" t="str">
        <f>IF(('[1]S 4'!$Y156=4),'[1]S 4'!$E156,IF(('[1]S 4'!$Y157=4),'[1]S 4'!$E157,IF(('[1]S 4'!$Y158=4),'[1]S 4'!$E158,IF(('[1]S 4'!$Y159=4),'[1]S 4'!$E159," "))))</f>
        <v xml:space="preserve"> </v>
      </c>
      <c r="R29" s="63"/>
      <c r="S29" s="64"/>
      <c r="Y29" s="173"/>
      <c r="Z29" s="173"/>
      <c r="AA29" s="173"/>
      <c r="AD29" s="174"/>
      <c r="AE29" s="64"/>
      <c r="AK29" s="531"/>
      <c r="AL29" s="531"/>
      <c r="AM29" s="531"/>
      <c r="AP29" s="76"/>
      <c r="AQ29" s="77"/>
      <c r="AR29" s="68"/>
      <c r="AS29" s="68"/>
      <c r="AT29" s="68"/>
      <c r="AU29" s="68"/>
      <c r="AV29" s="68"/>
      <c r="AW29" s="533"/>
      <c r="AX29" s="533"/>
      <c r="AY29" s="533"/>
      <c r="AZ29" s="67"/>
      <c r="BB29" s="76"/>
      <c r="BC29" s="77"/>
      <c r="BD29" s="68"/>
      <c r="BE29" s="68"/>
      <c r="BF29" s="68"/>
      <c r="BG29" s="68"/>
      <c r="BH29" s="68"/>
      <c r="BI29" s="533"/>
      <c r="BJ29" s="533"/>
      <c r="BK29" s="533"/>
      <c r="BL29" s="67"/>
      <c r="BO29" s="531"/>
      <c r="BP29" s="531"/>
      <c r="BQ29" s="531"/>
      <c r="BR29" s="49">
        <f>IF(BS29="x",0,MAX(BR$5:$BR28)+1)</f>
        <v>7</v>
      </c>
      <c r="BS29" s="57" t="str">
        <f>IF(G29=E28,E30,E28)</f>
        <v>FEČO Michal</v>
      </c>
      <c r="BT29" s="63"/>
      <c r="BU29" s="64"/>
      <c r="CA29" s="531"/>
      <c r="CB29" s="531"/>
      <c r="CC29" s="531"/>
      <c r="CF29" s="63"/>
      <c r="CG29" s="64"/>
      <c r="CM29" s="531"/>
      <c r="CN29" s="531"/>
      <c r="CO29" s="531"/>
    </row>
    <row r="30" spans="1:111" ht="60" customHeight="1" thickBot="1">
      <c r="A30" s="49" t="s">
        <v>216</v>
      </c>
      <c r="B30" s="536">
        <v>3</v>
      </c>
      <c r="C30" s="537" t="s">
        <v>89</v>
      </c>
      <c r="D30" s="538">
        <v>14</v>
      </c>
      <c r="E30" s="108" t="str">
        <f>IF(ISERROR(IF($J$1="n","",IF($J$1="a",VLOOKUP(C30,'poradie v skupinach'!$A$5:$C$37,2),"")))=TRUE,"",IF($J$1="n","",IF($J$1="a",VLOOKUP(C30,'poradie v skupinach'!$A$5:$C$37,2),"")))</f>
        <v>KLAJBER Adam</v>
      </c>
      <c r="F30" s="114" t="str">
        <f>IF(ISERROR(IF($J$1="n","",IF($J$1="a",VLOOKUP(C30,'poradie v skupinach'!$A$5:$C$37,3),"")))=TRUE,"",IF($J$1="n","",IF($J$1="a",VLOOKUP(C30,'poradie v skupinach'!$A$5:$C$37,3),"")))</f>
        <v>SŠK POPROČ</v>
      </c>
      <c r="G30" s="115" t="str">
        <f>IF(G29="","",IF(OR(C28="x",C30="x"),"",VLOOKUP($A28,'zapisy k stolom'!$Y$5:$AC$3073,4,0)))</f>
        <v xml:space="preserve">3:2 ( 12,-8,3,-8,7,, ) </v>
      </c>
      <c r="H30" s="116"/>
      <c r="I30" s="116"/>
      <c r="L30" s="60" t="str">
        <f t="shared" si="0"/>
        <v>CHP72</v>
      </c>
      <c r="M30" s="49" t="str">
        <f>E30</f>
        <v>KLAJBER Adam</v>
      </c>
      <c r="P30" s="52" t="str">
        <f>IF(('[1]S 4'!$Y162=4),'[1]S 4'!$E162,IF(('[1]S 4'!$Y163=4),'[1]S 4'!$E163,IF(('[1]S 4'!$Y164=4),'[1]S 4'!$E164,IF(('[1]S 4'!$Y165=4),'[1]S 4'!$E165," "))))</f>
        <v xml:space="preserve"> </v>
      </c>
      <c r="R30" s="70"/>
      <c r="V30" s="170"/>
      <c r="W30" s="170"/>
      <c r="X30" s="170"/>
      <c r="Y30" s="170"/>
      <c r="AD30" s="175"/>
      <c r="AG30" s="56"/>
      <c r="AH30" s="56"/>
      <c r="AI30" s="56"/>
      <c r="AJ30" s="56"/>
      <c r="AK30" s="56"/>
      <c r="AP30" s="78"/>
      <c r="AQ30" s="67"/>
      <c r="AR30" s="68"/>
      <c r="AS30" s="69"/>
      <c r="AT30" s="69"/>
      <c r="AU30" s="69"/>
      <c r="AV30" s="69"/>
      <c r="AW30" s="69"/>
      <c r="AX30" s="68"/>
      <c r="AY30" s="69"/>
      <c r="AZ30" s="67"/>
      <c r="BB30" s="78"/>
      <c r="BC30" s="67"/>
      <c r="BD30" s="68"/>
      <c r="BE30" s="69"/>
      <c r="BF30" s="69"/>
      <c r="BG30" s="69"/>
      <c r="BH30" s="69"/>
      <c r="BI30" s="69"/>
      <c r="BJ30" s="68"/>
      <c r="BK30" s="69"/>
      <c r="BL30" s="67"/>
      <c r="BN30" s="56"/>
      <c r="BO30" s="56"/>
      <c r="BR30" s="49"/>
      <c r="BT30" s="63"/>
      <c r="BW30" s="56"/>
      <c r="BX30" s="56"/>
      <c r="BY30" s="56"/>
      <c r="BZ30" s="56"/>
      <c r="CA30" s="56"/>
      <c r="CF30" s="63"/>
      <c r="CI30" s="56"/>
      <c r="CJ30" s="56"/>
      <c r="CK30" s="56"/>
      <c r="CL30" s="56"/>
      <c r="CM30" s="56"/>
    </row>
    <row r="31" spans="1:111" ht="60" customHeight="1" thickBot="1">
      <c r="A31" s="49" t="s">
        <v>217</v>
      </c>
      <c r="B31" s="536"/>
      <c r="C31" s="537"/>
      <c r="D31" s="538"/>
      <c r="G31" s="117" t="s">
        <v>160</v>
      </c>
      <c r="H31" s="121" t="str">
        <f>VLOOKUP($A29,'zapisy k stolom'!$Y$5:$AC$3073,3,0)</f>
        <v>KYSEL Martin</v>
      </c>
      <c r="I31" s="116"/>
      <c r="L31" s="60" t="str">
        <f t="shared" si="0"/>
        <v>CHP142</v>
      </c>
      <c r="M31" s="49" t="str">
        <f>H31</f>
        <v>KYSEL Martin</v>
      </c>
      <c r="P31" s="52" t="str">
        <f>IF(('[1]S 4'!$Y168=4),'[1]S 4'!$E168,IF(('[1]S 4'!$Y169=4),'[1]S 4'!$E169,IF(('[1]S 4'!$Y170=4),'[1]S 4'!$E170,IF(('[1]S 4'!$Y171=4),'[1]S 4'!$E171," "))))</f>
        <v xml:space="preserve"> </v>
      </c>
      <c r="R31" s="63"/>
      <c r="V31" s="170"/>
      <c r="W31" s="170"/>
      <c r="X31" s="170"/>
      <c r="Y31" s="170"/>
      <c r="AD31" s="174"/>
      <c r="AG31" s="56"/>
      <c r="AH31" s="56"/>
      <c r="AI31" s="56"/>
      <c r="AJ31" s="56"/>
      <c r="AK31" s="56"/>
      <c r="AP31" s="76"/>
      <c r="AQ31" s="67"/>
      <c r="AR31" s="68"/>
      <c r="AS31" s="69"/>
      <c r="AT31" s="69"/>
      <c r="AU31" s="69"/>
      <c r="AV31" s="69"/>
      <c r="AW31" s="69"/>
      <c r="AX31" s="68"/>
      <c r="AY31" s="69"/>
      <c r="AZ31" s="67"/>
      <c r="BB31" s="76"/>
      <c r="BC31" s="67"/>
      <c r="BD31" s="68"/>
      <c r="BE31" s="69"/>
      <c r="BF31" s="69"/>
      <c r="BG31" s="69"/>
      <c r="BH31" s="69"/>
      <c r="BI31" s="69"/>
      <c r="BJ31" s="68"/>
      <c r="BK31" s="69"/>
      <c r="BL31" s="67"/>
      <c r="BN31" s="56"/>
      <c r="BO31" s="56"/>
      <c r="BR31" s="49"/>
      <c r="BT31" s="72" t="str">
        <f>IF(H31=G29,G33,G29)</f>
        <v>KLAJBER Adam</v>
      </c>
      <c r="BW31" s="56"/>
      <c r="BX31" s="56"/>
      <c r="BY31" s="56"/>
      <c r="BZ31" s="56"/>
      <c r="CA31" s="56"/>
      <c r="CF31" s="63"/>
      <c r="CI31" s="56"/>
      <c r="CJ31" s="56"/>
      <c r="CK31" s="56"/>
      <c r="CL31" s="56"/>
      <c r="CM31" s="56"/>
    </row>
    <row r="32" spans="1:111" ht="60" customHeight="1" thickBot="1">
      <c r="A32" s="49" t="s">
        <v>218</v>
      </c>
      <c r="B32" s="536">
        <v>3</v>
      </c>
      <c r="C32" s="537" t="s">
        <v>81</v>
      </c>
      <c r="D32" s="538">
        <v>15</v>
      </c>
      <c r="E32" s="135" t="str">
        <f>IF(ISERROR(IF($J$1="n","",IF($J$1="a",VLOOKUP(C32,'poradie v skupinach'!$A$5:$C$37,2),"")))=TRUE,"",IF($J$1="n","",IF($J$1="a",VLOOKUP(C32,'poradie v skupinach'!$A$5:$C$37,2),"")))</f>
        <v>IVANČO Félix</v>
      </c>
      <c r="F32" s="108" t="str">
        <f>IF(ISERROR(IF($J$1="n","",IF($J$1="a",VLOOKUP(C32,'poradie v skupinach'!$A$5:$C$37,3),"")))=TRUE,"",IF($J$1="n","",IF($J$1="a",VLOOKUP(C32,'poradie v skupinach'!$A$5:$C$37,3),"")))</f>
        <v>MSK MALACKY</v>
      </c>
      <c r="G32" s="124" t="str">
        <f>VLOOKUP($A29,'zapisy k stolom'!$Y$5:$AC$3073,5,0)</f>
        <v>Tbl.: 4   H: 16.30   D: So</v>
      </c>
      <c r="H32" s="144" t="str">
        <f>IF(H31="","",VLOOKUP($A29,'zapisy k stolom'!$Y$5:$AC$3073,4,0))</f>
        <v xml:space="preserve">3:2 ( 7,-7,6,-5,6,, ) </v>
      </c>
      <c r="I32" s="110"/>
      <c r="L32" s="60" t="str">
        <f t="shared" si="0"/>
        <v>CHP81</v>
      </c>
      <c r="M32" s="49" t="str">
        <f>E32</f>
        <v>IVANČO Félix</v>
      </c>
      <c r="P32" s="52" t="str">
        <f>IF(('[1]S 4'!$Y174=4),'[1]S 4'!$E174,IF(('[1]S 4'!$Y175=4),'[1]S 4'!$E175,IF(('[1]S 4'!$Y176=4),'[1]S 4'!$E176,IF(('[1]S 4'!$Y177=4),'[1]S 4'!$E177," "))))</f>
        <v xml:space="preserve"> </v>
      </c>
      <c r="R32" s="63"/>
      <c r="V32" s="170"/>
      <c r="W32" s="170"/>
      <c r="X32" s="170"/>
      <c r="Y32" s="170"/>
      <c r="AD32" s="174"/>
      <c r="AG32" s="56"/>
      <c r="AH32" s="56"/>
      <c r="AI32" s="56"/>
      <c r="AJ32" s="56"/>
      <c r="AK32" s="56"/>
      <c r="AP32" s="76"/>
      <c r="AQ32" s="67"/>
      <c r="AR32" s="68"/>
      <c r="AS32" s="69"/>
      <c r="AT32" s="69"/>
      <c r="AU32" s="69"/>
      <c r="AV32" s="69"/>
      <c r="AW32" s="69"/>
      <c r="AX32" s="68"/>
      <c r="AY32" s="69"/>
      <c r="AZ32" s="67"/>
      <c r="BB32" s="76"/>
      <c r="BC32" s="67"/>
      <c r="BD32" s="68"/>
      <c r="BE32" s="69"/>
      <c r="BF32" s="69"/>
      <c r="BG32" s="69"/>
      <c r="BH32" s="69"/>
      <c r="BI32" s="69"/>
      <c r="BJ32" s="68"/>
      <c r="BK32" s="69"/>
      <c r="BL32" s="67"/>
      <c r="BN32" s="56"/>
      <c r="BO32" s="56"/>
      <c r="BR32" s="49"/>
      <c r="BT32" s="63"/>
      <c r="BW32" s="56"/>
      <c r="BX32" s="56"/>
      <c r="BY32" s="56"/>
      <c r="BZ32" s="56"/>
      <c r="CA32" s="56"/>
      <c r="CF32" s="63"/>
      <c r="CI32" s="56"/>
      <c r="CJ32" s="56"/>
      <c r="CK32" s="56"/>
      <c r="CL32" s="56"/>
      <c r="CM32" s="56"/>
    </row>
    <row r="33" spans="1:93" ht="60" customHeight="1" thickBot="1">
      <c r="A33" s="49" t="s">
        <v>219</v>
      </c>
      <c r="B33" s="536"/>
      <c r="C33" s="537"/>
      <c r="D33" s="538"/>
      <c r="E33" s="111" t="str">
        <f>VLOOKUP($A32,'zapisy k stolom'!$Y$5:$AC$3073,5,0)</f>
        <v>Tbl.: 8   H: 16.00   D: So</v>
      </c>
      <c r="F33" s="117" t="s">
        <v>161</v>
      </c>
      <c r="G33" s="125" t="str">
        <f>IF(C32="x",E34,IF(C34="x",E32,VLOOKUP($A32,'zapisy k stolom'!$Y$5:$AC$3073,3,0)))</f>
        <v>KYSEL Martin</v>
      </c>
      <c r="H33" s="110"/>
      <c r="I33" s="110"/>
      <c r="L33" s="60" t="str">
        <f t="shared" si="0"/>
        <v>CHP122</v>
      </c>
      <c r="M33" s="49" t="str">
        <f>G33</f>
        <v>KYSEL Martin</v>
      </c>
      <c r="P33" s="52" t="str">
        <f>IF(('[1]S 4'!$Y180=4),'[1]S 4'!$E180,IF(('[1]S 4'!$Y181=4),'[1]S 4'!$E181,IF(('[1]S 4'!$Y182=4),'[1]S 4'!$E182,IF(('[1]S 4'!$Y183=4),'[1]S 4'!$E183," "))))</f>
        <v xml:space="preserve"> </v>
      </c>
      <c r="R33" s="63"/>
      <c r="V33" s="170"/>
      <c r="W33" s="170"/>
      <c r="X33" s="170"/>
      <c r="Y33" s="170"/>
      <c r="AD33" s="174"/>
      <c r="AG33" s="56"/>
      <c r="AH33" s="56"/>
      <c r="AI33" s="56"/>
      <c r="AJ33" s="56"/>
      <c r="AK33" s="56"/>
      <c r="AP33" s="76"/>
      <c r="AQ33" s="67"/>
      <c r="AR33" s="68"/>
      <c r="AS33" s="69"/>
      <c r="AT33" s="69"/>
      <c r="AU33" s="69"/>
      <c r="AV33" s="69"/>
      <c r="AW33" s="69"/>
      <c r="AX33" s="68"/>
      <c r="AY33" s="69"/>
      <c r="AZ33" s="67"/>
      <c r="BB33" s="76"/>
      <c r="BC33" s="67"/>
      <c r="BD33" s="68"/>
      <c r="BE33" s="69"/>
      <c r="BF33" s="69"/>
      <c r="BG33" s="69"/>
      <c r="BH33" s="69"/>
      <c r="BI33" s="69"/>
      <c r="BJ33" s="68"/>
      <c r="BK33" s="69"/>
      <c r="BL33" s="67"/>
      <c r="BN33" s="56"/>
      <c r="BO33" s="56"/>
      <c r="BR33" s="49">
        <f>IF(BS33="x",0,MAX(BR$5:$BR32)+1)</f>
        <v>8</v>
      </c>
      <c r="BS33" s="57" t="str">
        <f>IF(G33=E32,E34,E32)</f>
        <v>IVANČO Félix</v>
      </c>
      <c r="BT33" s="63"/>
      <c r="BW33" s="56"/>
      <c r="BX33" s="56"/>
      <c r="BY33" s="56"/>
      <c r="BZ33" s="56"/>
      <c r="CA33" s="56"/>
      <c r="CF33" s="63"/>
      <c r="CI33" s="56"/>
      <c r="CJ33" s="56"/>
      <c r="CK33" s="56"/>
      <c r="CL33" s="56"/>
      <c r="CM33" s="56"/>
    </row>
    <row r="34" spans="1:93" ht="60" customHeight="1" thickBot="1">
      <c r="A34" s="49" t="s">
        <v>220</v>
      </c>
      <c r="B34" s="539"/>
      <c r="C34" s="540" t="str">
        <f>IF(H1="nespravny pavuk","xx","B1")</f>
        <v>B1</v>
      </c>
      <c r="D34" s="538">
        <v>16</v>
      </c>
      <c r="E34" s="108" t="str">
        <f>IF(ISERROR(IF($J$1="n","",IF($J$1="a",VLOOKUP(C34,'poradie v skupinach'!$A$5:$C$37,2),"")))=TRUE,"",IF($J$1="n","",IF($J$1="a",VLOOKUP(C34,'poradie v skupinach'!$A$5:$C$37,2),"")))</f>
        <v>KYSEL Martin</v>
      </c>
      <c r="F34" s="114" t="str">
        <f>IF(ISERROR(IF($J$1="n","",IF($J$1="a",VLOOKUP(C34,'poradie v skupinach'!$A$5:$C$37,3),"")))=TRUE,"",IF($J$1="n","",IF($J$1="a",VLOOKUP(C34,'poradie v skupinach'!$A$5:$C$37,3),"")))</f>
        <v>MSTK TVRDOŠÍN</v>
      </c>
      <c r="G34" s="144" t="str">
        <f>IF(G33="","",IF(OR(C32="x",C34="x"),"",VLOOKUP($A32,'zapisy k stolom'!$Y$5:$AC$3073,4,0)))</f>
        <v xml:space="preserve">3:1 ( -8,4,8,4,,, ) </v>
      </c>
      <c r="H34" s="110"/>
      <c r="I34" s="128"/>
      <c r="L34" s="60" t="str">
        <f t="shared" si="0"/>
        <v>CHP82</v>
      </c>
      <c r="M34" s="49" t="str">
        <f>E34</f>
        <v>KYSEL Martin</v>
      </c>
      <c r="P34" s="52" t="str">
        <f>IF(('[1]S 4'!$Y186=4),'[1]S 4'!$E186,IF(('[1]S 4'!$Y187=4),'[1]S 4'!$E187,IF(('[1]S 4'!$Y188=4),'[1]S 4'!$E188,IF(('[1]S 4'!$Y189=4),'[1]S 4'!$E189," "))))</f>
        <v xml:space="preserve"> </v>
      </c>
      <c r="AP34" s="67"/>
      <c r="AQ34" s="67"/>
      <c r="AR34" s="68"/>
      <c r="AS34" s="68"/>
      <c r="AT34" s="68"/>
      <c r="AU34" s="68"/>
      <c r="AV34" s="68"/>
      <c r="AW34" s="68"/>
      <c r="AX34" s="68"/>
      <c r="AY34" s="69"/>
      <c r="AZ34" s="67"/>
      <c r="BB34" s="67"/>
      <c r="BC34" s="67"/>
      <c r="BD34" s="68"/>
      <c r="BE34" s="68"/>
      <c r="BF34" s="68"/>
      <c r="BG34" s="68"/>
      <c r="BH34" s="68"/>
      <c r="BI34" s="68"/>
      <c r="BJ34" s="68"/>
      <c r="BK34" s="69"/>
      <c r="BL34" s="67"/>
      <c r="BR34" s="49"/>
    </row>
    <row r="35" spans="1:93" ht="60" customHeight="1">
      <c r="B35" s="539"/>
      <c r="C35" s="540"/>
      <c r="D35" s="538"/>
      <c r="G35" s="106"/>
      <c r="H35" s="110"/>
      <c r="I35" s="128"/>
      <c r="J35" s="128"/>
      <c r="K35" s="79"/>
      <c r="L35" s="60"/>
      <c r="M35" s="52"/>
      <c r="P35" s="52" t="str">
        <f>IF(('[1]S 4'!$Y192=4),'[1]S 4'!$E192,IF(('[1]S 4'!$Y193=4),'[1]S 4'!$E193,IF(('[1]S 4'!$Y194=4),'[1]S 4'!$E194,IF(('[1]S 4'!$Y195=4),'[1]S 4'!$E195," "))))</f>
        <v xml:space="preserve"> </v>
      </c>
      <c r="R35" s="63"/>
      <c r="S35" s="64"/>
      <c r="Y35" s="173"/>
      <c r="Z35" s="173"/>
      <c r="AA35" s="173"/>
      <c r="AD35" s="174"/>
      <c r="AE35" s="64"/>
      <c r="AK35" s="531"/>
      <c r="AL35" s="531"/>
      <c r="AM35" s="531"/>
      <c r="AP35" s="76"/>
      <c r="AQ35" s="77"/>
      <c r="AR35" s="68"/>
      <c r="AS35" s="68"/>
      <c r="AT35" s="68"/>
      <c r="AU35" s="68"/>
      <c r="AV35" s="68"/>
      <c r="AW35" s="533"/>
      <c r="AX35" s="533"/>
      <c r="AY35" s="533"/>
      <c r="AZ35" s="67"/>
      <c r="BB35" s="76"/>
      <c r="BC35" s="77"/>
      <c r="BD35" s="68"/>
      <c r="BE35" s="68"/>
      <c r="BF35" s="68"/>
      <c r="BG35" s="68"/>
      <c r="BH35" s="68"/>
      <c r="BI35" s="533"/>
      <c r="BJ35" s="533"/>
      <c r="BK35" s="533"/>
      <c r="BL35" s="67"/>
      <c r="BO35" s="531"/>
      <c r="BP35" s="531"/>
      <c r="BQ35" s="531"/>
      <c r="BR35" s="49"/>
      <c r="BT35" s="63"/>
      <c r="BU35" s="64"/>
      <c r="CA35" s="531"/>
      <c r="CB35" s="531"/>
      <c r="CC35" s="531"/>
      <c r="CF35" s="63"/>
      <c r="CG35" s="64"/>
      <c r="CM35" s="531"/>
      <c r="CN35" s="531"/>
      <c r="CO35" s="531"/>
    </row>
    <row r="36" spans="1:93" ht="39.950000000000003" customHeight="1">
      <c r="C36" s="534" t="s">
        <v>120</v>
      </c>
      <c r="D36" s="535"/>
      <c r="F36" s="105"/>
      <c r="G36" s="110"/>
      <c r="H36" s="110"/>
      <c r="I36" s="128"/>
      <c r="J36" s="128"/>
      <c r="K36" s="79"/>
      <c r="L36" s="60"/>
      <c r="M36" s="52"/>
      <c r="P36" s="52" t="str">
        <f>IF(('[1]S 4'!$Y198=4),'[1]S 4'!$E198,IF(('[1]S 4'!$Y199=4),'[1]S 4'!$E199,IF(('[1]S 4'!$Y200=4),'[1]S 4'!$E200,IF(('[1]S 4'!$Y201=4),'[1]S 4'!$E201," "))))</f>
        <v xml:space="preserve"> </v>
      </c>
      <c r="R36" s="63"/>
      <c r="V36" s="170"/>
      <c r="W36" s="170"/>
      <c r="X36" s="170"/>
      <c r="Y36" s="170"/>
      <c r="AD36" s="174"/>
      <c r="AG36" s="56"/>
      <c r="AH36" s="56"/>
      <c r="AI36" s="56"/>
      <c r="AJ36" s="56"/>
      <c r="AK36" s="56"/>
      <c r="AP36" s="76"/>
      <c r="AQ36" s="67"/>
      <c r="AR36" s="68"/>
      <c r="AS36" s="69"/>
      <c r="AT36" s="69"/>
      <c r="AU36" s="69"/>
      <c r="AV36" s="69"/>
      <c r="AW36" s="69"/>
      <c r="AX36" s="68"/>
      <c r="AY36" s="69"/>
      <c r="AZ36" s="67"/>
      <c r="BB36" s="76"/>
      <c r="BC36" s="67"/>
      <c r="BD36" s="68"/>
      <c r="BE36" s="69"/>
      <c r="BF36" s="69"/>
      <c r="BG36" s="69"/>
      <c r="BH36" s="69"/>
      <c r="BI36" s="69"/>
      <c r="BJ36" s="68"/>
      <c r="BK36" s="69"/>
      <c r="BL36" s="67"/>
      <c r="BN36" s="56"/>
      <c r="BO36" s="56"/>
      <c r="BR36" s="49"/>
      <c r="BT36" s="63"/>
      <c r="BW36" s="56"/>
      <c r="BX36" s="56"/>
      <c r="BY36" s="56"/>
      <c r="BZ36" s="56"/>
      <c r="CA36" s="56"/>
      <c r="CF36" s="63"/>
      <c r="CI36" s="56"/>
      <c r="CJ36" s="56"/>
      <c r="CK36" s="56"/>
      <c r="CL36" s="56"/>
      <c r="CM36" s="56"/>
    </row>
    <row r="37" spans="1:93" ht="39.950000000000003" customHeight="1">
      <c r="C37" s="534"/>
      <c r="D37" s="535"/>
      <c r="G37" s="106"/>
      <c r="H37" s="110"/>
      <c r="I37" s="128"/>
      <c r="J37" s="128"/>
      <c r="K37" s="79"/>
      <c r="L37" s="60"/>
      <c r="M37" s="52"/>
      <c r="P37" s="52" t="str">
        <f>IF(('[1]S 4'!$Y204=4),'[1]S 4'!$E204,IF(('[1]S 4'!$Y205=4),'[1]S 4'!$E205,IF(('[1]S 4'!$Y206=4),'[1]S 4'!$E206,IF(('[1]S 4'!$Y207=4),'[1]S 4'!$E207," "))))</f>
        <v xml:space="preserve"> </v>
      </c>
      <c r="R37" s="63"/>
      <c r="V37" s="170"/>
      <c r="W37" s="170"/>
      <c r="X37" s="170"/>
      <c r="Y37" s="170"/>
      <c r="AD37" s="174"/>
      <c r="AG37" s="56"/>
      <c r="AH37" s="56"/>
      <c r="AI37" s="56"/>
      <c r="AJ37" s="56"/>
      <c r="AK37" s="56"/>
      <c r="AP37" s="76"/>
      <c r="AQ37" s="67"/>
      <c r="AR37" s="68"/>
      <c r="AS37" s="69"/>
      <c r="AT37" s="69"/>
      <c r="AU37" s="69"/>
      <c r="AV37" s="69"/>
      <c r="AW37" s="69"/>
      <c r="AX37" s="68"/>
      <c r="AY37" s="69"/>
      <c r="AZ37" s="67"/>
      <c r="BB37" s="76"/>
      <c r="BC37" s="67"/>
      <c r="BD37" s="68"/>
      <c r="BE37" s="69"/>
      <c r="BF37" s="69"/>
      <c r="BG37" s="69"/>
      <c r="BH37" s="69"/>
      <c r="BI37" s="69"/>
      <c r="BJ37" s="68"/>
      <c r="BK37" s="69"/>
      <c r="BL37" s="67"/>
      <c r="BN37" s="56"/>
      <c r="BO37" s="56"/>
      <c r="BR37" s="49"/>
      <c r="BT37" s="63"/>
      <c r="BW37" s="56"/>
      <c r="BX37" s="56"/>
      <c r="BY37" s="56"/>
      <c r="BZ37" s="56"/>
      <c r="CA37" s="56"/>
      <c r="CF37" s="63"/>
      <c r="CI37" s="56"/>
      <c r="CJ37" s="56"/>
      <c r="CK37" s="56"/>
      <c r="CL37" s="56"/>
      <c r="CM37" s="56"/>
    </row>
    <row r="38" spans="1:93" ht="39.950000000000003" customHeight="1">
      <c r="C38" s="534"/>
      <c r="D38" s="535"/>
      <c r="H38" s="105"/>
      <c r="I38" s="129"/>
      <c r="J38" s="129"/>
      <c r="K38" s="80"/>
      <c r="L38" s="60"/>
      <c r="M38" s="52"/>
      <c r="P38" s="52" t="str">
        <f>IF(('[1]S 4'!$Y210=4),'[1]S 4'!$E210,IF(('[1]S 4'!$Y211=4),'[1]S 4'!$E211,IF(('[1]S 4'!$Y212=4),'[1]S 4'!$E212,IF(('[1]S 4'!$Y213=4),'[1]S 4'!$E213," "))))</f>
        <v xml:space="preserve"> </v>
      </c>
      <c r="R38" s="63"/>
      <c r="V38" s="170"/>
      <c r="W38" s="170"/>
      <c r="X38" s="170"/>
      <c r="Y38" s="170"/>
      <c r="AD38" s="174"/>
      <c r="AG38" s="56"/>
      <c r="AH38" s="56"/>
      <c r="AI38" s="56"/>
      <c r="AJ38" s="56"/>
      <c r="AK38" s="56"/>
      <c r="AP38" s="76"/>
      <c r="AQ38" s="67"/>
      <c r="AR38" s="68"/>
      <c r="AS38" s="69"/>
      <c r="AT38" s="69"/>
      <c r="AU38" s="69"/>
      <c r="AV38" s="69"/>
      <c r="AW38" s="69"/>
      <c r="AX38" s="68"/>
      <c r="AY38" s="69"/>
      <c r="AZ38" s="67"/>
      <c r="BB38" s="76"/>
      <c r="BC38" s="67"/>
      <c r="BD38" s="68"/>
      <c r="BE38" s="69"/>
      <c r="BF38" s="69"/>
      <c r="BG38" s="69"/>
      <c r="BH38" s="69"/>
      <c r="BI38" s="69"/>
      <c r="BJ38" s="68"/>
      <c r="BK38" s="69"/>
      <c r="BL38" s="67"/>
      <c r="BN38" s="56"/>
      <c r="BO38" s="56"/>
      <c r="BR38" s="49"/>
      <c r="BT38" s="63"/>
      <c r="BW38" s="56"/>
      <c r="BX38" s="56"/>
      <c r="BY38" s="56"/>
      <c r="BZ38" s="56"/>
      <c r="CA38" s="56"/>
      <c r="CF38" s="63"/>
      <c r="CI38" s="56"/>
      <c r="CJ38" s="56"/>
      <c r="CK38" s="56"/>
      <c r="CL38" s="56"/>
      <c r="CM38" s="56"/>
    </row>
    <row r="39" spans="1:93" ht="39.950000000000003" customHeight="1">
      <c r="C39" s="534"/>
      <c r="D39" s="535"/>
      <c r="H39" s="105"/>
      <c r="I39" s="129"/>
      <c r="J39" s="129"/>
      <c r="K39" s="80"/>
      <c r="L39" s="60"/>
      <c r="M39" s="52"/>
      <c r="P39" s="52" t="str">
        <f>IF(('[1]S 4'!$Y216=4),'[1]S 4'!$E216,IF(('[1]S 4'!$Y217=4),'[1]S 4'!$E217,IF(('[1]S 4'!$Y218=4),'[1]S 4'!$E218,IF(('[1]S 4'!$Y219=4),'[1]S 4'!$E219," "))))</f>
        <v xml:space="preserve"> </v>
      </c>
      <c r="R39" s="63"/>
      <c r="V39" s="170"/>
      <c r="W39" s="170"/>
      <c r="X39" s="170"/>
      <c r="Y39" s="170"/>
      <c r="AD39" s="174"/>
      <c r="AG39" s="56"/>
      <c r="AH39" s="56"/>
      <c r="AI39" s="56"/>
      <c r="AJ39" s="56"/>
      <c r="AK39" s="56"/>
      <c r="AP39" s="76"/>
      <c r="AQ39" s="67"/>
      <c r="AR39" s="68"/>
      <c r="AS39" s="69"/>
      <c r="AT39" s="69"/>
      <c r="AU39" s="69"/>
      <c r="AV39" s="69"/>
      <c r="AW39" s="69"/>
      <c r="AX39" s="68"/>
      <c r="AY39" s="69"/>
      <c r="AZ39" s="67"/>
      <c r="BB39" s="76"/>
      <c r="BC39" s="67"/>
      <c r="BD39" s="68"/>
      <c r="BE39" s="69"/>
      <c r="BF39" s="69"/>
      <c r="BG39" s="69"/>
      <c r="BH39" s="69"/>
      <c r="BI39" s="69"/>
      <c r="BJ39" s="68"/>
      <c r="BK39" s="69"/>
      <c r="BL39" s="67"/>
      <c r="BN39" s="56"/>
      <c r="BO39" s="56"/>
      <c r="BR39" s="49"/>
      <c r="BT39" s="63"/>
      <c r="BW39" s="56"/>
      <c r="BX39" s="56"/>
      <c r="BY39" s="56"/>
      <c r="BZ39" s="56"/>
      <c r="CA39" s="56"/>
      <c r="CF39" s="63"/>
      <c r="CI39" s="56"/>
      <c r="CJ39" s="56"/>
      <c r="CK39" s="56"/>
      <c r="CL39" s="56"/>
      <c r="CM39" s="56"/>
    </row>
    <row r="40" spans="1:93" ht="39.950000000000003" customHeight="1">
      <c r="C40" s="534"/>
      <c r="D40" s="535"/>
      <c r="H40" s="105"/>
      <c r="I40" s="129"/>
      <c r="J40" s="129"/>
      <c r="K40" s="80"/>
      <c r="L40" s="60"/>
      <c r="M40" s="52"/>
      <c r="P40" s="52" t="str">
        <f>IF(('[1]S 4'!$Y222=4),'[1]S 4'!$E222,IF(('[1]S 4'!$Y223=4),'[1]S 4'!$E223,IF(('[1]S 4'!$Y224=4),'[1]S 4'!$E224,IF(('[1]S 4'!$Y225=4),'[1]S 4'!$E225," "))))</f>
        <v xml:space="preserve"> </v>
      </c>
      <c r="AP40" s="67"/>
      <c r="AQ40" s="67"/>
      <c r="AR40" s="68"/>
      <c r="AS40" s="68"/>
      <c r="AT40" s="68"/>
      <c r="AU40" s="68"/>
      <c r="AV40" s="68"/>
      <c r="AW40" s="68"/>
      <c r="AX40" s="68"/>
      <c r="AY40" s="69"/>
      <c r="AZ40" s="67"/>
      <c r="BB40" s="67"/>
      <c r="BC40" s="67"/>
      <c r="BD40" s="68"/>
      <c r="BE40" s="68"/>
      <c r="BF40" s="68"/>
      <c r="BG40" s="68"/>
      <c r="BH40" s="68"/>
      <c r="BI40" s="68"/>
      <c r="BJ40" s="68"/>
      <c r="BK40" s="69"/>
      <c r="BL40" s="67"/>
      <c r="BR40" s="49"/>
    </row>
    <row r="41" spans="1:93" ht="39.950000000000003" customHeight="1">
      <c r="C41" s="534"/>
      <c r="D41" s="535"/>
      <c r="G41" s="105"/>
      <c r="H41" s="105"/>
      <c r="I41" s="129"/>
      <c r="J41" s="129"/>
      <c r="K41" s="80"/>
      <c r="L41" s="60"/>
      <c r="M41" s="52"/>
      <c r="P41" s="52" t="str">
        <f>IF(('[1]S 4'!$Y228=4),'[1]S 4'!$E228,IF(('[1]S 4'!$Y229=4),'[1]S 4'!$E229,IF(('[1]S 4'!$Y230=4),'[1]S 4'!$E230,IF(('[1]S 4'!$Y231=4),'[1]S 4'!$E231," "))))</f>
        <v xml:space="preserve"> </v>
      </c>
      <c r="R41" s="63"/>
      <c r="S41" s="64"/>
      <c r="Y41" s="532"/>
      <c r="Z41" s="532"/>
      <c r="AA41" s="532"/>
      <c r="AD41" s="174"/>
      <c r="AE41" s="64"/>
      <c r="AK41" s="531"/>
      <c r="AL41" s="531"/>
      <c r="AM41" s="531"/>
      <c r="AP41" s="76"/>
      <c r="AQ41" s="77"/>
      <c r="AR41" s="68"/>
      <c r="AS41" s="68"/>
      <c r="AT41" s="68"/>
      <c r="AU41" s="68"/>
      <c r="AV41" s="68"/>
      <c r="AW41" s="533"/>
      <c r="AX41" s="533"/>
      <c r="AY41" s="533"/>
      <c r="AZ41" s="67"/>
      <c r="BB41" s="76"/>
      <c r="BC41" s="77"/>
      <c r="BD41" s="68"/>
      <c r="BE41" s="68"/>
      <c r="BF41" s="68"/>
      <c r="BG41" s="68"/>
      <c r="BH41" s="68"/>
      <c r="BI41" s="533"/>
      <c r="BJ41" s="533"/>
      <c r="BK41" s="533"/>
      <c r="BL41" s="67"/>
      <c r="BO41" s="531"/>
      <c r="BP41" s="531"/>
      <c r="BQ41" s="531"/>
      <c r="BR41" s="49"/>
      <c r="BT41" s="63"/>
      <c r="BU41" s="64"/>
      <c r="CA41" s="531"/>
      <c r="CB41" s="531"/>
      <c r="CC41" s="531"/>
      <c r="CF41" s="63"/>
      <c r="CG41" s="64"/>
      <c r="CM41" s="531"/>
      <c r="CN41" s="531"/>
      <c r="CO41" s="531"/>
    </row>
    <row r="42" spans="1:93" ht="39.950000000000003" customHeight="1">
      <c r="C42" s="534"/>
      <c r="D42" s="535"/>
      <c r="F42" s="130" t="s">
        <v>122</v>
      </c>
      <c r="G42" s="130" t="s">
        <v>123</v>
      </c>
      <c r="H42" s="105"/>
      <c r="I42" s="105"/>
      <c r="J42" s="105"/>
      <c r="K42" s="52"/>
      <c r="L42" s="60"/>
      <c r="M42" s="52"/>
      <c r="P42" s="52" t="str">
        <f>IF(('[1]S 4'!$Y234=4),'[1]S 4'!$E234,IF(('[1]S 4'!$Y235=4),'[1]S 4'!$E235,IF(('[1]S 4'!$Y236=4),'[1]S 4'!$E236,IF(('[1]S 4'!$Y237=4),'[1]S 4'!$E237," "))))</f>
        <v xml:space="preserve"> </v>
      </c>
      <c r="R42" s="63"/>
      <c r="V42" s="170"/>
      <c r="W42" s="170"/>
      <c r="X42" s="170"/>
      <c r="Y42" s="170"/>
      <c r="AD42" s="175"/>
      <c r="AG42" s="56"/>
      <c r="AH42" s="56"/>
      <c r="AI42" s="56"/>
      <c r="AJ42" s="56"/>
      <c r="AK42" s="56"/>
      <c r="AP42" s="76"/>
      <c r="AQ42" s="67"/>
      <c r="AR42" s="68"/>
      <c r="AS42" s="69"/>
      <c r="AT42" s="69"/>
      <c r="AU42" s="69"/>
      <c r="AV42" s="69"/>
      <c r="AW42" s="69"/>
      <c r="AX42" s="68"/>
      <c r="AY42" s="69"/>
      <c r="AZ42" s="67"/>
      <c r="BB42" s="76"/>
      <c r="BC42" s="67"/>
      <c r="BD42" s="68"/>
      <c r="BE42" s="69"/>
      <c r="BF42" s="69"/>
      <c r="BG42" s="69"/>
      <c r="BH42" s="69"/>
      <c r="BI42" s="69"/>
      <c r="BJ42" s="68"/>
      <c r="BK42" s="69"/>
      <c r="BL42" s="67"/>
      <c r="BN42" s="56"/>
      <c r="BO42" s="56"/>
      <c r="BR42" s="49"/>
      <c r="BT42" s="63"/>
      <c r="BW42" s="56"/>
      <c r="BX42" s="56"/>
      <c r="BY42" s="56"/>
      <c r="BZ42" s="56"/>
      <c r="CA42" s="56"/>
      <c r="CF42" s="63"/>
      <c r="CI42" s="56"/>
      <c r="CJ42" s="56"/>
      <c r="CK42" s="56"/>
      <c r="CL42" s="56"/>
      <c r="CM42" s="56"/>
    </row>
    <row r="43" spans="1:93" ht="39.950000000000003" customHeight="1">
      <c r="C43" s="534"/>
      <c r="D43" s="535"/>
      <c r="F43" s="131" t="s">
        <v>124</v>
      </c>
      <c r="G43" s="132" t="s">
        <v>125</v>
      </c>
      <c r="H43" s="105"/>
      <c r="I43" s="105"/>
      <c r="J43" s="110"/>
      <c r="K43" s="71"/>
      <c r="L43" s="60"/>
      <c r="M43" s="52"/>
      <c r="P43" s="52" t="str">
        <f>IF(('[1]S 4'!$Y240=4),'[1]S 4'!$E240,IF(('[1]S 4'!$Y241=4),'[1]S 4'!$E241,IF(('[1]S 4'!$Y242=4),'[1]S 4'!$E242,IF(('[1]S 4'!$Y243=4),'[1]S 4'!$E243," "))))</f>
        <v xml:space="preserve"> </v>
      </c>
      <c r="R43" s="63"/>
      <c r="V43" s="170"/>
      <c r="W43" s="170"/>
      <c r="X43" s="170"/>
      <c r="Y43" s="170"/>
      <c r="AD43" s="174"/>
      <c r="AG43" s="56"/>
      <c r="AH43" s="56"/>
      <c r="AI43" s="56"/>
      <c r="AJ43" s="56"/>
      <c r="AK43" s="56"/>
      <c r="AP43" s="76"/>
      <c r="AQ43" s="67"/>
      <c r="AR43" s="68"/>
      <c r="AS43" s="69"/>
      <c r="AT43" s="69"/>
      <c r="AU43" s="69"/>
      <c r="AV43" s="69"/>
      <c r="AW43" s="69"/>
      <c r="AX43" s="68"/>
      <c r="AY43" s="69"/>
      <c r="AZ43" s="67"/>
      <c r="BB43" s="76"/>
      <c r="BC43" s="67"/>
      <c r="BD43" s="68"/>
      <c r="BE43" s="69"/>
      <c r="BF43" s="69"/>
      <c r="BG43" s="69"/>
      <c r="BH43" s="69"/>
      <c r="BI43" s="69"/>
      <c r="BJ43" s="68"/>
      <c r="BK43" s="69"/>
      <c r="BL43" s="67"/>
      <c r="BN43" s="56"/>
      <c r="BO43" s="56"/>
      <c r="BR43" s="49"/>
      <c r="BT43" s="63"/>
      <c r="BW43" s="56"/>
      <c r="BX43" s="56"/>
      <c r="BY43" s="56"/>
      <c r="BZ43" s="56"/>
      <c r="CA43" s="56"/>
      <c r="CF43" s="63"/>
      <c r="CI43" s="56"/>
      <c r="CJ43" s="56"/>
      <c r="CK43" s="56"/>
      <c r="CL43" s="56"/>
      <c r="CM43" s="56"/>
    </row>
    <row r="44" spans="1:93" ht="39.950000000000003" customHeight="1">
      <c r="C44" s="534"/>
      <c r="D44" s="535"/>
      <c r="F44" s="133" t="s">
        <v>126</v>
      </c>
      <c r="G44" s="133" t="s">
        <v>127</v>
      </c>
      <c r="H44" s="105"/>
      <c r="I44" s="105"/>
      <c r="J44" s="110"/>
      <c r="K44" s="57"/>
      <c r="L44" s="60"/>
      <c r="M44" s="52"/>
      <c r="P44" s="52" t="str">
        <f>IF(('[1]S 4'!$Y246=4),'[1]S 4'!$E246,IF(('[1]S 4'!$Y247=4),'[1]S 4'!$E247,IF(('[1]S 4'!$Y248=4),'[1]S 4'!$E248,IF(('[1]S 4'!$Y249=4),'[1]S 4'!$E249," "))))</f>
        <v xml:space="preserve"> </v>
      </c>
      <c r="R44" s="63"/>
      <c r="V44" s="170"/>
      <c r="W44" s="170"/>
      <c r="X44" s="170"/>
      <c r="Y44" s="170"/>
      <c r="AD44" s="174"/>
      <c r="AG44" s="56"/>
      <c r="AH44" s="56"/>
      <c r="AI44" s="56"/>
      <c r="AJ44" s="56"/>
      <c r="AK44" s="56"/>
      <c r="AP44" s="76"/>
      <c r="AQ44" s="67"/>
      <c r="AR44" s="68"/>
      <c r="AS44" s="69"/>
      <c r="AT44" s="69"/>
      <c r="AU44" s="69"/>
      <c r="AV44" s="69"/>
      <c r="AW44" s="69"/>
      <c r="AX44" s="68"/>
      <c r="AY44" s="69"/>
      <c r="AZ44" s="67"/>
      <c r="BB44" s="76"/>
      <c r="BC44" s="67"/>
      <c r="BD44" s="68"/>
      <c r="BE44" s="69"/>
      <c r="BF44" s="69"/>
      <c r="BG44" s="69"/>
      <c r="BH44" s="69"/>
      <c r="BI44" s="69"/>
      <c r="BJ44" s="68"/>
      <c r="BK44" s="69"/>
      <c r="BL44" s="67"/>
      <c r="BN44" s="56"/>
      <c r="BO44" s="56"/>
      <c r="BR44" s="49"/>
      <c r="BT44" s="63"/>
      <c r="BW44" s="56"/>
      <c r="BX44" s="56"/>
      <c r="BY44" s="56"/>
      <c r="BZ44" s="56"/>
      <c r="CA44" s="56"/>
      <c r="CF44" s="63"/>
      <c r="CI44" s="56"/>
      <c r="CJ44" s="56"/>
      <c r="CK44" s="56"/>
      <c r="CL44" s="56"/>
      <c r="CM44" s="56"/>
    </row>
    <row r="45" spans="1:93" ht="39.950000000000003" customHeight="1">
      <c r="C45" s="534"/>
      <c r="D45" s="535"/>
      <c r="F45" s="105"/>
      <c r="G45" s="105"/>
      <c r="H45" s="105"/>
      <c r="I45" s="105"/>
      <c r="J45" s="110"/>
      <c r="K45" s="57"/>
      <c r="L45" s="60"/>
      <c r="M45" s="52"/>
      <c r="P45" s="52" t="str">
        <f>IF(('[1]S 4'!$Y252=4),'[1]S 4'!$E252,IF(('[1]S 4'!$Y253=4),'[1]S 4'!$E253,IF(('[1]S 4'!$Y254=4),'[1]S 4'!$E254,IF(('[1]S 4'!$Y255=4),'[1]S 4'!$E255," "))))</f>
        <v xml:space="preserve"> </v>
      </c>
      <c r="R45" s="63"/>
      <c r="V45" s="170"/>
      <c r="W45" s="170"/>
      <c r="X45" s="170"/>
      <c r="Y45" s="170"/>
      <c r="AD45" s="174"/>
      <c r="AG45" s="56"/>
      <c r="AH45" s="56"/>
      <c r="AI45" s="56"/>
      <c r="AJ45" s="56"/>
      <c r="AK45" s="56"/>
      <c r="AP45" s="76"/>
      <c r="AQ45" s="67"/>
      <c r="AR45" s="68"/>
      <c r="AS45" s="69"/>
      <c r="AT45" s="69"/>
      <c r="AU45" s="69"/>
      <c r="AV45" s="69"/>
      <c r="AW45" s="69"/>
      <c r="AX45" s="68"/>
      <c r="AY45" s="69"/>
      <c r="AZ45" s="67"/>
      <c r="BB45" s="76"/>
      <c r="BC45" s="67"/>
      <c r="BD45" s="68"/>
      <c r="BE45" s="69"/>
      <c r="BF45" s="69"/>
      <c r="BG45" s="69"/>
      <c r="BH45" s="69"/>
      <c r="BI45" s="69"/>
      <c r="BJ45" s="68"/>
      <c r="BK45" s="69"/>
      <c r="BL45" s="67"/>
      <c r="BN45" s="56"/>
      <c r="BO45" s="56"/>
      <c r="BR45" s="49"/>
      <c r="BT45" s="63"/>
      <c r="BW45" s="56"/>
      <c r="BX45" s="56"/>
      <c r="BY45" s="56"/>
      <c r="BZ45" s="56"/>
      <c r="CA45" s="56"/>
      <c r="CF45" s="63"/>
      <c r="CI45" s="56"/>
      <c r="CJ45" s="56"/>
      <c r="CK45" s="56"/>
      <c r="CL45" s="56"/>
      <c r="CM45" s="56"/>
    </row>
    <row r="46" spans="1:93" ht="39.950000000000003" customHeight="1">
      <c r="C46" s="534"/>
      <c r="D46" s="535"/>
      <c r="F46" s="105"/>
      <c r="G46" s="105"/>
      <c r="H46" s="105"/>
      <c r="I46" s="105"/>
      <c r="J46" s="110"/>
      <c r="K46" s="57"/>
      <c r="L46" s="60"/>
      <c r="M46" s="52"/>
      <c r="P46" s="52" t="str">
        <f>IF(('[1]S 4'!$Y258=4),'[1]S 4'!$E258,IF(('[1]S 4'!$Y259=4),'[1]S 4'!$E259,IF(('[1]S 4'!$Y260=4),'[1]S 4'!$E260,IF(('[1]S 4'!$Y261=4),'[1]S 4'!$E261," "))))</f>
        <v xml:space="preserve"> </v>
      </c>
      <c r="AP46" s="67"/>
      <c r="AQ46" s="67"/>
      <c r="AR46" s="68"/>
      <c r="AS46" s="68"/>
      <c r="AT46" s="68"/>
      <c r="AU46" s="68"/>
      <c r="AV46" s="68"/>
      <c r="AW46" s="68"/>
      <c r="AX46" s="68"/>
      <c r="AY46" s="69"/>
      <c r="AZ46" s="67"/>
      <c r="BB46" s="67"/>
      <c r="BC46" s="67"/>
      <c r="BD46" s="68"/>
      <c r="BE46" s="68"/>
      <c r="BF46" s="68"/>
      <c r="BG46" s="68"/>
      <c r="BH46" s="68"/>
      <c r="BI46" s="68"/>
      <c r="BJ46" s="68"/>
      <c r="BK46" s="69"/>
      <c r="BL46" s="67"/>
      <c r="BR46" s="49"/>
    </row>
    <row r="47" spans="1:93" ht="39.950000000000003" customHeight="1">
      <c r="C47" s="534"/>
      <c r="D47" s="535"/>
      <c r="F47" s="105"/>
      <c r="G47" s="105"/>
      <c r="H47" s="105"/>
      <c r="I47" s="105"/>
      <c r="J47" s="110"/>
      <c r="K47" s="57"/>
      <c r="L47" s="60"/>
      <c r="M47" s="52"/>
      <c r="P47" s="52" t="str">
        <f>IF(('[1]S 4'!$Y264=4),'[1]S 4'!$E264,IF(('[1]S 4'!$Y265=4),'[1]S 4'!$E265,IF(('[1]S 4'!$Y266=4),'[1]S 4'!$E266,IF(('[1]S 4'!$Y267=4),'[1]S 4'!$E267," "))))</f>
        <v xml:space="preserve"> </v>
      </c>
      <c r="R47" s="63"/>
      <c r="S47" s="64"/>
      <c r="Y47" s="532"/>
      <c r="Z47" s="532"/>
      <c r="AA47" s="532"/>
      <c r="AD47" s="174"/>
      <c r="AE47" s="64"/>
      <c r="AK47" s="531"/>
      <c r="AL47" s="531"/>
      <c r="AM47" s="531"/>
      <c r="AP47" s="76"/>
      <c r="AQ47" s="77"/>
      <c r="AR47" s="68"/>
      <c r="AS47" s="68"/>
      <c r="AT47" s="68"/>
      <c r="AU47" s="68"/>
      <c r="AV47" s="68"/>
      <c r="AW47" s="533"/>
      <c r="AX47" s="533"/>
      <c r="AY47" s="533"/>
      <c r="AZ47" s="67"/>
      <c r="BB47" s="76"/>
      <c r="BC47" s="77"/>
      <c r="BD47" s="68"/>
      <c r="BE47" s="68"/>
      <c r="BF47" s="68"/>
      <c r="BG47" s="68"/>
      <c r="BH47" s="68"/>
      <c r="BI47" s="533"/>
      <c r="BJ47" s="533"/>
      <c r="BK47" s="533"/>
      <c r="BL47" s="67"/>
      <c r="BO47" s="531"/>
      <c r="BP47" s="531"/>
      <c r="BQ47" s="531"/>
      <c r="BR47" s="49"/>
      <c r="BT47" s="63"/>
      <c r="BU47" s="64"/>
      <c r="CA47" s="531"/>
      <c r="CB47" s="531"/>
      <c r="CC47" s="531"/>
      <c r="CF47" s="63"/>
      <c r="CG47" s="64"/>
      <c r="CM47" s="531"/>
      <c r="CN47" s="531"/>
      <c r="CO47" s="531"/>
    </row>
    <row r="48" spans="1:93" ht="39.950000000000003" customHeight="1">
      <c r="C48" s="534"/>
      <c r="D48" s="535"/>
      <c r="F48" s="105"/>
      <c r="G48" s="105"/>
      <c r="H48" s="105"/>
      <c r="I48" s="105"/>
      <c r="J48" s="105"/>
      <c r="K48" s="52"/>
      <c r="L48" s="60"/>
      <c r="M48" s="52"/>
      <c r="P48" s="52" t="str">
        <f>IF(('[1]S 4'!$Y270=4),'[1]S 4'!$E270,IF(('[1]S 4'!$Y271=4),'[1]S 4'!$E271,IF(('[1]S 4'!$Y272=4),'[1]S 4'!$E272,IF(('[1]S 4'!$Y273=4),'[1]S 4'!$E273," "))))</f>
        <v xml:space="preserve"> </v>
      </c>
      <c r="R48" s="63"/>
      <c r="V48" s="170"/>
      <c r="W48" s="170"/>
      <c r="X48" s="170"/>
      <c r="Y48" s="170"/>
      <c r="AD48" s="174"/>
      <c r="AG48" s="56"/>
      <c r="AH48" s="56"/>
      <c r="AI48" s="56"/>
      <c r="AJ48" s="56"/>
      <c r="AK48" s="56"/>
      <c r="AP48" s="76"/>
      <c r="AQ48" s="67"/>
      <c r="AR48" s="68"/>
      <c r="AS48" s="69"/>
      <c r="AT48" s="69"/>
      <c r="AU48" s="69"/>
      <c r="AV48" s="69"/>
      <c r="AW48" s="69"/>
      <c r="AX48" s="68"/>
      <c r="AY48" s="69"/>
      <c r="AZ48" s="67"/>
      <c r="BB48" s="76"/>
      <c r="BC48" s="67"/>
      <c r="BD48" s="68"/>
      <c r="BE48" s="69"/>
      <c r="BF48" s="69"/>
      <c r="BG48" s="69"/>
      <c r="BH48" s="69"/>
      <c r="BI48" s="69"/>
      <c r="BJ48" s="68"/>
      <c r="BK48" s="69"/>
      <c r="BL48" s="67"/>
      <c r="BN48" s="56"/>
      <c r="BO48" s="56"/>
      <c r="BR48" s="49"/>
      <c r="BT48" s="63"/>
      <c r="BW48" s="56"/>
      <c r="BX48" s="56"/>
      <c r="BY48" s="56"/>
      <c r="BZ48" s="56"/>
      <c r="CA48" s="56"/>
      <c r="CF48" s="63"/>
      <c r="CI48" s="56"/>
      <c r="CJ48" s="56"/>
      <c r="CK48" s="56"/>
      <c r="CL48" s="56"/>
      <c r="CM48" s="56"/>
    </row>
    <row r="49" spans="3:93" ht="39.950000000000003" customHeight="1">
      <c r="C49" s="534"/>
      <c r="D49" s="535"/>
      <c r="F49" s="105"/>
      <c r="G49" s="105"/>
      <c r="H49" s="105"/>
      <c r="I49" s="105"/>
      <c r="J49" s="105"/>
      <c r="K49" s="52"/>
      <c r="P49" s="52" t="str">
        <f>IF(('[1]S 4'!$Y276=4),'[1]S 4'!$E276,IF(('[1]S 4'!$Y277=4),'[1]S 4'!$E277,IF(('[1]S 4'!$Y278=4),'[1]S 4'!$E278,IF(('[1]S 4'!$Y279=4),'[1]S 4'!$E279," "))))</f>
        <v xml:space="preserve"> </v>
      </c>
      <c r="R49" s="63"/>
      <c r="V49" s="170"/>
      <c r="W49" s="170"/>
      <c r="X49" s="170"/>
      <c r="Y49" s="170"/>
      <c r="AD49" s="174"/>
      <c r="AG49" s="56"/>
      <c r="AH49" s="56"/>
      <c r="AI49" s="56"/>
      <c r="AJ49" s="56"/>
      <c r="AK49" s="56"/>
      <c r="AP49" s="76"/>
      <c r="AQ49" s="67"/>
      <c r="AR49" s="68"/>
      <c r="AS49" s="69"/>
      <c r="AT49" s="69"/>
      <c r="AU49" s="69"/>
      <c r="AV49" s="69"/>
      <c r="AW49" s="69"/>
      <c r="AX49" s="68"/>
      <c r="AY49" s="69"/>
      <c r="AZ49" s="67"/>
      <c r="BB49" s="76"/>
      <c r="BC49" s="67"/>
      <c r="BD49" s="68"/>
      <c r="BE49" s="69"/>
      <c r="BF49" s="69"/>
      <c r="BG49" s="69"/>
      <c r="BH49" s="69"/>
      <c r="BI49" s="69"/>
      <c r="BJ49" s="68"/>
      <c r="BK49" s="69"/>
      <c r="BL49" s="67"/>
      <c r="BN49" s="56"/>
      <c r="BO49" s="56"/>
      <c r="BR49" s="49"/>
      <c r="BT49" s="63"/>
      <c r="BW49" s="56"/>
      <c r="BX49" s="56"/>
      <c r="BY49" s="56"/>
      <c r="BZ49" s="56"/>
      <c r="CA49" s="56"/>
      <c r="CF49" s="63"/>
      <c r="CI49" s="56"/>
      <c r="CJ49" s="56"/>
      <c r="CK49" s="56"/>
      <c r="CL49" s="56"/>
      <c r="CM49" s="56"/>
    </row>
    <row r="50" spans="3:93" ht="39.950000000000003" customHeight="1">
      <c r="C50" s="534"/>
      <c r="D50" s="535"/>
      <c r="F50" s="105"/>
      <c r="G50" s="105"/>
      <c r="H50" s="105"/>
      <c r="I50" s="105"/>
      <c r="J50" s="105"/>
      <c r="K50" s="52"/>
      <c r="P50" s="52" t="str">
        <f>IF(('[1]S 4'!$Y282=4),'[1]S 4'!$E282,IF(('[1]S 4'!$Y283=4),'[1]S 4'!$E283,IF(('[1]S 4'!$Y284=4),'[1]S 4'!$E284,IF(('[1]S 4'!$Y285=4),'[1]S 4'!$E285," "))))</f>
        <v xml:space="preserve"> </v>
      </c>
      <c r="R50" s="63"/>
      <c r="V50" s="170"/>
      <c r="W50" s="170"/>
      <c r="X50" s="170"/>
      <c r="Y50" s="170"/>
      <c r="AD50" s="174"/>
      <c r="AG50" s="56"/>
      <c r="AH50" s="56"/>
      <c r="AI50" s="56"/>
      <c r="AJ50" s="56"/>
      <c r="AK50" s="56"/>
      <c r="AP50" s="76"/>
      <c r="AQ50" s="67"/>
      <c r="AR50" s="68"/>
      <c r="AS50" s="69"/>
      <c r="AT50" s="69"/>
      <c r="AU50" s="69"/>
      <c r="AV50" s="69"/>
      <c r="AW50" s="69"/>
      <c r="AX50" s="68"/>
      <c r="AY50" s="69"/>
      <c r="AZ50" s="67"/>
      <c r="BB50" s="76"/>
      <c r="BC50" s="67"/>
      <c r="BD50" s="68"/>
      <c r="BE50" s="69"/>
      <c r="BF50" s="69"/>
      <c r="BG50" s="69"/>
      <c r="BH50" s="69"/>
      <c r="BI50" s="69"/>
      <c r="BJ50" s="68"/>
      <c r="BK50" s="69"/>
      <c r="BL50" s="67"/>
      <c r="BN50" s="56"/>
      <c r="BO50" s="56"/>
      <c r="BR50" s="49"/>
      <c r="BT50" s="63"/>
      <c r="BW50" s="56"/>
      <c r="BX50" s="56"/>
      <c r="BY50" s="56"/>
      <c r="BZ50" s="56"/>
      <c r="CA50" s="56"/>
      <c r="CF50" s="63"/>
      <c r="CI50" s="56"/>
      <c r="CJ50" s="56"/>
      <c r="CK50" s="56"/>
      <c r="CL50" s="56"/>
      <c r="CM50" s="56"/>
    </row>
    <row r="51" spans="3:93" ht="39.950000000000003" customHeight="1">
      <c r="C51" s="534"/>
      <c r="D51" s="535"/>
      <c r="F51" s="105"/>
      <c r="G51" s="105"/>
      <c r="H51" s="105"/>
      <c r="I51" s="105"/>
      <c r="J51" s="105"/>
      <c r="K51" s="52"/>
      <c r="P51" s="52" t="str">
        <f>IF(('[1]S 4'!$Y288=4),'[1]S 4'!$E288,IF(('[1]S 4'!$Y289=4),'[1]S 4'!$E289,IF(('[1]S 4'!$Y290=4),'[1]S 4'!$E290,IF(('[1]S 4'!$Y291=4),'[1]S 4'!$E291," "))))</f>
        <v xml:space="preserve"> </v>
      </c>
      <c r="R51" s="63"/>
      <c r="V51" s="170"/>
      <c r="W51" s="170"/>
      <c r="X51" s="170"/>
      <c r="Y51" s="170"/>
      <c r="AD51" s="174"/>
      <c r="AG51" s="56"/>
      <c r="AH51" s="56"/>
      <c r="AI51" s="56"/>
      <c r="AJ51" s="56"/>
      <c r="AK51" s="56"/>
      <c r="AP51" s="76"/>
      <c r="AQ51" s="67"/>
      <c r="AR51" s="68"/>
      <c r="AS51" s="69"/>
      <c r="AT51" s="69"/>
      <c r="AU51" s="69"/>
      <c r="AV51" s="69"/>
      <c r="AW51" s="69"/>
      <c r="AX51" s="68"/>
      <c r="AY51" s="69"/>
      <c r="AZ51" s="67"/>
      <c r="BB51" s="76"/>
      <c r="BC51" s="67"/>
      <c r="BD51" s="68"/>
      <c r="BE51" s="69"/>
      <c r="BF51" s="69"/>
      <c r="BG51" s="69"/>
      <c r="BH51" s="69"/>
      <c r="BI51" s="69"/>
      <c r="BJ51" s="68"/>
      <c r="BK51" s="69"/>
      <c r="BL51" s="67"/>
      <c r="BN51" s="56"/>
      <c r="BO51" s="56"/>
      <c r="BR51" s="49"/>
      <c r="BT51" s="63"/>
      <c r="BW51" s="56"/>
      <c r="BX51" s="56"/>
      <c r="BY51" s="56"/>
      <c r="BZ51" s="56"/>
      <c r="CA51" s="56"/>
      <c r="CF51" s="63"/>
      <c r="CI51" s="56"/>
      <c r="CJ51" s="56"/>
      <c r="CK51" s="56"/>
      <c r="CL51" s="56"/>
      <c r="CM51" s="56"/>
    </row>
    <row r="52" spans="3:93" ht="39.950000000000003" customHeight="1">
      <c r="C52" s="534"/>
      <c r="D52" s="535"/>
      <c r="F52" s="105"/>
      <c r="G52" s="105"/>
      <c r="H52" s="105"/>
      <c r="I52" s="105"/>
      <c r="J52" s="105"/>
      <c r="K52" s="52"/>
      <c r="P52" s="52" t="str">
        <f>IF(('[1]S 4'!$Y294=4),'[1]S 4'!$E294,IF(('[1]S 4'!$Y295=4),'[1]S 4'!$E295,IF(('[1]S 4'!$Y296=4),'[1]S 4'!$E296,IF(('[1]S 4'!$Y297=4),'[1]S 4'!$E297," "))))</f>
        <v xml:space="preserve"> </v>
      </c>
      <c r="BR52" s="49"/>
    </row>
    <row r="53" spans="3:93" ht="39.950000000000003" customHeight="1">
      <c r="C53" s="534"/>
      <c r="D53" s="535"/>
      <c r="F53" s="105"/>
      <c r="G53" s="105"/>
      <c r="H53" s="105"/>
      <c r="I53" s="105"/>
      <c r="J53" s="105"/>
      <c r="K53" s="52"/>
      <c r="P53" s="52" t="str">
        <f>IF(('[1]S 4'!$Y300=4),'[1]S 4'!$E300,IF(('[1]S 4'!$Y301=4),'[1]S 4'!$E301,IF(('[1]S 4'!$Y302=4),'[1]S 4'!$E302,IF(('[1]S 4'!$Y303=4),'[1]S 4'!$E303," "))))</f>
        <v xml:space="preserve"> </v>
      </c>
      <c r="R53" s="63"/>
      <c r="S53" s="64"/>
      <c r="Y53" s="532"/>
      <c r="Z53" s="532"/>
      <c r="AA53" s="532"/>
      <c r="AD53" s="174"/>
      <c r="AE53" s="64"/>
      <c r="AK53" s="531"/>
      <c r="AL53" s="531"/>
      <c r="AM53" s="531"/>
      <c r="AO53" s="68"/>
      <c r="AP53" s="76"/>
      <c r="AQ53" s="77"/>
      <c r="AR53" s="68"/>
      <c r="AS53" s="68"/>
      <c r="AT53" s="68"/>
      <c r="AU53" s="68"/>
      <c r="AV53" s="68"/>
      <c r="AW53" s="533"/>
      <c r="AX53" s="533"/>
      <c r="AY53" s="533"/>
      <c r="AZ53" s="67"/>
      <c r="BA53" s="68"/>
      <c r="BB53" s="76"/>
      <c r="BC53" s="77"/>
      <c r="BD53" s="68"/>
      <c r="BE53" s="68"/>
      <c r="BF53" s="68"/>
      <c r="BG53" s="68"/>
      <c r="BH53" s="68"/>
      <c r="BI53" s="533"/>
      <c r="BJ53" s="533"/>
      <c r="BK53" s="533"/>
      <c r="BL53" s="67"/>
      <c r="BM53" s="67"/>
      <c r="BO53" s="531"/>
      <c r="BP53" s="531"/>
      <c r="BQ53" s="531"/>
      <c r="BR53" s="49"/>
      <c r="BT53" s="63"/>
      <c r="BU53" s="64"/>
      <c r="CA53" s="531"/>
      <c r="CB53" s="531"/>
      <c r="CC53" s="531"/>
      <c r="CF53" s="63"/>
      <c r="CG53" s="64"/>
      <c r="CM53" s="531"/>
      <c r="CN53" s="531"/>
      <c r="CO53" s="531"/>
    </row>
    <row r="54" spans="3:93" ht="39.950000000000003" customHeight="1">
      <c r="C54" s="534"/>
      <c r="D54" s="535"/>
      <c r="F54" s="105"/>
      <c r="G54" s="105"/>
      <c r="H54" s="105"/>
      <c r="I54" s="105"/>
      <c r="J54" s="105"/>
      <c r="K54" s="52"/>
      <c r="P54" s="52" t="e">
        <f>IF(('[1]S 4'!#REF!=4),'[1]S 4'!#REF!,IF(('[1]S 4'!#REF!=4),'[1]S 4'!#REF!,IF(('[1]S 4'!#REF!=4),'[1]S 4'!#REF!,IF(('[1]S 4'!#REF!=4),'[1]S 4'!#REF!," "))))</f>
        <v>#REF!</v>
      </c>
      <c r="R54" s="63"/>
      <c r="V54" s="170"/>
      <c r="W54" s="170"/>
      <c r="X54" s="170"/>
      <c r="Y54" s="170"/>
      <c r="AD54" s="174"/>
      <c r="AG54" s="56"/>
      <c r="AH54" s="56"/>
      <c r="AI54" s="56"/>
      <c r="AJ54" s="56"/>
      <c r="AK54" s="56"/>
      <c r="AO54" s="68"/>
      <c r="AP54" s="76"/>
      <c r="AQ54" s="67"/>
      <c r="AR54" s="68"/>
      <c r="AS54" s="69"/>
      <c r="AT54" s="69"/>
      <c r="AU54" s="69"/>
      <c r="AV54" s="69"/>
      <c r="AW54" s="69"/>
      <c r="AX54" s="68"/>
      <c r="AY54" s="69"/>
      <c r="AZ54" s="67"/>
      <c r="BA54" s="69"/>
      <c r="BB54" s="76"/>
      <c r="BC54" s="67"/>
      <c r="BD54" s="68"/>
      <c r="BE54" s="69"/>
      <c r="BF54" s="69"/>
      <c r="BG54" s="69"/>
      <c r="BH54" s="69"/>
      <c r="BI54" s="69"/>
      <c r="BJ54" s="68"/>
      <c r="BK54" s="69"/>
      <c r="BL54" s="67"/>
      <c r="BM54" s="67"/>
      <c r="BN54" s="56"/>
      <c r="BO54" s="56"/>
      <c r="BR54" s="49"/>
      <c r="BT54" s="63"/>
      <c r="BW54" s="56"/>
      <c r="BX54" s="56"/>
      <c r="BY54" s="56"/>
      <c r="BZ54" s="56"/>
      <c r="CA54" s="56"/>
      <c r="CF54" s="63"/>
      <c r="CI54" s="56"/>
      <c r="CJ54" s="56"/>
      <c r="CK54" s="56"/>
      <c r="CL54" s="56"/>
      <c r="CM54" s="56"/>
    </row>
    <row r="55" spans="3:93" ht="39.950000000000003" customHeight="1">
      <c r="C55" s="534"/>
      <c r="D55" s="535"/>
      <c r="F55" s="105"/>
      <c r="G55" s="105"/>
      <c r="H55" s="105"/>
      <c r="I55" s="105"/>
      <c r="J55" s="105"/>
      <c r="K55" s="52"/>
      <c r="P55" s="52" t="e">
        <f>IF(('[1]S 4'!#REF!=4),'[1]S 4'!#REF!,IF(('[1]S 4'!#REF!=4),'[1]S 4'!#REF!,IF(('[1]S 4'!#REF!=4),'[1]S 4'!#REF!,IF(('[1]S 4'!#REF!=4),'[1]S 4'!#REF!," "))))</f>
        <v>#REF!</v>
      </c>
      <c r="R55" s="63"/>
      <c r="V55" s="170"/>
      <c r="W55" s="170"/>
      <c r="X55" s="170"/>
      <c r="Y55" s="170"/>
      <c r="AD55" s="174"/>
      <c r="AG55" s="56"/>
      <c r="AH55" s="56"/>
      <c r="AI55" s="56"/>
      <c r="AJ55" s="56"/>
      <c r="AK55" s="56"/>
      <c r="AO55" s="68"/>
      <c r="AP55" s="76"/>
      <c r="AQ55" s="67"/>
      <c r="AR55" s="68"/>
      <c r="AS55" s="69"/>
      <c r="AT55" s="69"/>
      <c r="AU55" s="69"/>
      <c r="AV55" s="69"/>
      <c r="AW55" s="69"/>
      <c r="AX55" s="68"/>
      <c r="AY55" s="69"/>
      <c r="AZ55" s="67"/>
      <c r="BA55" s="69"/>
      <c r="BB55" s="76"/>
      <c r="BC55" s="67"/>
      <c r="BD55" s="68"/>
      <c r="BE55" s="69"/>
      <c r="BF55" s="69"/>
      <c r="BG55" s="69"/>
      <c r="BH55" s="69"/>
      <c r="BI55" s="69"/>
      <c r="BJ55" s="68"/>
      <c r="BK55" s="69"/>
      <c r="BL55" s="67"/>
      <c r="BM55" s="67"/>
      <c r="BN55" s="56"/>
      <c r="BO55" s="56"/>
      <c r="BR55" s="49"/>
      <c r="BT55" s="63"/>
      <c r="BW55" s="56"/>
      <c r="BX55" s="56"/>
      <c r="BY55" s="56"/>
      <c r="BZ55" s="56"/>
      <c r="CA55" s="56"/>
      <c r="CF55" s="63"/>
      <c r="CI55" s="56"/>
      <c r="CJ55" s="56"/>
      <c r="CK55" s="56"/>
      <c r="CL55" s="56"/>
      <c r="CM55" s="56"/>
    </row>
    <row r="56" spans="3:93" ht="39.950000000000003" customHeight="1">
      <c r="C56" s="534"/>
      <c r="D56" s="535"/>
      <c r="F56" s="105"/>
      <c r="G56" s="105"/>
      <c r="H56" s="105"/>
      <c r="I56" s="105"/>
      <c r="J56" s="105"/>
      <c r="K56" s="52"/>
      <c r="P56" s="52" t="e">
        <f>IF(('[1]S 4'!#REF!=4),'[1]S 4'!#REF!,IF(('[1]S 4'!#REF!=4),'[1]S 4'!#REF!,IF(('[1]S 4'!#REF!=4),'[1]S 4'!#REF!,IF(('[1]S 4'!#REF!=4),'[1]S 4'!#REF!," "))))</f>
        <v>#REF!</v>
      </c>
      <c r="R56" s="63"/>
      <c r="V56" s="170"/>
      <c r="W56" s="170"/>
      <c r="X56" s="170"/>
      <c r="Y56" s="170"/>
      <c r="AD56" s="174"/>
      <c r="AG56" s="56"/>
      <c r="AH56" s="56"/>
      <c r="AI56" s="56"/>
      <c r="AJ56" s="56"/>
      <c r="AK56" s="56"/>
      <c r="AO56" s="68"/>
      <c r="AP56" s="76"/>
      <c r="AQ56" s="67"/>
      <c r="AR56" s="68"/>
      <c r="AS56" s="69"/>
      <c r="AT56" s="69"/>
      <c r="AU56" s="69"/>
      <c r="AV56" s="69"/>
      <c r="AW56" s="69"/>
      <c r="AX56" s="68"/>
      <c r="AY56" s="69"/>
      <c r="AZ56" s="67"/>
      <c r="BA56" s="69"/>
      <c r="BB56" s="76"/>
      <c r="BC56" s="67"/>
      <c r="BD56" s="68"/>
      <c r="BE56" s="69"/>
      <c r="BF56" s="69"/>
      <c r="BG56" s="69"/>
      <c r="BH56" s="69"/>
      <c r="BI56" s="69"/>
      <c r="BJ56" s="68"/>
      <c r="BK56" s="69"/>
      <c r="BL56" s="67"/>
      <c r="BM56" s="67"/>
      <c r="BN56" s="56"/>
      <c r="BO56" s="56"/>
      <c r="BR56" s="49"/>
      <c r="BT56" s="63"/>
      <c r="BW56" s="56"/>
      <c r="BX56" s="56"/>
      <c r="BY56" s="56"/>
      <c r="BZ56" s="56"/>
      <c r="CA56" s="56"/>
      <c r="CF56" s="63"/>
      <c r="CI56" s="56"/>
      <c r="CJ56" s="56"/>
      <c r="CK56" s="56"/>
      <c r="CL56" s="56"/>
      <c r="CM56" s="56"/>
    </row>
    <row r="57" spans="3:93" ht="39.950000000000003" customHeight="1">
      <c r="C57" s="534"/>
      <c r="D57" s="535"/>
      <c r="F57" s="105"/>
      <c r="G57" s="105"/>
      <c r="H57" s="105"/>
      <c r="I57" s="105"/>
      <c r="J57" s="105"/>
      <c r="K57" s="52"/>
      <c r="P57" s="52" t="e">
        <f>IF(('[1]S 4'!#REF!=4),'[1]S 4'!#REF!,IF(('[1]S 4'!#REF!=4),'[1]S 4'!#REF!,IF(('[1]S 4'!#REF!=4),'[1]S 4'!#REF!,IF(('[1]S 4'!#REF!=4),'[1]S 4'!#REF!," "))))</f>
        <v>#REF!</v>
      </c>
      <c r="R57" s="63"/>
      <c r="V57" s="170"/>
      <c r="W57" s="170"/>
      <c r="X57" s="170"/>
      <c r="Y57" s="170"/>
      <c r="AD57" s="174"/>
      <c r="AG57" s="56"/>
      <c r="AH57" s="56"/>
      <c r="AI57" s="56"/>
      <c r="AJ57" s="56"/>
      <c r="AK57" s="56"/>
      <c r="AO57" s="68"/>
      <c r="AP57" s="76"/>
      <c r="AQ57" s="67"/>
      <c r="AR57" s="68"/>
      <c r="AS57" s="69"/>
      <c r="AT57" s="69"/>
      <c r="AU57" s="69"/>
      <c r="AV57" s="69"/>
      <c r="AW57" s="69"/>
      <c r="AX57" s="68"/>
      <c r="AY57" s="69"/>
      <c r="AZ57" s="67"/>
      <c r="BA57" s="69"/>
      <c r="BB57" s="76"/>
      <c r="BC57" s="67"/>
      <c r="BD57" s="68"/>
      <c r="BE57" s="69"/>
      <c r="BF57" s="69"/>
      <c r="BG57" s="69"/>
      <c r="BH57" s="69"/>
      <c r="BI57" s="69"/>
      <c r="BJ57" s="68"/>
      <c r="BK57" s="69"/>
      <c r="BL57" s="67"/>
      <c r="BM57" s="67"/>
      <c r="BN57" s="56"/>
      <c r="BO57" s="56"/>
      <c r="BR57" s="49"/>
      <c r="BT57" s="63"/>
      <c r="BW57" s="56"/>
      <c r="BX57" s="56"/>
      <c r="BY57" s="56"/>
      <c r="BZ57" s="56"/>
      <c r="CA57" s="56"/>
      <c r="CF57" s="63"/>
      <c r="CI57" s="56"/>
      <c r="CJ57" s="56"/>
      <c r="CK57" s="56"/>
      <c r="CL57" s="56"/>
      <c r="CM57" s="56"/>
    </row>
    <row r="58" spans="3:93" ht="39.950000000000003" customHeight="1">
      <c r="C58" s="534"/>
      <c r="D58" s="535"/>
      <c r="F58" s="105"/>
      <c r="G58" s="105"/>
      <c r="H58" s="105"/>
      <c r="I58" s="105"/>
      <c r="J58" s="105"/>
      <c r="K58" s="52"/>
      <c r="P58" s="52" t="e">
        <f>IF(('[1]S 4'!#REF!=4),'[1]S 4'!#REF!,IF(('[1]S 4'!#REF!=4),'[1]S 4'!#REF!,IF(('[1]S 4'!#REF!=4),'[1]S 4'!#REF!,IF(('[1]S 4'!#REF!=4),'[1]S 4'!#REF!," "))))</f>
        <v>#REF!</v>
      </c>
      <c r="AO58" s="68"/>
      <c r="AP58" s="67"/>
      <c r="AQ58" s="67"/>
      <c r="AR58" s="68"/>
      <c r="AS58" s="68"/>
      <c r="AT58" s="68"/>
      <c r="AU58" s="68"/>
      <c r="AV58" s="68"/>
      <c r="AW58" s="68"/>
      <c r="AX58" s="68"/>
      <c r="AY58" s="69"/>
      <c r="AZ58" s="67"/>
      <c r="BA58" s="68"/>
      <c r="BB58" s="67"/>
      <c r="BC58" s="67"/>
      <c r="BD58" s="68"/>
      <c r="BE58" s="68"/>
      <c r="BF58" s="68"/>
      <c r="BG58" s="68"/>
      <c r="BH58" s="68"/>
      <c r="BI58" s="68"/>
      <c r="BJ58" s="68"/>
      <c r="BK58" s="69"/>
      <c r="BL58" s="67"/>
      <c r="BM58" s="67"/>
      <c r="BR58" s="49"/>
    </row>
    <row r="59" spans="3:93" ht="39.950000000000003" customHeight="1">
      <c r="C59" s="534"/>
      <c r="D59" s="535"/>
      <c r="F59" s="105"/>
      <c r="G59" s="105"/>
      <c r="H59" s="105"/>
      <c r="I59" s="105"/>
      <c r="J59" s="105"/>
      <c r="K59" s="52"/>
      <c r="P59" s="52" t="e">
        <f>IF(('[1]S 4'!#REF!=4),'[1]S 4'!#REF!,IF(('[1]S 4'!#REF!=4),'[1]S 4'!#REF!,IF(('[1]S 4'!#REF!=4),'[1]S 4'!#REF!,IF(('[1]S 4'!#REF!=4),'[1]S 4'!#REF!," "))))</f>
        <v>#REF!</v>
      </c>
      <c r="R59" s="63"/>
      <c r="S59" s="64"/>
      <c r="Y59" s="532"/>
      <c r="Z59" s="532"/>
      <c r="AA59" s="532"/>
      <c r="AD59" s="174"/>
      <c r="AE59" s="64"/>
      <c r="AK59" s="531"/>
      <c r="AL59" s="531"/>
      <c r="AM59" s="531"/>
      <c r="AO59" s="68"/>
      <c r="AP59" s="76"/>
      <c r="AQ59" s="77"/>
      <c r="AR59" s="68"/>
      <c r="AS59" s="68"/>
      <c r="AT59" s="68"/>
      <c r="AU59" s="68"/>
      <c r="AV59" s="68"/>
      <c r="AW59" s="533"/>
      <c r="AX59" s="533"/>
      <c r="AY59" s="533"/>
      <c r="AZ59" s="67"/>
      <c r="BA59" s="68"/>
      <c r="BB59" s="76"/>
      <c r="BC59" s="77"/>
      <c r="BD59" s="68"/>
      <c r="BE59" s="68"/>
      <c r="BF59" s="68"/>
      <c r="BG59" s="68"/>
      <c r="BH59" s="68"/>
      <c r="BI59" s="533"/>
      <c r="BJ59" s="533"/>
      <c r="BK59" s="533"/>
      <c r="BL59" s="67"/>
      <c r="BM59" s="67"/>
      <c r="BO59" s="531"/>
      <c r="BP59" s="531"/>
      <c r="BQ59" s="531"/>
      <c r="BR59" s="49"/>
      <c r="BT59" s="63"/>
      <c r="BU59" s="64"/>
      <c r="CA59" s="531"/>
      <c r="CB59" s="531"/>
      <c r="CC59" s="531"/>
      <c r="CF59" s="63"/>
      <c r="CG59" s="64"/>
      <c r="CM59" s="531"/>
      <c r="CN59" s="531"/>
      <c r="CO59" s="531"/>
    </row>
    <row r="60" spans="3:93" ht="39.950000000000003" customHeight="1">
      <c r="C60" s="534"/>
      <c r="D60" s="535"/>
      <c r="F60" s="105"/>
      <c r="G60" s="105"/>
      <c r="H60" s="105"/>
      <c r="I60" s="105"/>
      <c r="J60" s="105"/>
      <c r="K60" s="52"/>
      <c r="P60" s="52" t="e">
        <f>IF(('[1]S 4'!#REF!=4),'[1]S 4'!#REF!,IF(('[1]S 4'!#REF!=4),'[1]S 4'!#REF!,IF(('[1]S 4'!#REF!=4),'[1]S 4'!#REF!,IF(('[1]S 4'!#REF!=4),'[1]S 4'!#REF!," "))))</f>
        <v>#REF!</v>
      </c>
      <c r="R60" s="63"/>
      <c r="V60" s="170"/>
      <c r="W60" s="170"/>
      <c r="X60" s="170"/>
      <c r="Y60" s="170"/>
      <c r="AD60" s="174"/>
      <c r="AG60" s="56"/>
      <c r="AH60" s="56"/>
      <c r="AI60" s="56"/>
      <c r="AJ60" s="56"/>
      <c r="AK60" s="56"/>
      <c r="AO60" s="68"/>
      <c r="AP60" s="76"/>
      <c r="AQ60" s="67"/>
      <c r="AR60" s="68"/>
      <c r="AS60" s="69"/>
      <c r="AT60" s="69"/>
      <c r="AU60" s="69"/>
      <c r="AV60" s="69"/>
      <c r="AW60" s="69"/>
      <c r="AX60" s="68"/>
      <c r="AY60" s="69"/>
      <c r="AZ60" s="67"/>
      <c r="BA60" s="69"/>
      <c r="BB60" s="76"/>
      <c r="BC60" s="67"/>
      <c r="BD60" s="68"/>
      <c r="BE60" s="69"/>
      <c r="BF60" s="69"/>
      <c r="BG60" s="69"/>
      <c r="BH60" s="69"/>
      <c r="BI60" s="69"/>
      <c r="BJ60" s="68"/>
      <c r="BK60" s="69"/>
      <c r="BL60" s="67"/>
      <c r="BM60" s="67"/>
      <c r="BN60" s="56"/>
      <c r="BO60" s="56"/>
      <c r="BR60" s="49"/>
      <c r="BT60" s="63"/>
      <c r="BW60" s="56"/>
      <c r="BX60" s="56"/>
      <c r="BY60" s="56"/>
      <c r="BZ60" s="56"/>
      <c r="CA60" s="56"/>
      <c r="CF60" s="63"/>
      <c r="CI60" s="56"/>
      <c r="CJ60" s="56"/>
      <c r="CK60" s="56"/>
      <c r="CL60" s="56"/>
      <c r="CM60" s="56"/>
    </row>
    <row r="61" spans="3:93" ht="39.950000000000003" customHeight="1">
      <c r="C61" s="534"/>
      <c r="D61" s="535"/>
      <c r="F61" s="105"/>
      <c r="G61" s="105"/>
      <c r="H61" s="105"/>
      <c r="I61" s="105"/>
      <c r="J61" s="105"/>
      <c r="K61" s="52"/>
      <c r="P61" s="52" t="e">
        <f>IF(('[1]S 4'!#REF!=4),'[1]S 4'!#REF!,IF(('[1]S 4'!#REF!=4),'[1]S 4'!#REF!,IF(('[1]S 4'!#REF!=4),'[1]S 4'!#REF!,IF(('[1]S 4'!#REF!=4),'[1]S 4'!#REF!," "))))</f>
        <v>#REF!</v>
      </c>
      <c r="R61" s="63"/>
      <c r="V61" s="170"/>
      <c r="W61" s="170"/>
      <c r="X61" s="170"/>
      <c r="Y61" s="170"/>
      <c r="AD61" s="174"/>
      <c r="AG61" s="56"/>
      <c r="AH61" s="56"/>
      <c r="AI61" s="56"/>
      <c r="AJ61" s="56"/>
      <c r="AK61" s="56"/>
      <c r="AO61" s="68"/>
      <c r="AP61" s="76"/>
      <c r="AQ61" s="67"/>
      <c r="AR61" s="68"/>
      <c r="AS61" s="69"/>
      <c r="AT61" s="69"/>
      <c r="AU61" s="69"/>
      <c r="AV61" s="69"/>
      <c r="AW61" s="69"/>
      <c r="AX61" s="68"/>
      <c r="AY61" s="69"/>
      <c r="AZ61" s="67"/>
      <c r="BA61" s="69"/>
      <c r="BB61" s="76"/>
      <c r="BC61" s="67"/>
      <c r="BD61" s="68"/>
      <c r="BE61" s="69"/>
      <c r="BF61" s="69"/>
      <c r="BG61" s="69"/>
      <c r="BH61" s="69"/>
      <c r="BI61" s="69"/>
      <c r="BJ61" s="68"/>
      <c r="BK61" s="69"/>
      <c r="BL61" s="67"/>
      <c r="BM61" s="67"/>
      <c r="BN61" s="56"/>
      <c r="BO61" s="56"/>
      <c r="BR61" s="49"/>
      <c r="BT61" s="63"/>
      <c r="BW61" s="56"/>
      <c r="BX61" s="56"/>
      <c r="BY61" s="56"/>
      <c r="BZ61" s="56"/>
      <c r="CA61" s="56"/>
      <c r="CF61" s="63"/>
      <c r="CI61" s="56"/>
      <c r="CJ61" s="56"/>
      <c r="CK61" s="56"/>
      <c r="CL61" s="56"/>
      <c r="CM61" s="56"/>
    </row>
    <row r="62" spans="3:93" ht="39.950000000000003" customHeight="1">
      <c r="C62" s="534"/>
      <c r="D62" s="535"/>
      <c r="F62" s="105"/>
      <c r="G62" s="105"/>
      <c r="H62" s="105"/>
      <c r="I62" s="105"/>
      <c r="J62" s="105"/>
      <c r="K62" s="52"/>
      <c r="P62" s="52" t="e">
        <f>IF(('[1]S 4'!#REF!=4),'[1]S 4'!#REF!,IF(('[1]S 4'!#REF!=4),'[1]S 4'!#REF!,IF(('[1]S 4'!#REF!=4),'[1]S 4'!#REF!,IF(('[1]S 4'!#REF!=4),'[1]S 4'!#REF!," "))))</f>
        <v>#REF!</v>
      </c>
      <c r="R62" s="63"/>
      <c r="V62" s="170"/>
      <c r="W62" s="170"/>
      <c r="X62" s="170"/>
      <c r="Y62" s="170"/>
      <c r="AD62" s="174"/>
      <c r="AG62" s="56"/>
      <c r="AH62" s="56"/>
      <c r="AI62" s="56"/>
      <c r="AJ62" s="56"/>
      <c r="AK62" s="56"/>
      <c r="AO62" s="68"/>
      <c r="AP62" s="76"/>
      <c r="AQ62" s="67"/>
      <c r="AR62" s="68"/>
      <c r="AS62" s="69"/>
      <c r="AT62" s="69"/>
      <c r="AU62" s="69"/>
      <c r="AV62" s="69"/>
      <c r="AW62" s="69"/>
      <c r="AX62" s="68"/>
      <c r="AY62" s="69"/>
      <c r="AZ62" s="67"/>
      <c r="BA62" s="69"/>
      <c r="BB62" s="76"/>
      <c r="BC62" s="67"/>
      <c r="BD62" s="68"/>
      <c r="BE62" s="69"/>
      <c r="BF62" s="69"/>
      <c r="BG62" s="69"/>
      <c r="BH62" s="69"/>
      <c r="BI62" s="69"/>
      <c r="BJ62" s="68"/>
      <c r="BK62" s="69"/>
      <c r="BL62" s="67"/>
      <c r="BM62" s="67"/>
      <c r="BN62" s="56"/>
      <c r="BO62" s="56"/>
      <c r="BR62" s="49"/>
      <c r="BT62" s="63"/>
      <c r="BW62" s="56"/>
      <c r="BX62" s="56"/>
      <c r="BY62" s="56"/>
      <c r="BZ62" s="56"/>
      <c r="CA62" s="56"/>
      <c r="CF62" s="63"/>
      <c r="CI62" s="56"/>
      <c r="CJ62" s="56"/>
      <c r="CK62" s="56"/>
      <c r="CL62" s="56"/>
      <c r="CM62" s="56"/>
    </row>
    <row r="63" spans="3:93" ht="39.950000000000003" customHeight="1">
      <c r="C63" s="534"/>
      <c r="D63" s="535"/>
      <c r="F63" s="105"/>
      <c r="G63" s="105"/>
      <c r="H63" s="105"/>
      <c r="I63" s="105"/>
      <c r="J63" s="105"/>
      <c r="K63" s="52"/>
      <c r="P63" s="52" t="e">
        <f>IF(('[1]S 4'!#REF!=4),'[1]S 4'!#REF!,IF(('[1]S 4'!#REF!=4),'[1]S 4'!#REF!,IF(('[1]S 4'!#REF!=4),'[1]S 4'!#REF!,IF(('[1]S 4'!#REF!=4),'[1]S 4'!#REF!," "))))</f>
        <v>#REF!</v>
      </c>
      <c r="R63" s="63"/>
      <c r="V63" s="170"/>
      <c r="W63" s="170"/>
      <c r="X63" s="170"/>
      <c r="Y63" s="170"/>
      <c r="AD63" s="174"/>
      <c r="AG63" s="56"/>
      <c r="AH63" s="56"/>
      <c r="AI63" s="56"/>
      <c r="AJ63" s="56"/>
      <c r="AK63" s="56"/>
      <c r="AO63" s="68"/>
      <c r="AP63" s="76"/>
      <c r="AQ63" s="67"/>
      <c r="AR63" s="68"/>
      <c r="AS63" s="69"/>
      <c r="AT63" s="69"/>
      <c r="AU63" s="69"/>
      <c r="AV63" s="69"/>
      <c r="AW63" s="69"/>
      <c r="AX63" s="68"/>
      <c r="AY63" s="69"/>
      <c r="AZ63" s="67"/>
      <c r="BA63" s="69"/>
      <c r="BB63" s="76"/>
      <c r="BC63" s="67"/>
      <c r="BD63" s="68"/>
      <c r="BE63" s="69"/>
      <c r="BF63" s="69"/>
      <c r="BG63" s="69"/>
      <c r="BH63" s="69"/>
      <c r="BI63" s="69"/>
      <c r="BJ63" s="68"/>
      <c r="BK63" s="69"/>
      <c r="BL63" s="67"/>
      <c r="BM63" s="67"/>
      <c r="BN63" s="56"/>
      <c r="BO63" s="56"/>
      <c r="BR63" s="49"/>
      <c r="BT63" s="63"/>
      <c r="BW63" s="56"/>
      <c r="BX63" s="56"/>
      <c r="BY63" s="56"/>
      <c r="BZ63" s="56"/>
      <c r="CA63" s="56"/>
      <c r="CF63" s="63"/>
      <c r="CI63" s="56"/>
      <c r="CJ63" s="56"/>
      <c r="CK63" s="56"/>
      <c r="CL63" s="56"/>
      <c r="CM63" s="56"/>
    </row>
    <row r="64" spans="3:93" ht="39.950000000000003" customHeight="1">
      <c r="C64" s="534"/>
      <c r="D64" s="535"/>
      <c r="F64" s="105"/>
      <c r="G64" s="105"/>
      <c r="H64" s="105"/>
      <c r="I64" s="105"/>
      <c r="J64" s="105"/>
      <c r="K64" s="52"/>
      <c r="P64" s="52" t="e">
        <f>IF(('[1]S 4'!#REF!=4),'[1]S 4'!#REF!,IF(('[1]S 4'!#REF!=4),'[1]S 4'!#REF!,IF(('[1]S 4'!#REF!=4),'[1]S 4'!#REF!,IF(('[1]S 4'!#REF!=4),'[1]S 4'!#REF!," "))))</f>
        <v>#REF!</v>
      </c>
      <c r="AO64" s="68"/>
      <c r="AP64" s="67"/>
      <c r="AQ64" s="67"/>
      <c r="AR64" s="68"/>
      <c r="AS64" s="68"/>
      <c r="AT64" s="68"/>
      <c r="AU64" s="68"/>
      <c r="AV64" s="68"/>
      <c r="AW64" s="68"/>
      <c r="AX64" s="68"/>
      <c r="AY64" s="69"/>
      <c r="AZ64" s="67"/>
      <c r="BA64" s="68"/>
      <c r="BB64" s="67"/>
      <c r="BC64" s="67"/>
      <c r="BD64" s="68"/>
      <c r="BE64" s="68"/>
      <c r="BF64" s="68"/>
      <c r="BG64" s="68"/>
      <c r="BH64" s="68"/>
      <c r="BI64" s="68"/>
      <c r="BJ64" s="68"/>
      <c r="BK64" s="69"/>
      <c r="BL64" s="67"/>
      <c r="BM64" s="67"/>
      <c r="BR64" s="49"/>
    </row>
    <row r="65" spans="3:93" ht="39.950000000000003" customHeight="1">
      <c r="C65" s="534"/>
      <c r="D65" s="535"/>
      <c r="F65" s="105"/>
      <c r="G65" s="105"/>
      <c r="H65" s="105"/>
      <c r="I65" s="105"/>
      <c r="J65" s="105"/>
      <c r="K65" s="52"/>
      <c r="P65" s="52" t="e">
        <f>IF(('[1]S 4'!#REF!=4),'[1]S 4'!#REF!,IF(('[1]S 4'!#REF!=4),'[1]S 4'!#REF!,IF(('[1]S 4'!#REF!=4),'[1]S 4'!#REF!,IF(('[1]S 4'!#REF!=4),'[1]S 4'!#REF!," "))))</f>
        <v>#REF!</v>
      </c>
      <c r="R65" s="63"/>
      <c r="S65" s="64"/>
      <c r="Y65" s="532"/>
      <c r="Z65" s="532"/>
      <c r="AA65" s="532"/>
      <c r="AD65" s="174"/>
      <c r="AE65" s="64"/>
      <c r="AK65" s="531"/>
      <c r="AL65" s="531"/>
      <c r="AM65" s="531"/>
      <c r="AO65" s="68"/>
      <c r="AP65" s="76"/>
      <c r="AQ65" s="77"/>
      <c r="AR65" s="68"/>
      <c r="AS65" s="68"/>
      <c r="AT65" s="68"/>
      <c r="AU65" s="68"/>
      <c r="AV65" s="68"/>
      <c r="AW65" s="533"/>
      <c r="AX65" s="533"/>
      <c r="AY65" s="533"/>
      <c r="AZ65" s="67"/>
      <c r="BA65" s="68"/>
      <c r="BB65" s="76"/>
      <c r="BC65" s="77"/>
      <c r="BD65" s="68"/>
      <c r="BE65" s="68"/>
      <c r="BF65" s="68"/>
      <c r="BG65" s="68"/>
      <c r="BH65" s="68"/>
      <c r="BI65" s="533"/>
      <c r="BJ65" s="533"/>
      <c r="BK65" s="533"/>
      <c r="BL65" s="67"/>
      <c r="BM65" s="67"/>
      <c r="BO65" s="531"/>
      <c r="BP65" s="531"/>
      <c r="BQ65" s="531"/>
      <c r="BR65" s="49"/>
      <c r="BT65" s="63"/>
      <c r="BU65" s="64"/>
      <c r="CA65" s="531"/>
      <c r="CB65" s="531"/>
      <c r="CC65" s="531"/>
      <c r="CF65" s="63"/>
      <c r="CG65" s="64"/>
      <c r="CM65" s="531"/>
      <c r="CN65" s="531"/>
      <c r="CO65" s="531"/>
    </row>
    <row r="66" spans="3:93" ht="39.950000000000003" customHeight="1">
      <c r="C66" s="534"/>
      <c r="D66" s="535"/>
      <c r="F66" s="105"/>
      <c r="G66" s="105"/>
      <c r="H66" s="105"/>
      <c r="I66" s="105"/>
      <c r="J66" s="105"/>
      <c r="K66" s="52"/>
      <c r="P66" s="52" t="e">
        <f>IF(('[1]S 4'!#REF!=4),'[1]S 4'!#REF!,IF(('[1]S 4'!#REF!=4),'[1]S 4'!#REF!,IF(('[1]S 4'!#REF!=4),'[1]S 4'!#REF!,IF(('[1]S 4'!#REF!=4),'[1]S 4'!#REF!," "))))</f>
        <v>#REF!</v>
      </c>
      <c r="R66" s="63"/>
      <c r="V66" s="170"/>
      <c r="W66" s="170"/>
      <c r="X66" s="170"/>
      <c r="Y66" s="170"/>
      <c r="AD66" s="174"/>
      <c r="AG66" s="56"/>
      <c r="AH66" s="56"/>
      <c r="AI66" s="56"/>
      <c r="AJ66" s="56"/>
      <c r="AK66" s="56"/>
      <c r="AO66" s="68"/>
      <c r="AP66" s="76"/>
      <c r="AQ66" s="67"/>
      <c r="AR66" s="68"/>
      <c r="AS66" s="69"/>
      <c r="AT66" s="69"/>
      <c r="AU66" s="69"/>
      <c r="AV66" s="69"/>
      <c r="AW66" s="69"/>
      <c r="AX66" s="68"/>
      <c r="AY66" s="69"/>
      <c r="AZ66" s="67"/>
      <c r="BA66" s="69"/>
      <c r="BB66" s="76"/>
      <c r="BC66" s="67"/>
      <c r="BD66" s="68"/>
      <c r="BE66" s="69"/>
      <c r="BF66" s="69"/>
      <c r="BG66" s="69"/>
      <c r="BH66" s="69"/>
      <c r="BI66" s="69"/>
      <c r="BJ66" s="68"/>
      <c r="BK66" s="69"/>
      <c r="BL66" s="67"/>
      <c r="BM66" s="67"/>
      <c r="BN66" s="56"/>
      <c r="BO66" s="56"/>
      <c r="BR66" s="49"/>
      <c r="BT66" s="63"/>
      <c r="BW66" s="56"/>
      <c r="BX66" s="56"/>
      <c r="BY66" s="56"/>
      <c r="BZ66" s="56"/>
      <c r="CA66" s="56"/>
      <c r="CF66" s="63"/>
      <c r="CI66" s="56"/>
      <c r="CJ66" s="56"/>
      <c r="CK66" s="56"/>
      <c r="CL66" s="56"/>
      <c r="CM66" s="56"/>
    </row>
    <row r="67" spans="3:93" ht="39.950000000000003" customHeight="1">
      <c r="C67" s="534"/>
      <c r="D67" s="535"/>
      <c r="F67" s="105"/>
      <c r="G67" s="105"/>
      <c r="H67" s="105"/>
      <c r="I67" s="105"/>
      <c r="J67" s="105"/>
      <c r="K67" s="52"/>
      <c r="P67" s="52" t="e">
        <f>IF(('[1]S 4'!#REF!=4),'[1]S 4'!#REF!,IF(('[1]S 4'!#REF!=4),'[1]S 4'!#REF!,IF(('[1]S 4'!#REF!=4),'[1]S 4'!#REF!,IF(('[1]S 4'!#REF!=4),'[1]S 4'!#REF!," "))))</f>
        <v>#REF!</v>
      </c>
      <c r="R67" s="63"/>
      <c r="V67" s="170"/>
      <c r="W67" s="170"/>
      <c r="X67" s="170"/>
      <c r="Y67" s="170"/>
      <c r="AD67" s="174"/>
      <c r="AG67" s="56"/>
      <c r="AH67" s="56"/>
      <c r="AI67" s="56"/>
      <c r="AJ67" s="56"/>
      <c r="AK67" s="56"/>
      <c r="AO67" s="68"/>
      <c r="AP67" s="76"/>
      <c r="AQ67" s="67"/>
      <c r="AR67" s="68"/>
      <c r="AS67" s="69"/>
      <c r="AT67" s="69"/>
      <c r="AU67" s="69"/>
      <c r="AV67" s="69"/>
      <c r="AW67" s="69"/>
      <c r="AX67" s="68"/>
      <c r="AY67" s="69"/>
      <c r="AZ67" s="67"/>
      <c r="BA67" s="69"/>
      <c r="BB67" s="76"/>
      <c r="BC67" s="67"/>
      <c r="BD67" s="68"/>
      <c r="BE67" s="69"/>
      <c r="BF67" s="69"/>
      <c r="BG67" s="69"/>
      <c r="BH67" s="69"/>
      <c r="BI67" s="69"/>
      <c r="BJ67" s="68"/>
      <c r="BK67" s="69"/>
      <c r="BL67" s="67"/>
      <c r="BM67" s="67"/>
      <c r="BN67" s="56"/>
      <c r="BO67" s="56"/>
      <c r="BR67" s="49"/>
      <c r="BT67" s="63"/>
      <c r="BW67" s="56"/>
      <c r="BX67" s="56"/>
      <c r="BY67" s="56"/>
      <c r="BZ67" s="56"/>
      <c r="CA67" s="56"/>
      <c r="CF67" s="63"/>
      <c r="CI67" s="56"/>
      <c r="CJ67" s="56"/>
      <c r="CK67" s="56"/>
      <c r="CL67" s="56"/>
      <c r="CM67" s="56"/>
    </row>
    <row r="68" spans="3:93" ht="39.950000000000003" customHeight="1">
      <c r="C68" s="134"/>
      <c r="D68" s="105"/>
      <c r="F68" s="105"/>
      <c r="G68" s="105"/>
      <c r="H68" s="105"/>
      <c r="I68" s="105"/>
      <c r="J68" s="105"/>
      <c r="K68" s="52"/>
      <c r="R68" s="63"/>
      <c r="V68" s="170"/>
      <c r="W68" s="170"/>
      <c r="X68" s="170"/>
      <c r="Y68" s="170"/>
      <c r="AD68" s="174"/>
      <c r="AG68" s="56"/>
      <c r="AH68" s="56"/>
      <c r="AI68" s="56"/>
      <c r="AJ68" s="56"/>
      <c r="AK68" s="56"/>
      <c r="AO68" s="68"/>
      <c r="AP68" s="76"/>
      <c r="AQ68" s="67"/>
      <c r="AR68" s="68"/>
      <c r="AS68" s="69"/>
      <c r="AT68" s="69"/>
      <c r="AU68" s="69"/>
      <c r="AV68" s="69"/>
      <c r="AW68" s="69"/>
      <c r="AX68" s="68"/>
      <c r="AY68" s="69"/>
      <c r="AZ68" s="67"/>
      <c r="BA68" s="69"/>
      <c r="BB68" s="76"/>
      <c r="BC68" s="67"/>
      <c r="BD68" s="68"/>
      <c r="BE68" s="69"/>
      <c r="BF68" s="69"/>
      <c r="BG68" s="69"/>
      <c r="BH68" s="69"/>
      <c r="BI68" s="69"/>
      <c r="BJ68" s="68"/>
      <c r="BK68" s="69"/>
      <c r="BL68" s="67"/>
      <c r="BM68" s="67"/>
      <c r="BN68" s="56"/>
      <c r="BO68" s="56"/>
      <c r="BR68" s="49"/>
      <c r="BT68" s="63"/>
      <c r="BW68" s="56"/>
      <c r="BX68" s="56"/>
      <c r="BY68" s="56"/>
      <c r="BZ68" s="56"/>
      <c r="CA68" s="56"/>
      <c r="CF68" s="63"/>
      <c r="CI68" s="56"/>
      <c r="CJ68" s="56"/>
      <c r="CK68" s="56"/>
      <c r="CL68" s="56"/>
      <c r="CM68" s="56"/>
    </row>
    <row r="69" spans="3:93" ht="39.950000000000003" customHeight="1">
      <c r="C69" s="134"/>
      <c r="D69" s="105"/>
      <c r="F69" s="105"/>
      <c r="G69" s="105"/>
      <c r="H69" s="105"/>
      <c r="I69" s="105"/>
      <c r="J69" s="105"/>
      <c r="K69" s="52"/>
      <c r="R69" s="63"/>
      <c r="V69" s="170"/>
      <c r="W69" s="170"/>
      <c r="X69" s="170"/>
      <c r="Y69" s="170"/>
      <c r="AD69" s="174"/>
      <c r="AG69" s="56"/>
      <c r="AH69" s="56"/>
      <c r="AI69" s="56"/>
      <c r="AJ69" s="56"/>
      <c r="AK69" s="56"/>
      <c r="AO69" s="68"/>
      <c r="AP69" s="76"/>
      <c r="AQ69" s="67"/>
      <c r="AR69" s="68"/>
      <c r="AS69" s="69"/>
      <c r="AT69" s="69"/>
      <c r="AU69" s="69"/>
      <c r="AV69" s="69"/>
      <c r="AW69" s="69"/>
      <c r="AX69" s="68"/>
      <c r="AY69" s="69"/>
      <c r="AZ69" s="67"/>
      <c r="BA69" s="69"/>
      <c r="BB69" s="76"/>
      <c r="BC69" s="67"/>
      <c r="BD69" s="68"/>
      <c r="BE69" s="69"/>
      <c r="BF69" s="69"/>
      <c r="BG69" s="69"/>
      <c r="BH69" s="69"/>
      <c r="BI69" s="69"/>
      <c r="BJ69" s="68"/>
      <c r="BK69" s="69"/>
      <c r="BL69" s="67"/>
      <c r="BM69" s="67"/>
      <c r="BN69" s="56"/>
      <c r="BO69" s="56"/>
      <c r="BR69" s="49"/>
      <c r="BT69" s="63"/>
      <c r="BW69" s="56"/>
      <c r="BX69" s="56"/>
      <c r="BY69" s="56"/>
      <c r="BZ69" s="56"/>
      <c r="CA69" s="56"/>
      <c r="CF69" s="63"/>
      <c r="CI69" s="56"/>
      <c r="CJ69" s="56"/>
      <c r="CK69" s="56"/>
      <c r="CL69" s="56"/>
      <c r="CM69" s="56"/>
    </row>
    <row r="70" spans="3:93" ht="39.950000000000003" customHeight="1">
      <c r="C70" s="134"/>
      <c r="D70" s="105"/>
      <c r="F70" s="105"/>
      <c r="G70" s="105"/>
      <c r="H70" s="105"/>
      <c r="I70" s="105"/>
      <c r="J70" s="105"/>
      <c r="K70" s="52"/>
      <c r="AO70" s="68"/>
      <c r="AP70" s="67"/>
      <c r="AQ70" s="67"/>
      <c r="AR70" s="68"/>
      <c r="AS70" s="68"/>
      <c r="AT70" s="68"/>
      <c r="AU70" s="68"/>
      <c r="AV70" s="68"/>
      <c r="AW70" s="68"/>
      <c r="AX70" s="68"/>
      <c r="AY70" s="69"/>
      <c r="AZ70" s="67"/>
      <c r="BA70" s="68"/>
      <c r="BB70" s="67"/>
      <c r="BC70" s="67"/>
      <c r="BD70" s="68"/>
      <c r="BE70" s="68"/>
      <c r="BF70" s="68"/>
      <c r="BG70" s="68"/>
      <c r="BH70" s="68"/>
      <c r="BI70" s="68"/>
      <c r="BJ70" s="68"/>
      <c r="BK70" s="69"/>
      <c r="BL70" s="67"/>
      <c r="BM70" s="67"/>
      <c r="BR70" s="49"/>
    </row>
    <row r="71" spans="3:93" ht="39.950000000000003" customHeight="1">
      <c r="C71" s="134"/>
      <c r="D71" s="105"/>
      <c r="F71" s="105"/>
      <c r="G71" s="105"/>
      <c r="H71" s="105"/>
      <c r="I71" s="105"/>
      <c r="J71" s="105"/>
      <c r="K71" s="52"/>
      <c r="R71" s="63"/>
      <c r="S71" s="64"/>
      <c r="Y71" s="532"/>
      <c r="Z71" s="532"/>
      <c r="AA71" s="532"/>
      <c r="AD71" s="174"/>
      <c r="AE71" s="64"/>
      <c r="AK71" s="531"/>
      <c r="AL71" s="531"/>
      <c r="AM71" s="531"/>
      <c r="AO71" s="68"/>
      <c r="AP71" s="76"/>
      <c r="AQ71" s="77"/>
      <c r="AR71" s="68"/>
      <c r="AS71" s="68"/>
      <c r="AT71" s="68"/>
      <c r="AU71" s="68"/>
      <c r="AV71" s="68"/>
      <c r="AW71" s="533"/>
      <c r="AX71" s="533"/>
      <c r="AY71" s="533"/>
      <c r="AZ71" s="67"/>
      <c r="BA71" s="68"/>
      <c r="BB71" s="76"/>
      <c r="BC71" s="77"/>
      <c r="BD71" s="68"/>
      <c r="BE71" s="68"/>
      <c r="BF71" s="68"/>
      <c r="BG71" s="68"/>
      <c r="BH71" s="68"/>
      <c r="BI71" s="533"/>
      <c r="BJ71" s="533"/>
      <c r="BK71" s="533"/>
      <c r="BL71" s="67"/>
      <c r="BM71" s="67"/>
      <c r="BO71" s="531"/>
      <c r="BP71" s="531"/>
      <c r="BQ71" s="531"/>
      <c r="BR71" s="49"/>
      <c r="BT71" s="63"/>
      <c r="BU71" s="64"/>
      <c r="CA71" s="531"/>
      <c r="CB71" s="531"/>
      <c r="CC71" s="531"/>
      <c r="CF71" s="63"/>
      <c r="CG71" s="64"/>
      <c r="CM71" s="531"/>
      <c r="CN71" s="531"/>
      <c r="CO71" s="531"/>
    </row>
    <row r="72" spans="3:93" ht="39.950000000000003" customHeight="1">
      <c r="C72" s="134"/>
      <c r="D72" s="105"/>
      <c r="F72" s="105"/>
      <c r="G72" s="105"/>
      <c r="H72" s="105"/>
      <c r="I72" s="105"/>
      <c r="J72" s="105"/>
      <c r="K72" s="52"/>
      <c r="R72" s="63"/>
      <c r="V72" s="170"/>
      <c r="W72" s="170"/>
      <c r="X72" s="170"/>
      <c r="Y72" s="170"/>
      <c r="AD72" s="174"/>
      <c r="AG72" s="56"/>
      <c r="AH72" s="56"/>
      <c r="AI72" s="56"/>
      <c r="AJ72" s="56"/>
      <c r="AK72" s="56"/>
      <c r="AO72" s="68"/>
      <c r="AP72" s="76"/>
      <c r="AQ72" s="67"/>
      <c r="AR72" s="68"/>
      <c r="AS72" s="69"/>
      <c r="AT72" s="69"/>
      <c r="AU72" s="69"/>
      <c r="AV72" s="69"/>
      <c r="AW72" s="69"/>
      <c r="AX72" s="68"/>
      <c r="AY72" s="69"/>
      <c r="AZ72" s="67"/>
      <c r="BA72" s="69"/>
      <c r="BB72" s="76"/>
      <c r="BC72" s="67"/>
      <c r="BD72" s="68"/>
      <c r="BE72" s="69"/>
      <c r="BF72" s="69"/>
      <c r="BG72" s="69"/>
      <c r="BH72" s="69"/>
      <c r="BI72" s="69"/>
      <c r="BJ72" s="68"/>
      <c r="BK72" s="69"/>
      <c r="BL72" s="67"/>
      <c r="BM72" s="67"/>
      <c r="BN72" s="56"/>
      <c r="BO72" s="56"/>
      <c r="BR72" s="49"/>
      <c r="BT72" s="63"/>
      <c r="BW72" s="56"/>
      <c r="BX72" s="56"/>
      <c r="BY72" s="56"/>
      <c r="BZ72" s="56"/>
      <c r="CA72" s="56"/>
      <c r="CF72" s="63"/>
      <c r="CI72" s="56"/>
      <c r="CJ72" s="56"/>
      <c r="CK72" s="56"/>
      <c r="CL72" s="56"/>
      <c r="CM72" s="56"/>
    </row>
    <row r="73" spans="3:93" ht="39.950000000000003" customHeight="1">
      <c r="C73" s="134"/>
      <c r="D73" s="105"/>
      <c r="F73" s="105"/>
      <c r="G73" s="105"/>
      <c r="H73" s="105"/>
      <c r="I73" s="105"/>
      <c r="J73" s="105"/>
      <c r="K73" s="52"/>
      <c r="R73" s="63"/>
      <c r="V73" s="170"/>
      <c r="W73" s="170"/>
      <c r="X73" s="170"/>
      <c r="Y73" s="170"/>
      <c r="AD73" s="174"/>
      <c r="AG73" s="56"/>
      <c r="AH73" s="56"/>
      <c r="AI73" s="56"/>
      <c r="AJ73" s="56"/>
      <c r="AK73" s="56"/>
      <c r="AO73" s="68"/>
      <c r="AP73" s="76"/>
      <c r="AQ73" s="67"/>
      <c r="AR73" s="68"/>
      <c r="AS73" s="69"/>
      <c r="AT73" s="69"/>
      <c r="AU73" s="69"/>
      <c r="AV73" s="69"/>
      <c r="AW73" s="69"/>
      <c r="AX73" s="68"/>
      <c r="AY73" s="69"/>
      <c r="AZ73" s="67"/>
      <c r="BA73" s="69"/>
      <c r="BB73" s="76"/>
      <c r="BC73" s="67"/>
      <c r="BD73" s="68"/>
      <c r="BE73" s="69"/>
      <c r="BF73" s="69"/>
      <c r="BG73" s="69"/>
      <c r="BH73" s="69"/>
      <c r="BI73" s="69"/>
      <c r="BJ73" s="68"/>
      <c r="BK73" s="69"/>
      <c r="BL73" s="67"/>
      <c r="BM73" s="67"/>
      <c r="BN73" s="56"/>
      <c r="BO73" s="56"/>
      <c r="BR73" s="49"/>
      <c r="BT73" s="63"/>
      <c r="BW73" s="56"/>
      <c r="BX73" s="56"/>
      <c r="BY73" s="56"/>
      <c r="BZ73" s="56"/>
      <c r="CA73" s="56"/>
      <c r="CF73" s="63"/>
      <c r="CI73" s="56"/>
      <c r="CJ73" s="56"/>
      <c r="CK73" s="56"/>
      <c r="CL73" s="56"/>
      <c r="CM73" s="56"/>
    </row>
    <row r="74" spans="3:93" ht="39.950000000000003" customHeight="1">
      <c r="C74" s="134"/>
      <c r="D74" s="105"/>
      <c r="F74" s="105"/>
      <c r="G74" s="105"/>
      <c r="H74" s="105"/>
      <c r="I74" s="105"/>
      <c r="J74" s="105"/>
      <c r="K74" s="52"/>
      <c r="R74" s="63"/>
      <c r="V74" s="170"/>
      <c r="W74" s="170"/>
      <c r="X74" s="170"/>
      <c r="Y74" s="170"/>
      <c r="AD74" s="174"/>
      <c r="AG74" s="56"/>
      <c r="AH74" s="56"/>
      <c r="AI74" s="56"/>
      <c r="AJ74" s="56"/>
      <c r="AK74" s="56"/>
      <c r="AO74" s="68"/>
      <c r="AP74" s="76"/>
      <c r="AQ74" s="67"/>
      <c r="AR74" s="68"/>
      <c r="AS74" s="69"/>
      <c r="AT74" s="69"/>
      <c r="AU74" s="69"/>
      <c r="AV74" s="69"/>
      <c r="AW74" s="69"/>
      <c r="AX74" s="68"/>
      <c r="AY74" s="69"/>
      <c r="AZ74" s="67"/>
      <c r="BA74" s="69"/>
      <c r="BB74" s="76"/>
      <c r="BC74" s="67"/>
      <c r="BD74" s="68"/>
      <c r="BE74" s="69"/>
      <c r="BF74" s="69"/>
      <c r="BG74" s="69"/>
      <c r="BH74" s="69"/>
      <c r="BI74" s="69"/>
      <c r="BJ74" s="68"/>
      <c r="BK74" s="69"/>
      <c r="BL74" s="67"/>
      <c r="BM74" s="67"/>
      <c r="BN74" s="56"/>
      <c r="BO74" s="56"/>
      <c r="BR74" s="49"/>
      <c r="BT74" s="63"/>
      <c r="BW74" s="56"/>
      <c r="BX74" s="56"/>
      <c r="BY74" s="56"/>
      <c r="BZ74" s="56"/>
      <c r="CA74" s="56"/>
      <c r="CF74" s="63"/>
      <c r="CI74" s="56"/>
      <c r="CJ74" s="56"/>
      <c r="CK74" s="56"/>
      <c r="CL74" s="56"/>
      <c r="CM74" s="56"/>
    </row>
    <row r="75" spans="3:93" ht="39.950000000000003" customHeight="1">
      <c r="R75" s="63"/>
      <c r="V75" s="170"/>
      <c r="W75" s="170"/>
      <c r="X75" s="170"/>
      <c r="Y75" s="170"/>
      <c r="AD75" s="174"/>
      <c r="AG75" s="56"/>
      <c r="AH75" s="56"/>
      <c r="AI75" s="56"/>
      <c r="AJ75" s="56"/>
      <c r="AK75" s="56"/>
      <c r="AO75" s="68"/>
      <c r="AP75" s="76"/>
      <c r="AQ75" s="67"/>
      <c r="AR75" s="68"/>
      <c r="AS75" s="69"/>
      <c r="AT75" s="69"/>
      <c r="AU75" s="69"/>
      <c r="AV75" s="69"/>
      <c r="AW75" s="69"/>
      <c r="AX75" s="68"/>
      <c r="AY75" s="69"/>
      <c r="AZ75" s="67"/>
      <c r="BA75" s="69"/>
      <c r="BB75" s="76"/>
      <c r="BC75" s="67"/>
      <c r="BD75" s="68"/>
      <c r="BE75" s="69"/>
      <c r="BF75" s="69"/>
      <c r="BG75" s="69"/>
      <c r="BH75" s="69"/>
      <c r="BI75" s="69"/>
      <c r="BJ75" s="68"/>
      <c r="BK75" s="69"/>
      <c r="BL75" s="67"/>
      <c r="BM75" s="67"/>
      <c r="BN75" s="56"/>
      <c r="BO75" s="56"/>
      <c r="BR75" s="49"/>
      <c r="BT75" s="63"/>
      <c r="BW75" s="56"/>
      <c r="BX75" s="56"/>
      <c r="BY75" s="56"/>
      <c r="BZ75" s="56"/>
      <c r="CA75" s="56"/>
      <c r="CF75" s="63"/>
      <c r="CI75" s="56"/>
      <c r="CJ75" s="56"/>
      <c r="CK75" s="56"/>
      <c r="CL75" s="56"/>
      <c r="CM75" s="56"/>
    </row>
    <row r="76" spans="3:93" ht="39.950000000000003" customHeight="1">
      <c r="AO76" s="68"/>
      <c r="AP76" s="67"/>
      <c r="AQ76" s="67"/>
      <c r="AR76" s="68"/>
      <c r="AS76" s="68"/>
      <c r="AT76" s="68"/>
      <c r="AU76" s="68"/>
      <c r="AV76" s="68"/>
      <c r="AW76" s="68"/>
      <c r="AX76" s="68"/>
      <c r="AY76" s="69"/>
      <c r="AZ76" s="67"/>
      <c r="BA76" s="68"/>
      <c r="BB76" s="67"/>
      <c r="BC76" s="67"/>
      <c r="BD76" s="68"/>
      <c r="BE76" s="68"/>
      <c r="BF76" s="68"/>
      <c r="BG76" s="68"/>
      <c r="BH76" s="68"/>
      <c r="BI76" s="68"/>
      <c r="BJ76" s="68"/>
      <c r="BK76" s="69"/>
      <c r="BL76" s="67"/>
      <c r="BM76" s="67"/>
      <c r="BR76" s="49"/>
    </row>
    <row r="77" spans="3:93" ht="39.950000000000003" customHeight="1">
      <c r="R77" s="63"/>
      <c r="S77" s="64"/>
      <c r="Y77" s="532"/>
      <c r="Z77" s="532"/>
      <c r="AA77" s="532"/>
      <c r="AD77" s="174"/>
      <c r="AE77" s="64"/>
      <c r="AK77" s="531"/>
      <c r="AL77" s="531"/>
      <c r="AM77" s="531"/>
      <c r="AO77" s="68"/>
      <c r="AP77" s="76"/>
      <c r="AQ77" s="77"/>
      <c r="AR77" s="68"/>
      <c r="AS77" s="68"/>
      <c r="AT77" s="68"/>
      <c r="AU77" s="68"/>
      <c r="AV77" s="68"/>
      <c r="AW77" s="533"/>
      <c r="AX77" s="533"/>
      <c r="AY77" s="533"/>
      <c r="AZ77" s="67"/>
      <c r="BA77" s="68"/>
      <c r="BB77" s="76"/>
      <c r="BC77" s="77"/>
      <c r="BD77" s="68"/>
      <c r="BE77" s="68"/>
      <c r="BF77" s="68"/>
      <c r="BG77" s="68"/>
      <c r="BH77" s="68"/>
      <c r="BI77" s="533"/>
      <c r="BJ77" s="533"/>
      <c r="BK77" s="533"/>
      <c r="BL77" s="67"/>
      <c r="BM77" s="67"/>
      <c r="BO77" s="531"/>
      <c r="BP77" s="531"/>
      <c r="BQ77" s="531"/>
      <c r="BR77" s="49"/>
      <c r="BT77" s="63"/>
      <c r="BU77" s="64"/>
      <c r="CA77" s="531"/>
      <c r="CB77" s="531"/>
      <c r="CC77" s="531"/>
      <c r="CF77" s="63"/>
      <c r="CG77" s="64"/>
      <c r="CM77" s="531"/>
      <c r="CN77" s="531"/>
      <c r="CO77" s="531"/>
    </row>
    <row r="78" spans="3:93" ht="39.950000000000003" customHeight="1">
      <c r="R78" s="63"/>
      <c r="V78" s="170"/>
      <c r="W78" s="170"/>
      <c r="X78" s="170"/>
      <c r="Y78" s="170"/>
      <c r="AD78" s="174"/>
      <c r="AG78" s="56"/>
      <c r="AH78" s="56"/>
      <c r="AI78" s="56"/>
      <c r="AJ78" s="56"/>
      <c r="AK78" s="56"/>
      <c r="AO78" s="68"/>
      <c r="AP78" s="76"/>
      <c r="AQ78" s="67"/>
      <c r="AR78" s="68"/>
      <c r="AS78" s="69"/>
      <c r="AT78" s="69"/>
      <c r="AU78" s="69"/>
      <c r="AV78" s="69"/>
      <c r="AW78" s="69"/>
      <c r="AX78" s="68"/>
      <c r="AY78" s="69"/>
      <c r="AZ78" s="67"/>
      <c r="BA78" s="69"/>
      <c r="BB78" s="76"/>
      <c r="BC78" s="67"/>
      <c r="BD78" s="68"/>
      <c r="BE78" s="69"/>
      <c r="BF78" s="69"/>
      <c r="BG78" s="69"/>
      <c r="BH78" s="69"/>
      <c r="BI78" s="69"/>
      <c r="BJ78" s="68"/>
      <c r="BK78" s="69"/>
      <c r="BL78" s="67"/>
      <c r="BM78" s="67"/>
      <c r="BN78" s="56"/>
      <c r="BO78" s="56"/>
      <c r="BR78" s="49"/>
      <c r="BT78" s="63"/>
      <c r="BW78" s="56"/>
      <c r="BX78" s="56"/>
      <c r="BY78" s="56"/>
      <c r="BZ78" s="56"/>
      <c r="CA78" s="56"/>
      <c r="CF78" s="63"/>
      <c r="CI78" s="56"/>
      <c r="CJ78" s="56"/>
      <c r="CK78" s="56"/>
      <c r="CL78" s="56"/>
      <c r="CM78" s="56"/>
    </row>
    <row r="79" spans="3:93" ht="39.950000000000003" customHeight="1">
      <c r="R79" s="63"/>
      <c r="V79" s="170"/>
      <c r="W79" s="170"/>
      <c r="X79" s="170"/>
      <c r="Y79" s="170"/>
      <c r="AD79" s="174"/>
      <c r="AG79" s="56"/>
      <c r="AH79" s="56"/>
      <c r="AI79" s="56"/>
      <c r="AJ79" s="56"/>
      <c r="AK79" s="56"/>
      <c r="AO79" s="68"/>
      <c r="AP79" s="76"/>
      <c r="AQ79" s="67"/>
      <c r="AR79" s="68"/>
      <c r="AS79" s="69"/>
      <c r="AT79" s="69"/>
      <c r="AU79" s="69"/>
      <c r="AV79" s="69"/>
      <c r="AW79" s="69"/>
      <c r="AX79" s="68"/>
      <c r="AY79" s="69"/>
      <c r="AZ79" s="67"/>
      <c r="BA79" s="69"/>
      <c r="BB79" s="76"/>
      <c r="BC79" s="67"/>
      <c r="BD79" s="68"/>
      <c r="BE79" s="69"/>
      <c r="BF79" s="69"/>
      <c r="BG79" s="69"/>
      <c r="BH79" s="69"/>
      <c r="BI79" s="69"/>
      <c r="BJ79" s="68"/>
      <c r="BK79" s="69"/>
      <c r="BL79" s="67"/>
      <c r="BM79" s="67"/>
      <c r="BN79" s="56"/>
      <c r="BO79" s="56"/>
      <c r="BR79" s="49"/>
      <c r="BT79" s="63"/>
      <c r="BW79" s="56"/>
      <c r="BX79" s="56"/>
      <c r="BY79" s="56"/>
      <c r="BZ79" s="56"/>
      <c r="CA79" s="56"/>
      <c r="CF79" s="63"/>
      <c r="CI79" s="56"/>
      <c r="CJ79" s="56"/>
      <c r="CK79" s="56"/>
      <c r="CL79" s="56"/>
      <c r="CM79" s="56"/>
    </row>
    <row r="80" spans="3:93" ht="39.950000000000003" customHeight="1">
      <c r="R80" s="63"/>
      <c r="V80" s="170"/>
      <c r="W80" s="170"/>
      <c r="X80" s="170"/>
      <c r="Y80" s="170"/>
      <c r="AD80" s="174"/>
      <c r="AG80" s="56"/>
      <c r="AH80" s="56"/>
      <c r="AI80" s="56"/>
      <c r="AJ80" s="56"/>
      <c r="AK80" s="56"/>
      <c r="AO80" s="68"/>
      <c r="AP80" s="76"/>
      <c r="AQ80" s="67"/>
      <c r="AR80" s="68"/>
      <c r="AS80" s="69"/>
      <c r="AT80" s="69"/>
      <c r="AU80" s="69"/>
      <c r="AV80" s="69"/>
      <c r="AW80" s="69"/>
      <c r="AX80" s="68"/>
      <c r="AY80" s="69"/>
      <c r="AZ80" s="67"/>
      <c r="BA80" s="69"/>
      <c r="BB80" s="76"/>
      <c r="BC80" s="67"/>
      <c r="BD80" s="68"/>
      <c r="BE80" s="69"/>
      <c r="BF80" s="69"/>
      <c r="BG80" s="69"/>
      <c r="BH80" s="69"/>
      <c r="BI80" s="69"/>
      <c r="BJ80" s="68"/>
      <c r="BK80" s="69"/>
      <c r="BL80" s="67"/>
      <c r="BM80" s="67"/>
      <c r="BN80" s="56"/>
      <c r="BO80" s="56"/>
      <c r="BR80" s="49"/>
      <c r="BT80" s="63"/>
      <c r="BW80" s="56"/>
      <c r="BX80" s="56"/>
      <c r="BY80" s="56"/>
      <c r="BZ80" s="56"/>
      <c r="CA80" s="56"/>
      <c r="CF80" s="63"/>
      <c r="CI80" s="56"/>
      <c r="CJ80" s="56"/>
      <c r="CK80" s="56"/>
      <c r="CL80" s="56"/>
      <c r="CM80" s="56"/>
    </row>
    <row r="81" spans="18:93" ht="39.950000000000003" customHeight="1">
      <c r="R81" s="63"/>
      <c r="V81" s="170"/>
      <c r="W81" s="170"/>
      <c r="X81" s="170"/>
      <c r="Y81" s="170"/>
      <c r="AD81" s="174"/>
      <c r="AG81" s="56"/>
      <c r="AH81" s="56"/>
      <c r="AI81" s="56"/>
      <c r="AJ81" s="56"/>
      <c r="AK81" s="56"/>
      <c r="AO81" s="68"/>
      <c r="AP81" s="76"/>
      <c r="AQ81" s="67"/>
      <c r="AR81" s="68"/>
      <c r="AS81" s="69"/>
      <c r="AT81" s="69"/>
      <c r="AU81" s="69"/>
      <c r="AV81" s="69"/>
      <c r="AW81" s="69"/>
      <c r="AX81" s="68"/>
      <c r="AY81" s="69"/>
      <c r="AZ81" s="67"/>
      <c r="BA81" s="69"/>
      <c r="BB81" s="76"/>
      <c r="BC81" s="67"/>
      <c r="BD81" s="68"/>
      <c r="BE81" s="69"/>
      <c r="BF81" s="69"/>
      <c r="BG81" s="69"/>
      <c r="BH81" s="69"/>
      <c r="BI81" s="69"/>
      <c r="BJ81" s="68"/>
      <c r="BK81" s="69"/>
      <c r="BL81" s="67"/>
      <c r="BM81" s="67"/>
      <c r="BN81" s="56"/>
      <c r="BO81" s="56"/>
      <c r="BR81" s="49"/>
      <c r="BT81" s="63"/>
      <c r="BW81" s="56"/>
      <c r="BX81" s="56"/>
      <c r="BY81" s="56"/>
      <c r="BZ81" s="56"/>
      <c r="CA81" s="56"/>
      <c r="CF81" s="63"/>
      <c r="CI81" s="56"/>
      <c r="CJ81" s="56"/>
      <c r="CK81" s="56"/>
      <c r="CL81" s="56"/>
      <c r="CM81" s="56"/>
    </row>
    <row r="82" spans="18:93" ht="39.950000000000003" customHeight="1">
      <c r="AO82" s="68"/>
      <c r="AP82" s="67"/>
      <c r="AQ82" s="67"/>
      <c r="AR82" s="68"/>
      <c r="AS82" s="68"/>
      <c r="AT82" s="68"/>
      <c r="AU82" s="68"/>
      <c r="AV82" s="68"/>
      <c r="AW82" s="68"/>
      <c r="AX82" s="68"/>
      <c r="AY82" s="69"/>
      <c r="AZ82" s="67"/>
      <c r="BA82" s="68"/>
      <c r="BB82" s="67"/>
      <c r="BC82" s="67"/>
      <c r="BD82" s="68"/>
      <c r="BE82" s="68"/>
      <c r="BF82" s="68"/>
      <c r="BG82" s="68"/>
      <c r="BH82" s="68"/>
      <c r="BI82" s="68"/>
      <c r="BJ82" s="68"/>
      <c r="BK82" s="69"/>
      <c r="BL82" s="67"/>
      <c r="BM82" s="67"/>
    </row>
    <row r="83" spans="18:93" ht="39.950000000000003" customHeight="1">
      <c r="R83" s="63"/>
      <c r="S83" s="64"/>
      <c r="Y83" s="532"/>
      <c r="Z83" s="532"/>
      <c r="AA83" s="532"/>
      <c r="AD83" s="174"/>
      <c r="AE83" s="64"/>
      <c r="AK83" s="531"/>
      <c r="AL83" s="531"/>
      <c r="AM83" s="531"/>
      <c r="AO83" s="68"/>
      <c r="AP83" s="76"/>
      <c r="AQ83" s="77"/>
      <c r="AR83" s="68"/>
      <c r="AS83" s="68"/>
      <c r="AT83" s="68"/>
      <c r="AU83" s="68"/>
      <c r="AV83" s="68"/>
      <c r="AW83" s="533"/>
      <c r="AX83" s="533"/>
      <c r="AY83" s="533"/>
      <c r="AZ83" s="67"/>
      <c r="BA83" s="68"/>
      <c r="BB83" s="76"/>
      <c r="BC83" s="77"/>
      <c r="BD83" s="68"/>
      <c r="BE83" s="68"/>
      <c r="BF83" s="68"/>
      <c r="BG83" s="68"/>
      <c r="BH83" s="68"/>
      <c r="BI83" s="533"/>
      <c r="BJ83" s="533"/>
      <c r="BK83" s="533"/>
      <c r="BL83" s="67"/>
      <c r="BM83" s="67"/>
      <c r="BO83" s="531"/>
      <c r="BP83" s="531"/>
      <c r="BQ83" s="531"/>
      <c r="BT83" s="63"/>
      <c r="BU83" s="64"/>
      <c r="CA83" s="531"/>
      <c r="CB83" s="531"/>
      <c r="CC83" s="531"/>
      <c r="CF83" s="63"/>
      <c r="CG83" s="64"/>
      <c r="CM83" s="531"/>
      <c r="CN83" s="531"/>
      <c r="CO83" s="531"/>
    </row>
    <row r="84" spans="18:93" ht="39.950000000000003" customHeight="1">
      <c r="R84" s="63"/>
      <c r="V84" s="170"/>
      <c r="W84" s="170"/>
      <c r="X84" s="170"/>
      <c r="Y84" s="170"/>
      <c r="AD84" s="174"/>
      <c r="AG84" s="56"/>
      <c r="AH84" s="56"/>
      <c r="AI84" s="56"/>
      <c r="AJ84" s="56"/>
      <c r="AK84" s="56"/>
      <c r="AO84" s="68"/>
      <c r="AP84" s="76"/>
      <c r="AQ84" s="67"/>
      <c r="AR84" s="68"/>
      <c r="AS84" s="69"/>
      <c r="AT84" s="69"/>
      <c r="AU84" s="69"/>
      <c r="AV84" s="69"/>
      <c r="AW84" s="69"/>
      <c r="AX84" s="68"/>
      <c r="AY84" s="69"/>
      <c r="AZ84" s="67"/>
      <c r="BA84" s="69"/>
      <c r="BB84" s="76"/>
      <c r="BC84" s="67"/>
      <c r="BD84" s="68"/>
      <c r="BE84" s="69"/>
      <c r="BF84" s="69"/>
      <c r="BG84" s="69"/>
      <c r="BH84" s="69"/>
      <c r="BI84" s="69"/>
      <c r="BJ84" s="68"/>
      <c r="BK84" s="69"/>
      <c r="BL84" s="67"/>
      <c r="BM84" s="67"/>
      <c r="BN84" s="56"/>
      <c r="BO84" s="56"/>
      <c r="BT84" s="63"/>
      <c r="BW84" s="56"/>
      <c r="BX84" s="56"/>
      <c r="BY84" s="56"/>
      <c r="BZ84" s="56"/>
      <c r="CA84" s="56"/>
      <c r="CF84" s="63"/>
      <c r="CI84" s="56"/>
      <c r="CJ84" s="56"/>
      <c r="CK84" s="56"/>
      <c r="CL84" s="56"/>
      <c r="CM84" s="56"/>
    </row>
    <row r="85" spans="18:93" ht="39.950000000000003" customHeight="1">
      <c r="R85" s="63"/>
      <c r="V85" s="170"/>
      <c r="W85" s="170"/>
      <c r="X85" s="170"/>
      <c r="Y85" s="170"/>
      <c r="AD85" s="174"/>
      <c r="AG85" s="56"/>
      <c r="AH85" s="56"/>
      <c r="AI85" s="56"/>
      <c r="AJ85" s="56"/>
      <c r="AK85" s="56"/>
      <c r="AO85" s="68"/>
      <c r="AP85" s="76"/>
      <c r="AQ85" s="67"/>
      <c r="AR85" s="68"/>
      <c r="AS85" s="69"/>
      <c r="AT85" s="69"/>
      <c r="AU85" s="69"/>
      <c r="AV85" s="69"/>
      <c r="AW85" s="69"/>
      <c r="AX85" s="68"/>
      <c r="AY85" s="69"/>
      <c r="AZ85" s="67"/>
      <c r="BA85" s="69"/>
      <c r="BB85" s="76"/>
      <c r="BC85" s="67"/>
      <c r="BD85" s="68"/>
      <c r="BE85" s="69"/>
      <c r="BF85" s="69"/>
      <c r="BG85" s="69"/>
      <c r="BH85" s="69"/>
      <c r="BI85" s="69"/>
      <c r="BJ85" s="68"/>
      <c r="BK85" s="69"/>
      <c r="BL85" s="67"/>
      <c r="BM85" s="67"/>
      <c r="BN85" s="56"/>
      <c r="BO85" s="56"/>
      <c r="BT85" s="63"/>
      <c r="BW85" s="56"/>
      <c r="BX85" s="56"/>
      <c r="BY85" s="56"/>
      <c r="BZ85" s="56"/>
      <c r="CA85" s="56"/>
      <c r="CF85" s="63"/>
      <c r="CI85" s="56"/>
      <c r="CJ85" s="56"/>
      <c r="CK85" s="56"/>
      <c r="CL85" s="56"/>
      <c r="CM85" s="56"/>
    </row>
    <row r="86" spans="18:93" ht="39.950000000000003" customHeight="1">
      <c r="R86" s="63"/>
      <c r="V86" s="170"/>
      <c r="W86" s="170"/>
      <c r="X86" s="170"/>
      <c r="Y86" s="170"/>
      <c r="AD86" s="174"/>
      <c r="AG86" s="56"/>
      <c r="AH86" s="56"/>
      <c r="AI86" s="56"/>
      <c r="AJ86" s="56"/>
      <c r="AK86" s="56"/>
      <c r="AO86" s="68"/>
      <c r="AP86" s="76"/>
      <c r="AQ86" s="67"/>
      <c r="AR86" s="68"/>
      <c r="AS86" s="69"/>
      <c r="AT86" s="69"/>
      <c r="AU86" s="69"/>
      <c r="AV86" s="69"/>
      <c r="AW86" s="69"/>
      <c r="AX86" s="68"/>
      <c r="AY86" s="69"/>
      <c r="AZ86" s="67"/>
      <c r="BA86" s="69"/>
      <c r="BB86" s="76"/>
      <c r="BC86" s="67"/>
      <c r="BD86" s="68"/>
      <c r="BE86" s="69"/>
      <c r="BF86" s="69"/>
      <c r="BG86" s="69"/>
      <c r="BH86" s="69"/>
      <c r="BI86" s="69"/>
      <c r="BJ86" s="68"/>
      <c r="BK86" s="69"/>
      <c r="BL86" s="67"/>
      <c r="BM86" s="67"/>
      <c r="BN86" s="56"/>
      <c r="BO86" s="56"/>
      <c r="BT86" s="63"/>
      <c r="BW86" s="56"/>
      <c r="BX86" s="56"/>
      <c r="BY86" s="56"/>
      <c r="BZ86" s="56"/>
      <c r="CA86" s="56"/>
      <c r="CF86" s="63"/>
      <c r="CI86" s="56"/>
      <c r="CJ86" s="56"/>
      <c r="CK86" s="56"/>
      <c r="CL86" s="56"/>
      <c r="CM86" s="56"/>
    </row>
    <row r="87" spans="18:93" ht="39.950000000000003" customHeight="1">
      <c r="R87" s="63"/>
      <c r="V87" s="170"/>
      <c r="W87" s="170"/>
      <c r="X87" s="170"/>
      <c r="Y87" s="170"/>
      <c r="AD87" s="174"/>
      <c r="AG87" s="56"/>
      <c r="AH87" s="56"/>
      <c r="AI87" s="56"/>
      <c r="AJ87" s="56"/>
      <c r="AK87" s="56"/>
      <c r="AO87" s="68"/>
      <c r="AP87" s="76"/>
      <c r="AQ87" s="67"/>
      <c r="AR87" s="68"/>
      <c r="AS87" s="69"/>
      <c r="AT87" s="69"/>
      <c r="AU87" s="69"/>
      <c r="AV87" s="69"/>
      <c r="AW87" s="69"/>
      <c r="AX87" s="68"/>
      <c r="AY87" s="69"/>
      <c r="AZ87" s="67"/>
      <c r="BA87" s="69"/>
      <c r="BB87" s="76"/>
      <c r="BC87" s="67"/>
      <c r="BD87" s="68"/>
      <c r="BE87" s="69"/>
      <c r="BF87" s="69"/>
      <c r="BG87" s="69"/>
      <c r="BH87" s="69"/>
      <c r="BI87" s="69"/>
      <c r="BJ87" s="68"/>
      <c r="BK87" s="69"/>
      <c r="BL87" s="67"/>
      <c r="BM87" s="67"/>
      <c r="BN87" s="56"/>
      <c r="BO87" s="56"/>
      <c r="BT87" s="63"/>
      <c r="BW87" s="56"/>
      <c r="BX87" s="56"/>
      <c r="BY87" s="56"/>
      <c r="BZ87" s="56"/>
      <c r="CA87" s="56"/>
      <c r="CF87" s="63"/>
      <c r="CI87" s="56"/>
      <c r="CJ87" s="56"/>
      <c r="CK87" s="56"/>
      <c r="CL87" s="56"/>
      <c r="CM87" s="56"/>
    </row>
    <row r="88" spans="18:93" ht="39.950000000000003" customHeight="1">
      <c r="AO88" s="68"/>
      <c r="AP88" s="67"/>
      <c r="AQ88" s="67"/>
      <c r="AR88" s="68"/>
      <c r="AS88" s="68"/>
      <c r="AT88" s="68"/>
      <c r="AU88" s="68"/>
      <c r="AV88" s="68"/>
      <c r="AW88" s="68"/>
      <c r="AX88" s="68"/>
      <c r="AY88" s="69"/>
      <c r="AZ88" s="67"/>
      <c r="BA88" s="68"/>
      <c r="BB88" s="67"/>
      <c r="BC88" s="67"/>
      <c r="BD88" s="68"/>
      <c r="BE88" s="68"/>
      <c r="BF88" s="68"/>
      <c r="BG88" s="68"/>
      <c r="BH88" s="68"/>
      <c r="BI88" s="68"/>
      <c r="BJ88" s="68"/>
      <c r="BK88" s="69"/>
      <c r="BL88" s="67"/>
      <c r="BM88" s="67"/>
    </row>
    <row r="89" spans="18:93" ht="39.950000000000003" customHeight="1">
      <c r="R89" s="63"/>
      <c r="S89" s="64"/>
      <c r="Y89" s="532"/>
      <c r="Z89" s="532"/>
      <c r="AA89" s="532"/>
      <c r="AD89" s="174"/>
      <c r="AE89" s="64"/>
      <c r="AK89" s="531"/>
      <c r="AL89" s="531"/>
      <c r="AM89" s="531"/>
      <c r="AO89" s="68"/>
      <c r="AP89" s="76"/>
      <c r="AQ89" s="77"/>
      <c r="AR89" s="68"/>
      <c r="AS89" s="68"/>
      <c r="AT89" s="68"/>
      <c r="AU89" s="68"/>
      <c r="AV89" s="68"/>
      <c r="AW89" s="533"/>
      <c r="AX89" s="533"/>
      <c r="AY89" s="533"/>
      <c r="AZ89" s="67"/>
      <c r="BA89" s="68"/>
      <c r="BB89" s="76"/>
      <c r="BC89" s="77"/>
      <c r="BD89" s="68"/>
      <c r="BE89" s="68"/>
      <c r="BF89" s="68"/>
      <c r="BG89" s="68"/>
      <c r="BH89" s="68"/>
      <c r="BI89" s="533"/>
      <c r="BJ89" s="533"/>
      <c r="BK89" s="533"/>
      <c r="BL89" s="67"/>
      <c r="BM89" s="67"/>
      <c r="BO89" s="531"/>
      <c r="BP89" s="531"/>
      <c r="BQ89" s="531"/>
      <c r="BT89" s="63"/>
      <c r="BU89" s="64"/>
      <c r="CA89" s="531"/>
      <c r="CB89" s="531"/>
      <c r="CC89" s="531"/>
      <c r="CF89" s="63"/>
      <c r="CG89" s="64"/>
      <c r="CM89" s="531"/>
      <c r="CN89" s="531"/>
      <c r="CO89" s="531"/>
    </row>
    <row r="90" spans="18:93" ht="39.950000000000003" customHeight="1">
      <c r="R90" s="63"/>
      <c r="V90" s="170"/>
      <c r="W90" s="170"/>
      <c r="X90" s="170"/>
      <c r="Y90" s="170"/>
      <c r="AD90" s="174"/>
      <c r="AG90" s="56"/>
      <c r="AH90" s="56"/>
      <c r="AI90" s="56"/>
      <c r="AJ90" s="56"/>
      <c r="AK90" s="56"/>
      <c r="AO90" s="68"/>
      <c r="AP90" s="76"/>
      <c r="AQ90" s="67"/>
      <c r="AR90" s="68"/>
      <c r="AS90" s="69"/>
      <c r="AT90" s="69"/>
      <c r="AU90" s="69"/>
      <c r="AV90" s="69"/>
      <c r="AW90" s="69"/>
      <c r="AX90" s="68"/>
      <c r="AY90" s="69"/>
      <c r="AZ90" s="67"/>
      <c r="BA90" s="69"/>
      <c r="BB90" s="76"/>
      <c r="BC90" s="67"/>
      <c r="BD90" s="68"/>
      <c r="BE90" s="69"/>
      <c r="BF90" s="69"/>
      <c r="BG90" s="69"/>
      <c r="BH90" s="69"/>
      <c r="BI90" s="69"/>
      <c r="BJ90" s="68"/>
      <c r="BK90" s="69"/>
      <c r="BL90" s="67"/>
      <c r="BM90" s="67"/>
      <c r="BN90" s="56"/>
      <c r="BO90" s="56"/>
      <c r="BT90" s="63"/>
      <c r="BW90" s="56"/>
      <c r="BX90" s="56"/>
      <c r="BY90" s="56"/>
      <c r="BZ90" s="56"/>
      <c r="CA90" s="56"/>
      <c r="CF90" s="63"/>
      <c r="CI90" s="56"/>
      <c r="CJ90" s="56"/>
      <c r="CK90" s="56"/>
      <c r="CL90" s="56"/>
      <c r="CM90" s="56"/>
    </row>
    <row r="91" spans="18:93" ht="39.950000000000003" customHeight="1">
      <c r="R91" s="63"/>
      <c r="V91" s="170"/>
      <c r="W91" s="170"/>
      <c r="X91" s="170"/>
      <c r="Y91" s="170"/>
      <c r="AD91" s="174"/>
      <c r="AG91" s="56"/>
      <c r="AH91" s="56"/>
      <c r="AI91" s="56"/>
      <c r="AJ91" s="56"/>
      <c r="AK91" s="56"/>
      <c r="AO91" s="68"/>
      <c r="AP91" s="76"/>
      <c r="AQ91" s="67"/>
      <c r="AR91" s="68"/>
      <c r="AS91" s="69"/>
      <c r="AT91" s="69"/>
      <c r="AU91" s="69"/>
      <c r="AV91" s="69"/>
      <c r="AW91" s="69"/>
      <c r="AX91" s="68"/>
      <c r="AY91" s="69"/>
      <c r="AZ91" s="67"/>
      <c r="BA91" s="69"/>
      <c r="BB91" s="76"/>
      <c r="BC91" s="67"/>
      <c r="BD91" s="68"/>
      <c r="BE91" s="69"/>
      <c r="BF91" s="69"/>
      <c r="BG91" s="69"/>
      <c r="BH91" s="69"/>
      <c r="BI91" s="69"/>
      <c r="BJ91" s="68"/>
      <c r="BK91" s="69"/>
      <c r="BL91" s="67"/>
      <c r="BM91" s="67"/>
      <c r="BN91" s="56"/>
      <c r="BO91" s="56"/>
      <c r="BT91" s="63"/>
      <c r="BW91" s="56"/>
      <c r="BX91" s="56"/>
      <c r="BY91" s="56"/>
      <c r="BZ91" s="56"/>
      <c r="CA91" s="56"/>
      <c r="CF91" s="63"/>
      <c r="CI91" s="56"/>
      <c r="CJ91" s="56"/>
      <c r="CK91" s="56"/>
      <c r="CL91" s="56"/>
      <c r="CM91" s="56"/>
    </row>
    <row r="92" spans="18:93" ht="39.950000000000003" customHeight="1">
      <c r="R92" s="63"/>
      <c r="V92" s="170"/>
      <c r="W92" s="170"/>
      <c r="X92" s="170"/>
      <c r="Y92" s="170"/>
      <c r="AD92" s="174"/>
      <c r="AG92" s="56"/>
      <c r="AH92" s="56"/>
      <c r="AI92" s="56"/>
      <c r="AJ92" s="56"/>
      <c r="AK92" s="56"/>
      <c r="AO92" s="68"/>
      <c r="AP92" s="76"/>
      <c r="AQ92" s="67"/>
      <c r="AR92" s="68"/>
      <c r="AS92" s="69"/>
      <c r="AT92" s="69"/>
      <c r="AU92" s="69"/>
      <c r="AV92" s="69"/>
      <c r="AW92" s="69"/>
      <c r="AX92" s="68"/>
      <c r="AY92" s="69"/>
      <c r="AZ92" s="67"/>
      <c r="BA92" s="69"/>
      <c r="BB92" s="76"/>
      <c r="BC92" s="67"/>
      <c r="BD92" s="68"/>
      <c r="BE92" s="69"/>
      <c r="BF92" s="69"/>
      <c r="BG92" s="69"/>
      <c r="BH92" s="69"/>
      <c r="BI92" s="69"/>
      <c r="BJ92" s="68"/>
      <c r="BK92" s="69"/>
      <c r="BL92" s="67"/>
      <c r="BM92" s="67"/>
      <c r="BN92" s="56"/>
      <c r="BO92" s="56"/>
      <c r="BT92" s="63"/>
      <c r="BW92" s="56"/>
      <c r="BX92" s="56"/>
      <c r="BY92" s="56"/>
      <c r="BZ92" s="56"/>
      <c r="CA92" s="56"/>
      <c r="CF92" s="63"/>
      <c r="CI92" s="56"/>
      <c r="CJ92" s="56"/>
      <c r="CK92" s="56"/>
      <c r="CL92" s="56"/>
      <c r="CM92" s="56"/>
    </row>
    <row r="93" spans="18:93" ht="39.950000000000003" customHeight="1">
      <c r="R93" s="63"/>
      <c r="V93" s="170"/>
      <c r="W93" s="170"/>
      <c r="X93" s="170"/>
      <c r="Y93" s="170"/>
      <c r="AD93" s="174"/>
      <c r="AG93" s="56"/>
      <c r="AH93" s="56"/>
      <c r="AI93" s="56"/>
      <c r="AJ93" s="56"/>
      <c r="AK93" s="56"/>
      <c r="AO93" s="68"/>
      <c r="AP93" s="76"/>
      <c r="AQ93" s="67"/>
      <c r="AR93" s="68"/>
      <c r="AS93" s="69"/>
      <c r="AT93" s="69"/>
      <c r="AU93" s="69"/>
      <c r="AV93" s="69"/>
      <c r="AW93" s="69"/>
      <c r="AX93" s="68"/>
      <c r="AY93" s="69"/>
      <c r="AZ93" s="67"/>
      <c r="BA93" s="69"/>
      <c r="BB93" s="76"/>
      <c r="BC93" s="67"/>
      <c r="BD93" s="68"/>
      <c r="BE93" s="69"/>
      <c r="BF93" s="69"/>
      <c r="BG93" s="69"/>
      <c r="BH93" s="69"/>
      <c r="BI93" s="69"/>
      <c r="BJ93" s="68"/>
      <c r="BK93" s="69"/>
      <c r="BL93" s="67"/>
      <c r="BM93" s="67"/>
      <c r="BN93" s="56"/>
      <c r="BO93" s="56"/>
      <c r="BT93" s="63"/>
      <c r="BW93" s="56"/>
      <c r="BX93" s="56"/>
      <c r="BY93" s="56"/>
      <c r="BZ93" s="56"/>
      <c r="CA93" s="56"/>
      <c r="CF93" s="63"/>
      <c r="CI93" s="56"/>
      <c r="CJ93" s="56"/>
      <c r="CK93" s="56"/>
      <c r="CL93" s="56"/>
      <c r="CM93" s="56"/>
    </row>
    <row r="94" spans="18:93" ht="39.950000000000003" customHeight="1">
      <c r="AO94" s="68"/>
      <c r="AP94" s="67"/>
      <c r="AQ94" s="67"/>
      <c r="AR94" s="68"/>
      <c r="AS94" s="68"/>
      <c r="AT94" s="68"/>
      <c r="AU94" s="68"/>
      <c r="AV94" s="68"/>
      <c r="AW94" s="68"/>
      <c r="AX94" s="68"/>
      <c r="AY94" s="69"/>
      <c r="AZ94" s="67"/>
      <c r="BA94" s="68"/>
      <c r="BB94" s="67"/>
      <c r="BC94" s="67"/>
      <c r="BD94" s="68"/>
      <c r="BE94" s="68"/>
      <c r="BF94" s="68"/>
      <c r="BG94" s="68"/>
      <c r="BH94" s="68"/>
      <c r="BI94" s="68"/>
      <c r="BJ94" s="68"/>
      <c r="BK94" s="69"/>
      <c r="BL94" s="67"/>
      <c r="BM94" s="67"/>
    </row>
    <row r="95" spans="18:93" ht="39.950000000000003" customHeight="1">
      <c r="R95" s="63"/>
      <c r="S95" s="64"/>
      <c r="Y95" s="532"/>
      <c r="Z95" s="532"/>
      <c r="AA95" s="532"/>
      <c r="AD95" s="174"/>
      <c r="AE95" s="64"/>
      <c r="AK95" s="531"/>
      <c r="AL95" s="531"/>
      <c r="AM95" s="531"/>
      <c r="AO95" s="68"/>
      <c r="AP95" s="76"/>
      <c r="AQ95" s="77"/>
      <c r="AR95" s="68"/>
      <c r="AS95" s="68"/>
      <c r="AT95" s="68"/>
      <c r="AU95" s="68"/>
      <c r="AV95" s="68"/>
      <c r="AW95" s="533"/>
      <c r="AX95" s="533"/>
      <c r="AY95" s="533"/>
      <c r="AZ95" s="67"/>
      <c r="BA95" s="68"/>
      <c r="BB95" s="76"/>
      <c r="BC95" s="77"/>
      <c r="BD95" s="68"/>
      <c r="BE95" s="68"/>
      <c r="BF95" s="68"/>
      <c r="BG95" s="68"/>
      <c r="BH95" s="68"/>
      <c r="BI95" s="533"/>
      <c r="BJ95" s="533"/>
      <c r="BK95" s="533"/>
      <c r="BL95" s="67"/>
      <c r="BM95" s="67"/>
      <c r="BO95" s="531"/>
      <c r="BP95" s="531"/>
      <c r="BQ95" s="531"/>
      <c r="BT95" s="63"/>
      <c r="BU95" s="64"/>
      <c r="CA95" s="531"/>
      <c r="CB95" s="531"/>
      <c r="CC95" s="531"/>
      <c r="CF95" s="63"/>
      <c r="CG95" s="64"/>
      <c r="CM95" s="531"/>
      <c r="CN95" s="531"/>
      <c r="CO95" s="531"/>
    </row>
    <row r="96" spans="18:93" ht="39.950000000000003" customHeight="1">
      <c r="R96" s="63"/>
      <c r="V96" s="170"/>
      <c r="W96" s="170"/>
      <c r="X96" s="170"/>
      <c r="Y96" s="170"/>
      <c r="AD96" s="174"/>
      <c r="AG96" s="56"/>
      <c r="AH96" s="56"/>
      <c r="AI96" s="56"/>
      <c r="AJ96" s="56"/>
      <c r="AK96" s="56"/>
      <c r="AO96" s="68"/>
      <c r="AP96" s="76"/>
      <c r="AQ96" s="67"/>
      <c r="AR96" s="68"/>
      <c r="AS96" s="69"/>
      <c r="AT96" s="69"/>
      <c r="AU96" s="69"/>
      <c r="AV96" s="69"/>
      <c r="AW96" s="69"/>
      <c r="AX96" s="68"/>
      <c r="AY96" s="69"/>
      <c r="AZ96" s="67"/>
      <c r="BA96" s="69"/>
      <c r="BB96" s="76"/>
      <c r="BC96" s="67"/>
      <c r="BD96" s="68"/>
      <c r="BE96" s="69"/>
      <c r="BF96" s="69"/>
      <c r="BG96" s="69"/>
      <c r="BH96" s="69"/>
      <c r="BI96" s="69"/>
      <c r="BJ96" s="68"/>
      <c r="BK96" s="69"/>
      <c r="BL96" s="67"/>
      <c r="BM96" s="67"/>
      <c r="BN96" s="56"/>
      <c r="BO96" s="56"/>
      <c r="BT96" s="63"/>
      <c r="BW96" s="56"/>
      <c r="BX96" s="56"/>
      <c r="BY96" s="56"/>
      <c r="BZ96" s="56"/>
      <c r="CA96" s="56"/>
      <c r="CF96" s="63"/>
      <c r="CI96" s="56"/>
      <c r="CJ96" s="56"/>
      <c r="CK96" s="56"/>
      <c r="CL96" s="56"/>
      <c r="CM96" s="56"/>
    </row>
    <row r="97" spans="18:93" ht="39.950000000000003" customHeight="1">
      <c r="R97" s="63"/>
      <c r="V97" s="170"/>
      <c r="W97" s="170"/>
      <c r="X97" s="170"/>
      <c r="Y97" s="170"/>
      <c r="AD97" s="174"/>
      <c r="AG97" s="56"/>
      <c r="AH97" s="56"/>
      <c r="AI97" s="56"/>
      <c r="AJ97" s="56"/>
      <c r="AK97" s="56"/>
      <c r="AO97" s="68"/>
      <c r="AP97" s="76"/>
      <c r="AQ97" s="67"/>
      <c r="AR97" s="68"/>
      <c r="AS97" s="69"/>
      <c r="AT97" s="69"/>
      <c r="AU97" s="69"/>
      <c r="AV97" s="69"/>
      <c r="AW97" s="69"/>
      <c r="AX97" s="68"/>
      <c r="AY97" s="69"/>
      <c r="AZ97" s="67"/>
      <c r="BA97" s="69"/>
      <c r="BB97" s="76"/>
      <c r="BC97" s="67"/>
      <c r="BD97" s="68"/>
      <c r="BE97" s="69"/>
      <c r="BF97" s="69"/>
      <c r="BG97" s="69"/>
      <c r="BH97" s="69"/>
      <c r="BI97" s="69"/>
      <c r="BJ97" s="68"/>
      <c r="BK97" s="69"/>
      <c r="BL97" s="67"/>
      <c r="BM97" s="67"/>
      <c r="BN97" s="56"/>
      <c r="BO97" s="56"/>
      <c r="BT97" s="63"/>
      <c r="BW97" s="56"/>
      <c r="BX97" s="56"/>
      <c r="BY97" s="56"/>
      <c r="BZ97" s="56"/>
      <c r="CA97" s="56"/>
      <c r="CF97" s="63"/>
      <c r="CI97" s="56"/>
      <c r="CJ97" s="56"/>
      <c r="CK97" s="56"/>
      <c r="CL97" s="56"/>
      <c r="CM97" s="56"/>
    </row>
    <row r="98" spans="18:93" ht="39.950000000000003" customHeight="1">
      <c r="R98" s="63"/>
      <c r="V98" s="170"/>
      <c r="W98" s="170"/>
      <c r="X98" s="170"/>
      <c r="Y98" s="170"/>
      <c r="AD98" s="174"/>
      <c r="AG98" s="56"/>
      <c r="AH98" s="56"/>
      <c r="AI98" s="56"/>
      <c r="AJ98" s="56"/>
      <c r="AK98" s="56"/>
      <c r="AO98" s="68"/>
      <c r="AP98" s="76"/>
      <c r="AQ98" s="67"/>
      <c r="AR98" s="68"/>
      <c r="AS98" s="69"/>
      <c r="AT98" s="69"/>
      <c r="AU98" s="69"/>
      <c r="AV98" s="69"/>
      <c r="AW98" s="69"/>
      <c r="AX98" s="68"/>
      <c r="AY98" s="69"/>
      <c r="AZ98" s="67"/>
      <c r="BA98" s="69"/>
      <c r="BB98" s="76"/>
      <c r="BC98" s="67"/>
      <c r="BD98" s="68"/>
      <c r="BE98" s="69"/>
      <c r="BF98" s="69"/>
      <c r="BG98" s="69"/>
      <c r="BH98" s="69"/>
      <c r="BI98" s="69"/>
      <c r="BJ98" s="68"/>
      <c r="BK98" s="69"/>
      <c r="BL98" s="67"/>
      <c r="BM98" s="67"/>
      <c r="BN98" s="56"/>
      <c r="BO98" s="56"/>
      <c r="BT98" s="63"/>
      <c r="BW98" s="56"/>
      <c r="BX98" s="56"/>
      <c r="BY98" s="56"/>
      <c r="BZ98" s="56"/>
      <c r="CA98" s="56"/>
      <c r="CF98" s="63"/>
      <c r="CI98" s="56"/>
      <c r="CJ98" s="56"/>
      <c r="CK98" s="56"/>
      <c r="CL98" s="56"/>
      <c r="CM98" s="56"/>
    </row>
    <row r="99" spans="18:93" ht="39.950000000000003" customHeight="1">
      <c r="R99" s="63"/>
      <c r="V99" s="170"/>
      <c r="W99" s="170"/>
      <c r="X99" s="170"/>
      <c r="Y99" s="170"/>
      <c r="AD99" s="174"/>
      <c r="AG99" s="56"/>
      <c r="AH99" s="56"/>
      <c r="AI99" s="56"/>
      <c r="AJ99" s="56"/>
      <c r="AK99" s="56"/>
      <c r="AO99" s="68"/>
      <c r="AP99" s="76"/>
      <c r="AQ99" s="67"/>
      <c r="AR99" s="68"/>
      <c r="AS99" s="69"/>
      <c r="AT99" s="69"/>
      <c r="AU99" s="69"/>
      <c r="AV99" s="69"/>
      <c r="AW99" s="69"/>
      <c r="AX99" s="68"/>
      <c r="AY99" s="69"/>
      <c r="AZ99" s="67"/>
      <c r="BA99" s="69"/>
      <c r="BB99" s="76"/>
      <c r="BC99" s="67"/>
      <c r="BD99" s="68"/>
      <c r="BE99" s="69"/>
      <c r="BF99" s="69"/>
      <c r="BG99" s="69"/>
      <c r="BH99" s="69"/>
      <c r="BI99" s="69"/>
      <c r="BJ99" s="68"/>
      <c r="BK99" s="69"/>
      <c r="BL99" s="67"/>
      <c r="BM99" s="67"/>
      <c r="BN99" s="56"/>
      <c r="BO99" s="56"/>
      <c r="BT99" s="63"/>
      <c r="BW99" s="56"/>
      <c r="BX99" s="56"/>
      <c r="BY99" s="56"/>
      <c r="BZ99" s="56"/>
      <c r="CA99" s="56"/>
      <c r="CF99" s="63"/>
      <c r="CI99" s="56"/>
      <c r="CJ99" s="56"/>
      <c r="CK99" s="56"/>
      <c r="CL99" s="56"/>
      <c r="CM99" s="56"/>
    </row>
    <row r="100" spans="18:93" ht="39.950000000000003" customHeight="1">
      <c r="AO100" s="68"/>
      <c r="AP100" s="67"/>
      <c r="AQ100" s="67"/>
      <c r="AR100" s="68"/>
      <c r="AS100" s="68"/>
      <c r="AT100" s="68"/>
      <c r="AU100" s="68"/>
      <c r="AV100" s="68"/>
      <c r="AW100" s="68"/>
      <c r="AX100" s="68"/>
      <c r="AY100" s="69"/>
      <c r="AZ100" s="67"/>
      <c r="BA100" s="68"/>
      <c r="BB100" s="67"/>
      <c r="BC100" s="67"/>
      <c r="BD100" s="68"/>
      <c r="BE100" s="68"/>
      <c r="BF100" s="68"/>
      <c r="BG100" s="68"/>
      <c r="BH100" s="68"/>
      <c r="BI100" s="68"/>
      <c r="BJ100" s="68"/>
      <c r="BK100" s="69"/>
      <c r="BL100" s="67"/>
      <c r="BM100" s="67"/>
    </row>
    <row r="101" spans="18:93" ht="39.950000000000003" customHeight="1">
      <c r="R101" s="63"/>
      <c r="S101" s="64"/>
      <c r="Y101" s="532"/>
      <c r="Z101" s="532"/>
      <c r="AA101" s="532"/>
      <c r="AD101" s="174"/>
      <c r="AE101" s="64"/>
      <c r="AK101" s="531"/>
      <c r="AL101" s="531"/>
      <c r="AM101" s="531"/>
      <c r="AO101" s="68"/>
      <c r="AP101" s="76"/>
      <c r="AQ101" s="77"/>
      <c r="AR101" s="68"/>
      <c r="AS101" s="68"/>
      <c r="AT101" s="68"/>
      <c r="AU101" s="68"/>
      <c r="AV101" s="68"/>
      <c r="AW101" s="533"/>
      <c r="AX101" s="533"/>
      <c r="AY101" s="533"/>
      <c r="AZ101" s="67"/>
      <c r="BA101" s="68"/>
      <c r="BB101" s="76"/>
      <c r="BC101" s="77"/>
      <c r="BD101" s="68"/>
      <c r="BE101" s="68"/>
      <c r="BF101" s="68"/>
      <c r="BG101" s="68"/>
      <c r="BH101" s="68"/>
      <c r="BI101" s="533"/>
      <c r="BJ101" s="533"/>
      <c r="BK101" s="533"/>
      <c r="BL101" s="67"/>
      <c r="BM101" s="67"/>
      <c r="BO101" s="531"/>
      <c r="BP101" s="531"/>
      <c r="BQ101" s="531"/>
      <c r="BT101" s="63"/>
      <c r="BU101" s="64"/>
      <c r="CA101" s="531"/>
      <c r="CB101" s="531"/>
      <c r="CC101" s="531"/>
      <c r="CF101" s="63"/>
      <c r="CG101" s="64"/>
      <c r="CM101" s="531"/>
      <c r="CN101" s="531"/>
      <c r="CO101" s="531"/>
    </row>
    <row r="102" spans="18:93" ht="39.950000000000003" customHeight="1">
      <c r="R102" s="63"/>
      <c r="V102" s="170"/>
      <c r="W102" s="170"/>
      <c r="X102" s="170"/>
      <c r="Y102" s="170"/>
      <c r="AD102" s="174"/>
      <c r="AG102" s="56"/>
      <c r="AH102" s="56"/>
      <c r="AI102" s="56"/>
      <c r="AJ102" s="56"/>
      <c r="AK102" s="56"/>
      <c r="AO102" s="68"/>
      <c r="AP102" s="76"/>
      <c r="AQ102" s="67"/>
      <c r="AR102" s="68"/>
      <c r="AS102" s="69"/>
      <c r="AT102" s="69"/>
      <c r="AU102" s="69"/>
      <c r="AV102" s="69"/>
      <c r="AW102" s="69"/>
      <c r="AX102" s="68"/>
      <c r="AY102" s="69"/>
      <c r="AZ102" s="67"/>
      <c r="BA102" s="69"/>
      <c r="BB102" s="76"/>
      <c r="BC102" s="67"/>
      <c r="BD102" s="68"/>
      <c r="BE102" s="69"/>
      <c r="BF102" s="69"/>
      <c r="BG102" s="69"/>
      <c r="BH102" s="69"/>
      <c r="BI102" s="69"/>
      <c r="BJ102" s="68"/>
      <c r="BK102" s="69"/>
      <c r="BL102" s="67"/>
      <c r="BM102" s="67"/>
      <c r="BN102" s="56"/>
      <c r="BO102" s="56"/>
      <c r="BT102" s="63"/>
      <c r="BW102" s="56"/>
      <c r="BX102" s="56"/>
      <c r="BY102" s="56"/>
      <c r="BZ102" s="56"/>
      <c r="CA102" s="56"/>
      <c r="CF102" s="63"/>
      <c r="CI102" s="56"/>
      <c r="CJ102" s="56"/>
      <c r="CK102" s="56"/>
      <c r="CL102" s="56"/>
      <c r="CM102" s="56"/>
    </row>
    <row r="103" spans="18:93" ht="39.950000000000003" customHeight="1">
      <c r="R103" s="63"/>
      <c r="V103" s="170"/>
      <c r="W103" s="170"/>
      <c r="X103" s="170"/>
      <c r="Y103" s="170"/>
      <c r="AD103" s="174"/>
      <c r="AG103" s="56"/>
      <c r="AH103" s="56"/>
      <c r="AI103" s="56"/>
      <c r="AJ103" s="56"/>
      <c r="AK103" s="56"/>
      <c r="AO103" s="68"/>
      <c r="AP103" s="76"/>
      <c r="AQ103" s="67"/>
      <c r="AR103" s="68"/>
      <c r="AS103" s="69"/>
      <c r="AT103" s="69"/>
      <c r="AU103" s="69"/>
      <c r="AV103" s="69"/>
      <c r="AW103" s="69"/>
      <c r="AX103" s="68"/>
      <c r="AY103" s="69"/>
      <c r="AZ103" s="67"/>
      <c r="BA103" s="69"/>
      <c r="BB103" s="76"/>
      <c r="BC103" s="67"/>
      <c r="BD103" s="68"/>
      <c r="BE103" s="69"/>
      <c r="BF103" s="69"/>
      <c r="BG103" s="69"/>
      <c r="BH103" s="69"/>
      <c r="BI103" s="69"/>
      <c r="BJ103" s="68"/>
      <c r="BK103" s="69"/>
      <c r="BL103" s="67"/>
      <c r="BM103" s="67"/>
      <c r="BN103" s="56"/>
      <c r="BO103" s="56"/>
      <c r="BT103" s="63"/>
      <c r="BW103" s="56"/>
      <c r="BX103" s="56"/>
      <c r="BY103" s="56"/>
      <c r="BZ103" s="56"/>
      <c r="CA103" s="56"/>
      <c r="CF103" s="63"/>
      <c r="CI103" s="56"/>
      <c r="CJ103" s="56"/>
      <c r="CK103" s="56"/>
      <c r="CL103" s="56"/>
      <c r="CM103" s="56"/>
    </row>
    <row r="104" spans="18:93" ht="39.950000000000003" customHeight="1">
      <c r="R104" s="63"/>
      <c r="V104" s="170"/>
      <c r="W104" s="170"/>
      <c r="X104" s="170"/>
      <c r="Y104" s="170"/>
      <c r="AD104" s="174"/>
      <c r="AG104" s="56"/>
      <c r="AH104" s="56"/>
      <c r="AI104" s="56"/>
      <c r="AJ104" s="56"/>
      <c r="AK104" s="56"/>
      <c r="AO104" s="68"/>
      <c r="AP104" s="76"/>
      <c r="AQ104" s="67"/>
      <c r="AR104" s="68"/>
      <c r="AS104" s="69"/>
      <c r="AT104" s="69"/>
      <c r="AU104" s="69"/>
      <c r="AV104" s="69"/>
      <c r="AW104" s="69"/>
      <c r="AX104" s="68"/>
      <c r="AY104" s="69"/>
      <c r="AZ104" s="67"/>
      <c r="BA104" s="69"/>
      <c r="BB104" s="76"/>
      <c r="BC104" s="67"/>
      <c r="BD104" s="68"/>
      <c r="BE104" s="69"/>
      <c r="BF104" s="69"/>
      <c r="BG104" s="69"/>
      <c r="BH104" s="69"/>
      <c r="BI104" s="69"/>
      <c r="BJ104" s="68"/>
      <c r="BK104" s="69"/>
      <c r="BL104" s="67"/>
      <c r="BM104" s="67"/>
      <c r="BN104" s="56"/>
      <c r="BO104" s="56"/>
      <c r="BT104" s="63"/>
      <c r="BW104" s="56"/>
      <c r="BX104" s="56"/>
      <c r="BY104" s="56"/>
      <c r="BZ104" s="56"/>
      <c r="CA104" s="56"/>
      <c r="CF104" s="63"/>
      <c r="CI104" s="56"/>
      <c r="CJ104" s="56"/>
      <c r="CK104" s="56"/>
      <c r="CL104" s="56"/>
      <c r="CM104" s="56"/>
    </row>
    <row r="105" spans="18:93" ht="39.950000000000003" customHeight="1">
      <c r="R105" s="63"/>
      <c r="V105" s="170"/>
      <c r="W105" s="170"/>
      <c r="X105" s="170"/>
      <c r="Y105" s="170"/>
      <c r="AD105" s="174"/>
      <c r="AG105" s="56"/>
      <c r="AH105" s="56"/>
      <c r="AI105" s="56"/>
      <c r="AJ105" s="56"/>
      <c r="AK105" s="56"/>
      <c r="AO105" s="68"/>
      <c r="AP105" s="76"/>
      <c r="AQ105" s="67"/>
      <c r="AR105" s="68"/>
      <c r="AS105" s="69"/>
      <c r="AT105" s="69"/>
      <c r="AU105" s="69"/>
      <c r="AV105" s="69"/>
      <c r="AW105" s="69"/>
      <c r="AX105" s="68"/>
      <c r="AY105" s="69"/>
      <c r="AZ105" s="67"/>
      <c r="BA105" s="69"/>
      <c r="BB105" s="76"/>
      <c r="BC105" s="67"/>
      <c r="BD105" s="68"/>
      <c r="BE105" s="69"/>
      <c r="BF105" s="69"/>
      <c r="BG105" s="69"/>
      <c r="BH105" s="69"/>
      <c r="BI105" s="69"/>
      <c r="BJ105" s="68"/>
      <c r="BK105" s="69"/>
      <c r="BL105" s="67"/>
      <c r="BM105" s="67"/>
      <c r="BN105" s="56"/>
      <c r="BO105" s="56"/>
      <c r="BT105" s="63"/>
      <c r="BW105" s="56"/>
      <c r="BX105" s="56"/>
      <c r="BY105" s="56"/>
      <c r="BZ105" s="56"/>
      <c r="CA105" s="56"/>
      <c r="CF105" s="63"/>
      <c r="CI105" s="56"/>
      <c r="CJ105" s="56"/>
      <c r="CK105" s="56"/>
      <c r="CL105" s="56"/>
      <c r="CM105" s="56"/>
    </row>
    <row r="106" spans="18:93" ht="39.950000000000003" customHeight="1">
      <c r="AO106" s="68"/>
      <c r="AP106" s="67"/>
      <c r="AQ106" s="67"/>
      <c r="AR106" s="68"/>
      <c r="AS106" s="68"/>
      <c r="AT106" s="68"/>
      <c r="AU106" s="68"/>
      <c r="AV106" s="68"/>
      <c r="AW106" s="68"/>
      <c r="AX106" s="68"/>
      <c r="AY106" s="69"/>
      <c r="AZ106" s="67"/>
      <c r="BA106" s="68"/>
      <c r="BB106" s="67"/>
      <c r="BC106" s="67"/>
      <c r="BD106" s="68"/>
      <c r="BE106" s="68"/>
      <c r="BF106" s="68"/>
      <c r="BG106" s="68"/>
      <c r="BH106" s="68"/>
      <c r="BI106" s="68"/>
      <c r="BJ106" s="68"/>
      <c r="BK106" s="69"/>
      <c r="BL106" s="67"/>
      <c r="BM106" s="67"/>
    </row>
    <row r="107" spans="18:93" ht="39.950000000000003" customHeight="1">
      <c r="R107" s="63"/>
      <c r="S107" s="64"/>
      <c r="Y107" s="532"/>
      <c r="Z107" s="532"/>
      <c r="AA107" s="532"/>
      <c r="AD107" s="174"/>
      <c r="AE107" s="64"/>
      <c r="AK107" s="531"/>
      <c r="AL107" s="531"/>
      <c r="AM107" s="531"/>
      <c r="AO107" s="68"/>
      <c r="AP107" s="76"/>
      <c r="AQ107" s="77"/>
      <c r="AR107" s="68"/>
      <c r="AS107" s="68"/>
      <c r="AT107" s="68"/>
      <c r="AU107" s="68"/>
      <c r="AV107" s="68"/>
      <c r="AW107" s="533"/>
      <c r="AX107" s="533"/>
      <c r="AY107" s="533"/>
      <c r="AZ107" s="67"/>
      <c r="BA107" s="68"/>
      <c r="BB107" s="76"/>
      <c r="BC107" s="77"/>
      <c r="BD107" s="68"/>
      <c r="BE107" s="68"/>
      <c r="BF107" s="68"/>
      <c r="BG107" s="68"/>
      <c r="BH107" s="68"/>
      <c r="BI107" s="533"/>
      <c r="BJ107" s="533"/>
      <c r="BK107" s="533"/>
      <c r="BL107" s="67"/>
      <c r="BM107" s="67"/>
      <c r="BO107" s="531"/>
      <c r="BP107" s="531"/>
      <c r="BQ107" s="531"/>
      <c r="BT107" s="63"/>
      <c r="BU107" s="64"/>
      <c r="CA107" s="531"/>
      <c r="CB107" s="531"/>
      <c r="CC107" s="531"/>
      <c r="CF107" s="63"/>
      <c r="CG107" s="64"/>
      <c r="CM107" s="531"/>
      <c r="CN107" s="531"/>
      <c r="CO107" s="531"/>
    </row>
    <row r="108" spans="18:93" ht="39.950000000000003" customHeight="1">
      <c r="R108" s="63"/>
      <c r="V108" s="170"/>
      <c r="W108" s="170"/>
      <c r="X108" s="170"/>
      <c r="Y108" s="170"/>
      <c r="AD108" s="174"/>
      <c r="AG108" s="56"/>
      <c r="AH108" s="56"/>
      <c r="AI108" s="56"/>
      <c r="AJ108" s="56"/>
      <c r="AK108" s="56"/>
      <c r="AO108" s="68"/>
      <c r="AP108" s="76"/>
      <c r="AQ108" s="67"/>
      <c r="AR108" s="68"/>
      <c r="AS108" s="69"/>
      <c r="AT108" s="69"/>
      <c r="AU108" s="69"/>
      <c r="AV108" s="69"/>
      <c r="AW108" s="69"/>
      <c r="AX108" s="68"/>
      <c r="AY108" s="69"/>
      <c r="AZ108" s="67"/>
      <c r="BA108" s="69"/>
      <c r="BB108" s="76"/>
      <c r="BC108" s="67"/>
      <c r="BD108" s="68"/>
      <c r="BE108" s="69"/>
      <c r="BF108" s="69"/>
      <c r="BG108" s="69"/>
      <c r="BH108" s="69"/>
      <c r="BI108" s="69"/>
      <c r="BJ108" s="68"/>
      <c r="BK108" s="69"/>
      <c r="BL108" s="67"/>
      <c r="BM108" s="67"/>
      <c r="BN108" s="56"/>
      <c r="BO108" s="56"/>
      <c r="BT108" s="63"/>
      <c r="BW108" s="56"/>
      <c r="BX108" s="56"/>
      <c r="BY108" s="56"/>
      <c r="BZ108" s="56"/>
      <c r="CA108" s="56"/>
      <c r="CF108" s="63"/>
      <c r="CI108" s="56"/>
      <c r="CJ108" s="56"/>
      <c r="CK108" s="56"/>
      <c r="CL108" s="56"/>
      <c r="CM108" s="56"/>
    </row>
    <row r="109" spans="18:93" ht="39.950000000000003" customHeight="1">
      <c r="R109" s="63"/>
      <c r="V109" s="170"/>
      <c r="W109" s="170"/>
      <c r="X109" s="170"/>
      <c r="Y109" s="170"/>
      <c r="AD109" s="174"/>
      <c r="AG109" s="56"/>
      <c r="AH109" s="56"/>
      <c r="AI109" s="56"/>
      <c r="AJ109" s="56"/>
      <c r="AK109" s="56"/>
      <c r="AO109" s="68"/>
      <c r="AP109" s="76"/>
      <c r="AQ109" s="67"/>
      <c r="AR109" s="68"/>
      <c r="AS109" s="69"/>
      <c r="AT109" s="69"/>
      <c r="AU109" s="69"/>
      <c r="AV109" s="69"/>
      <c r="AW109" s="69"/>
      <c r="AX109" s="68"/>
      <c r="AY109" s="69"/>
      <c r="AZ109" s="67"/>
      <c r="BA109" s="69"/>
      <c r="BB109" s="76"/>
      <c r="BC109" s="67"/>
      <c r="BD109" s="68"/>
      <c r="BE109" s="69"/>
      <c r="BF109" s="69"/>
      <c r="BG109" s="69"/>
      <c r="BH109" s="69"/>
      <c r="BI109" s="69"/>
      <c r="BJ109" s="68"/>
      <c r="BK109" s="69"/>
      <c r="BL109" s="67"/>
      <c r="BM109" s="67"/>
      <c r="BN109" s="56"/>
      <c r="BO109" s="56"/>
      <c r="BT109" s="63"/>
      <c r="BW109" s="56"/>
      <c r="BX109" s="56"/>
      <c r="BY109" s="56"/>
      <c r="BZ109" s="56"/>
      <c r="CA109" s="56"/>
      <c r="CF109" s="63"/>
      <c r="CI109" s="56"/>
      <c r="CJ109" s="56"/>
      <c r="CK109" s="56"/>
      <c r="CL109" s="56"/>
      <c r="CM109" s="56"/>
    </row>
    <row r="110" spans="18:93" ht="39.950000000000003" customHeight="1">
      <c r="R110" s="63"/>
      <c r="V110" s="170"/>
      <c r="W110" s="170"/>
      <c r="X110" s="170"/>
      <c r="Y110" s="170"/>
      <c r="AD110" s="174"/>
      <c r="AG110" s="56"/>
      <c r="AH110" s="56"/>
      <c r="AI110" s="56"/>
      <c r="AJ110" s="56"/>
      <c r="AK110" s="56"/>
      <c r="AO110" s="68"/>
      <c r="AP110" s="76"/>
      <c r="AQ110" s="67"/>
      <c r="AR110" s="68"/>
      <c r="AS110" s="69"/>
      <c r="AT110" s="69"/>
      <c r="AU110" s="69"/>
      <c r="AV110" s="69"/>
      <c r="AW110" s="69"/>
      <c r="AX110" s="68"/>
      <c r="AY110" s="69"/>
      <c r="AZ110" s="67"/>
      <c r="BA110" s="69"/>
      <c r="BB110" s="76"/>
      <c r="BC110" s="67"/>
      <c r="BD110" s="68"/>
      <c r="BE110" s="69"/>
      <c r="BF110" s="69"/>
      <c r="BG110" s="69"/>
      <c r="BH110" s="69"/>
      <c r="BI110" s="69"/>
      <c r="BJ110" s="68"/>
      <c r="BK110" s="69"/>
      <c r="BL110" s="67"/>
      <c r="BM110" s="67"/>
      <c r="BN110" s="56"/>
      <c r="BO110" s="56"/>
      <c r="BT110" s="63"/>
      <c r="BW110" s="56"/>
      <c r="BX110" s="56"/>
      <c r="BY110" s="56"/>
      <c r="BZ110" s="56"/>
      <c r="CA110" s="56"/>
      <c r="CF110" s="63"/>
      <c r="CI110" s="56"/>
      <c r="CJ110" s="56"/>
      <c r="CK110" s="56"/>
      <c r="CL110" s="56"/>
      <c r="CM110" s="56"/>
    </row>
    <row r="111" spans="18:93" ht="39.950000000000003" customHeight="1">
      <c r="R111" s="63"/>
      <c r="V111" s="170"/>
      <c r="W111" s="170"/>
      <c r="X111" s="170"/>
      <c r="Y111" s="170"/>
      <c r="AD111" s="174"/>
      <c r="AG111" s="56"/>
      <c r="AH111" s="56"/>
      <c r="AI111" s="56"/>
      <c r="AJ111" s="56"/>
      <c r="AK111" s="56"/>
      <c r="AO111" s="68"/>
      <c r="AP111" s="76"/>
      <c r="AQ111" s="67"/>
      <c r="AR111" s="68"/>
      <c r="AS111" s="69"/>
      <c r="AT111" s="69"/>
      <c r="AU111" s="69"/>
      <c r="AV111" s="69"/>
      <c r="AW111" s="69"/>
      <c r="AX111" s="68"/>
      <c r="AY111" s="69"/>
      <c r="AZ111" s="67"/>
      <c r="BA111" s="69"/>
      <c r="BB111" s="76"/>
      <c r="BC111" s="67"/>
      <c r="BD111" s="68"/>
      <c r="BE111" s="69"/>
      <c r="BF111" s="69"/>
      <c r="BG111" s="69"/>
      <c r="BH111" s="69"/>
      <c r="BI111" s="69"/>
      <c r="BJ111" s="68"/>
      <c r="BK111" s="69"/>
      <c r="BL111" s="67"/>
      <c r="BM111" s="67"/>
      <c r="BN111" s="56"/>
      <c r="BO111" s="56"/>
      <c r="BT111" s="63"/>
      <c r="BW111" s="56"/>
      <c r="BX111" s="56"/>
      <c r="BY111" s="56"/>
      <c r="BZ111" s="56"/>
      <c r="CA111" s="56"/>
      <c r="CF111" s="63"/>
      <c r="CI111" s="56"/>
      <c r="CJ111" s="56"/>
      <c r="CK111" s="56"/>
      <c r="CL111" s="56"/>
      <c r="CM111" s="56"/>
    </row>
    <row r="112" spans="18:93" ht="39.950000000000003" customHeight="1">
      <c r="AO112" s="68"/>
      <c r="AP112" s="67"/>
      <c r="AQ112" s="67"/>
      <c r="AR112" s="68"/>
      <c r="AS112" s="68"/>
      <c r="AT112" s="68"/>
      <c r="AU112" s="68"/>
      <c r="AV112" s="68"/>
      <c r="AW112" s="68"/>
      <c r="AX112" s="68"/>
      <c r="AY112" s="69"/>
      <c r="AZ112" s="67"/>
      <c r="BA112" s="68"/>
      <c r="BB112" s="67"/>
      <c r="BC112" s="67"/>
      <c r="BD112" s="68"/>
      <c r="BE112" s="68"/>
      <c r="BF112" s="68"/>
      <c r="BG112" s="68"/>
      <c r="BH112" s="68"/>
      <c r="BI112" s="68"/>
      <c r="BJ112" s="68"/>
      <c r="BK112" s="69"/>
      <c r="BL112" s="67"/>
      <c r="BM112" s="67"/>
    </row>
    <row r="113" spans="18:93" ht="39.950000000000003" customHeight="1">
      <c r="R113" s="63"/>
      <c r="S113" s="64"/>
      <c r="Y113" s="532"/>
      <c r="Z113" s="532"/>
      <c r="AA113" s="532"/>
      <c r="AD113" s="174"/>
      <c r="AE113" s="64"/>
      <c r="AK113" s="531"/>
      <c r="AL113" s="531"/>
      <c r="AM113" s="531"/>
      <c r="AO113" s="68"/>
      <c r="AP113" s="76"/>
      <c r="AQ113" s="77"/>
      <c r="AR113" s="68"/>
      <c r="AS113" s="68"/>
      <c r="AT113" s="68"/>
      <c r="AU113" s="68"/>
      <c r="AV113" s="68"/>
      <c r="AW113" s="533"/>
      <c r="AX113" s="533"/>
      <c r="AY113" s="533"/>
      <c r="AZ113" s="67"/>
      <c r="BA113" s="68"/>
      <c r="BB113" s="76"/>
      <c r="BC113" s="77"/>
      <c r="BD113" s="68"/>
      <c r="BE113" s="68"/>
      <c r="BF113" s="68"/>
      <c r="BG113" s="68"/>
      <c r="BH113" s="68"/>
      <c r="BI113" s="533"/>
      <c r="BJ113" s="533"/>
      <c r="BK113" s="533"/>
      <c r="BL113" s="67"/>
      <c r="BM113" s="67"/>
      <c r="BO113" s="531"/>
      <c r="BP113" s="531"/>
      <c r="BQ113" s="531"/>
      <c r="BT113" s="63"/>
      <c r="BU113" s="64"/>
      <c r="CA113" s="531"/>
      <c r="CB113" s="531"/>
      <c r="CC113" s="531"/>
      <c r="CF113" s="63"/>
      <c r="CG113" s="64"/>
      <c r="CM113" s="531"/>
      <c r="CN113" s="531"/>
      <c r="CO113" s="531"/>
    </row>
    <row r="114" spans="18:93" ht="39.950000000000003" customHeight="1">
      <c r="R114" s="63"/>
      <c r="V114" s="170"/>
      <c r="W114" s="170"/>
      <c r="X114" s="170"/>
      <c r="Y114" s="170"/>
      <c r="AD114" s="174"/>
      <c r="AG114" s="56"/>
      <c r="AH114" s="56"/>
      <c r="AI114" s="56"/>
      <c r="AJ114" s="56"/>
      <c r="AK114" s="56"/>
      <c r="AO114" s="68"/>
      <c r="AP114" s="76"/>
      <c r="AQ114" s="67"/>
      <c r="AR114" s="68"/>
      <c r="AS114" s="69"/>
      <c r="AT114" s="69"/>
      <c r="AU114" s="69"/>
      <c r="AV114" s="69"/>
      <c r="AW114" s="69"/>
      <c r="AX114" s="68"/>
      <c r="AY114" s="69"/>
      <c r="AZ114" s="67"/>
      <c r="BA114" s="69"/>
      <c r="BB114" s="76"/>
      <c r="BC114" s="67"/>
      <c r="BD114" s="68"/>
      <c r="BE114" s="69"/>
      <c r="BF114" s="69"/>
      <c r="BG114" s="69"/>
      <c r="BH114" s="69"/>
      <c r="BI114" s="69"/>
      <c r="BJ114" s="68"/>
      <c r="BK114" s="69"/>
      <c r="BL114" s="67"/>
      <c r="BM114" s="67"/>
      <c r="BN114" s="56"/>
      <c r="BO114" s="56"/>
      <c r="BT114" s="63"/>
      <c r="BW114" s="56"/>
      <c r="BX114" s="56"/>
      <c r="BY114" s="56"/>
      <c r="BZ114" s="56"/>
      <c r="CA114" s="56"/>
      <c r="CF114" s="63"/>
      <c r="CI114" s="56"/>
      <c r="CJ114" s="56"/>
      <c r="CK114" s="56"/>
      <c r="CL114" s="56"/>
      <c r="CM114" s="56"/>
    </row>
    <row r="115" spans="18:93" ht="39.950000000000003" customHeight="1">
      <c r="R115" s="63"/>
      <c r="V115" s="170"/>
      <c r="W115" s="170"/>
      <c r="X115" s="170"/>
      <c r="Y115" s="170"/>
      <c r="AD115" s="174"/>
      <c r="AG115" s="56"/>
      <c r="AH115" s="56"/>
      <c r="AI115" s="56"/>
      <c r="AJ115" s="56"/>
      <c r="AK115" s="56"/>
      <c r="AO115" s="68"/>
      <c r="AP115" s="76"/>
      <c r="AQ115" s="67"/>
      <c r="AR115" s="68"/>
      <c r="AS115" s="69"/>
      <c r="AT115" s="69"/>
      <c r="AU115" s="69"/>
      <c r="AV115" s="69"/>
      <c r="AW115" s="69"/>
      <c r="AX115" s="68"/>
      <c r="AY115" s="69"/>
      <c r="AZ115" s="67"/>
      <c r="BA115" s="69"/>
      <c r="BB115" s="76"/>
      <c r="BC115" s="67"/>
      <c r="BD115" s="68"/>
      <c r="BE115" s="69"/>
      <c r="BF115" s="69"/>
      <c r="BG115" s="69"/>
      <c r="BH115" s="69"/>
      <c r="BI115" s="69"/>
      <c r="BJ115" s="68"/>
      <c r="BK115" s="69"/>
      <c r="BL115" s="67"/>
      <c r="BM115" s="67"/>
      <c r="BN115" s="56"/>
      <c r="BO115" s="56"/>
      <c r="BT115" s="63"/>
      <c r="BW115" s="56"/>
      <c r="BX115" s="56"/>
      <c r="BY115" s="56"/>
      <c r="BZ115" s="56"/>
      <c r="CA115" s="56"/>
      <c r="CF115" s="63"/>
      <c r="CI115" s="56"/>
      <c r="CJ115" s="56"/>
      <c r="CK115" s="56"/>
      <c r="CL115" s="56"/>
      <c r="CM115" s="56"/>
    </row>
    <row r="116" spans="18:93" ht="39.950000000000003" customHeight="1">
      <c r="R116" s="63"/>
      <c r="V116" s="170"/>
      <c r="W116" s="170"/>
      <c r="X116" s="170"/>
      <c r="Y116" s="170"/>
      <c r="AD116" s="174"/>
      <c r="AG116" s="56"/>
      <c r="AH116" s="56"/>
      <c r="AI116" s="56"/>
      <c r="AJ116" s="56"/>
      <c r="AK116" s="56"/>
      <c r="AO116" s="68"/>
      <c r="AP116" s="76"/>
      <c r="AQ116" s="67"/>
      <c r="AR116" s="68"/>
      <c r="AS116" s="69"/>
      <c r="AT116" s="69"/>
      <c r="AU116" s="69"/>
      <c r="AV116" s="69"/>
      <c r="AW116" s="69"/>
      <c r="AX116" s="68"/>
      <c r="AY116" s="69"/>
      <c r="AZ116" s="67"/>
      <c r="BA116" s="69"/>
      <c r="BB116" s="76"/>
      <c r="BC116" s="67"/>
      <c r="BD116" s="68"/>
      <c r="BE116" s="69"/>
      <c r="BF116" s="69"/>
      <c r="BG116" s="69"/>
      <c r="BH116" s="69"/>
      <c r="BI116" s="69"/>
      <c r="BJ116" s="68"/>
      <c r="BK116" s="69"/>
      <c r="BL116" s="67"/>
      <c r="BM116" s="67"/>
      <c r="BN116" s="56"/>
      <c r="BO116" s="56"/>
      <c r="BT116" s="63"/>
      <c r="BW116" s="56"/>
      <c r="BX116" s="56"/>
      <c r="BY116" s="56"/>
      <c r="BZ116" s="56"/>
      <c r="CA116" s="56"/>
      <c r="CF116" s="63"/>
      <c r="CI116" s="56"/>
      <c r="CJ116" s="56"/>
      <c r="CK116" s="56"/>
      <c r="CL116" s="56"/>
      <c r="CM116" s="56"/>
    </row>
    <row r="117" spans="18:93" ht="39.950000000000003" customHeight="1">
      <c r="R117" s="63"/>
      <c r="V117" s="170"/>
      <c r="W117" s="170"/>
      <c r="X117" s="170"/>
      <c r="Y117" s="170"/>
      <c r="AD117" s="174"/>
      <c r="AG117" s="56"/>
      <c r="AH117" s="56"/>
      <c r="AI117" s="56"/>
      <c r="AJ117" s="56"/>
      <c r="AK117" s="56"/>
      <c r="AO117" s="68"/>
      <c r="AP117" s="76"/>
      <c r="AQ117" s="67"/>
      <c r="AR117" s="68"/>
      <c r="AS117" s="69"/>
      <c r="AT117" s="69"/>
      <c r="AU117" s="69"/>
      <c r="AV117" s="69"/>
      <c r="AW117" s="69"/>
      <c r="AX117" s="68"/>
      <c r="AY117" s="69"/>
      <c r="AZ117" s="67"/>
      <c r="BA117" s="69"/>
      <c r="BB117" s="76"/>
      <c r="BC117" s="67"/>
      <c r="BD117" s="68"/>
      <c r="BE117" s="69"/>
      <c r="BF117" s="69"/>
      <c r="BG117" s="69"/>
      <c r="BH117" s="69"/>
      <c r="BI117" s="69"/>
      <c r="BJ117" s="68"/>
      <c r="BK117" s="69"/>
      <c r="BL117" s="67"/>
      <c r="BM117" s="67"/>
      <c r="BN117" s="56"/>
      <c r="BO117" s="56"/>
      <c r="BT117" s="63"/>
      <c r="BW117" s="56"/>
      <c r="BX117" s="56"/>
      <c r="BY117" s="56"/>
      <c r="BZ117" s="56"/>
      <c r="CA117" s="56"/>
      <c r="CF117" s="63"/>
      <c r="CI117" s="56"/>
      <c r="CJ117" s="56"/>
      <c r="CK117" s="56"/>
      <c r="CL117" s="56"/>
      <c r="CM117" s="56"/>
    </row>
    <row r="118" spans="18:93" ht="39.950000000000003" customHeight="1">
      <c r="AO118" s="68"/>
      <c r="AP118" s="67"/>
      <c r="AQ118" s="67"/>
      <c r="AR118" s="68"/>
      <c r="AS118" s="68"/>
      <c r="AT118" s="68"/>
      <c r="AU118" s="68"/>
      <c r="AV118" s="68"/>
      <c r="AW118" s="68"/>
      <c r="AX118" s="68"/>
      <c r="AY118" s="69"/>
      <c r="AZ118" s="67"/>
      <c r="BA118" s="68"/>
      <c r="BB118" s="67"/>
      <c r="BC118" s="67"/>
      <c r="BD118" s="68"/>
      <c r="BE118" s="68"/>
      <c r="BF118" s="68"/>
      <c r="BG118" s="68"/>
      <c r="BH118" s="68"/>
      <c r="BI118" s="68"/>
      <c r="BJ118" s="68"/>
      <c r="BK118" s="69"/>
      <c r="BL118" s="67"/>
      <c r="BM118" s="67"/>
    </row>
    <row r="119" spans="18:93" ht="39.950000000000003" customHeight="1">
      <c r="R119" s="63"/>
      <c r="S119" s="64"/>
      <c r="Y119" s="532"/>
      <c r="Z119" s="532"/>
      <c r="AA119" s="532"/>
      <c r="AD119" s="174"/>
      <c r="AE119" s="64"/>
      <c r="AK119" s="531"/>
      <c r="AL119" s="531"/>
      <c r="AM119" s="531"/>
      <c r="AO119" s="68"/>
      <c r="AP119" s="76"/>
      <c r="AQ119" s="77"/>
      <c r="AR119" s="68"/>
      <c r="AS119" s="68"/>
      <c r="AT119" s="68"/>
      <c r="AU119" s="68"/>
      <c r="AV119" s="68"/>
      <c r="AW119" s="533"/>
      <c r="AX119" s="533"/>
      <c r="AY119" s="533"/>
      <c r="AZ119" s="67"/>
      <c r="BA119" s="68"/>
      <c r="BB119" s="76"/>
      <c r="BC119" s="77"/>
      <c r="BD119" s="68"/>
      <c r="BE119" s="68"/>
      <c r="BF119" s="68"/>
      <c r="BG119" s="68"/>
      <c r="BH119" s="68"/>
      <c r="BI119" s="533"/>
      <c r="BJ119" s="533"/>
      <c r="BK119" s="533"/>
      <c r="BL119" s="67"/>
      <c r="BM119" s="67"/>
      <c r="BO119" s="531"/>
      <c r="BP119" s="531"/>
      <c r="BQ119" s="531"/>
      <c r="BT119" s="63"/>
      <c r="BU119" s="64"/>
      <c r="CA119" s="531"/>
      <c r="CB119" s="531"/>
      <c r="CC119" s="531"/>
      <c r="CF119" s="63"/>
      <c r="CG119" s="64"/>
      <c r="CM119" s="531"/>
      <c r="CN119" s="531"/>
      <c r="CO119" s="531"/>
    </row>
    <row r="120" spans="18:93" ht="39.950000000000003" customHeight="1">
      <c r="R120" s="63"/>
      <c r="V120" s="170"/>
      <c r="W120" s="170"/>
      <c r="X120" s="170"/>
      <c r="Y120" s="170"/>
      <c r="AD120" s="174"/>
      <c r="AG120" s="56"/>
      <c r="AH120" s="56"/>
      <c r="AI120" s="56"/>
      <c r="AJ120" s="56"/>
      <c r="AK120" s="56"/>
      <c r="AO120" s="68"/>
      <c r="AP120" s="76"/>
      <c r="AQ120" s="67"/>
      <c r="AR120" s="68"/>
      <c r="AS120" s="69"/>
      <c r="AT120" s="69"/>
      <c r="AU120" s="69"/>
      <c r="AV120" s="69"/>
      <c r="AW120" s="69"/>
      <c r="AX120" s="68"/>
      <c r="AY120" s="69"/>
      <c r="AZ120" s="67"/>
      <c r="BA120" s="69"/>
      <c r="BB120" s="76"/>
      <c r="BC120" s="67"/>
      <c r="BD120" s="68"/>
      <c r="BE120" s="69"/>
      <c r="BF120" s="69"/>
      <c r="BG120" s="69"/>
      <c r="BH120" s="69"/>
      <c r="BI120" s="69"/>
      <c r="BJ120" s="68"/>
      <c r="BK120" s="69"/>
      <c r="BL120" s="67"/>
      <c r="BM120" s="67"/>
      <c r="BN120" s="56"/>
      <c r="BO120" s="56"/>
      <c r="BT120" s="63"/>
      <c r="BW120" s="56"/>
      <c r="BX120" s="56"/>
      <c r="BY120" s="56"/>
      <c r="BZ120" s="56"/>
      <c r="CA120" s="56"/>
      <c r="CF120" s="63"/>
      <c r="CI120" s="56"/>
      <c r="CJ120" s="56"/>
      <c r="CK120" s="56"/>
      <c r="CL120" s="56"/>
      <c r="CM120" s="56"/>
    </row>
    <row r="121" spans="18:93" ht="39.950000000000003" customHeight="1">
      <c r="R121" s="63"/>
      <c r="V121" s="170"/>
      <c r="W121" s="170"/>
      <c r="X121" s="170"/>
      <c r="Y121" s="170"/>
      <c r="AD121" s="174"/>
      <c r="AG121" s="56"/>
      <c r="AH121" s="56"/>
      <c r="AI121" s="56"/>
      <c r="AJ121" s="56"/>
      <c r="AK121" s="56"/>
      <c r="AO121" s="68"/>
      <c r="AP121" s="76"/>
      <c r="AQ121" s="67"/>
      <c r="AR121" s="68"/>
      <c r="AS121" s="69"/>
      <c r="AT121" s="69"/>
      <c r="AU121" s="69"/>
      <c r="AV121" s="69"/>
      <c r="AW121" s="69"/>
      <c r="AX121" s="68"/>
      <c r="AY121" s="69"/>
      <c r="AZ121" s="67"/>
      <c r="BA121" s="69"/>
      <c r="BB121" s="76"/>
      <c r="BC121" s="67"/>
      <c r="BD121" s="68"/>
      <c r="BE121" s="69"/>
      <c r="BF121" s="69"/>
      <c r="BG121" s="69"/>
      <c r="BH121" s="69"/>
      <c r="BI121" s="69"/>
      <c r="BJ121" s="68"/>
      <c r="BK121" s="69"/>
      <c r="BL121" s="67"/>
      <c r="BM121" s="67"/>
      <c r="BN121" s="56"/>
      <c r="BO121" s="56"/>
      <c r="BT121" s="63"/>
      <c r="BW121" s="56"/>
      <c r="BX121" s="56"/>
      <c r="BY121" s="56"/>
      <c r="BZ121" s="56"/>
      <c r="CA121" s="56"/>
      <c r="CF121" s="63"/>
      <c r="CI121" s="56"/>
      <c r="CJ121" s="56"/>
      <c r="CK121" s="56"/>
      <c r="CL121" s="56"/>
      <c r="CM121" s="56"/>
    </row>
    <row r="122" spans="18:93" ht="39.950000000000003" customHeight="1">
      <c r="R122" s="63"/>
      <c r="V122" s="170"/>
      <c r="W122" s="170"/>
      <c r="X122" s="170"/>
      <c r="Y122" s="170"/>
      <c r="AD122" s="174"/>
      <c r="AG122" s="56"/>
      <c r="AH122" s="56"/>
      <c r="AI122" s="56"/>
      <c r="AJ122" s="56"/>
      <c r="AK122" s="56"/>
      <c r="AO122" s="68"/>
      <c r="AP122" s="76"/>
      <c r="AQ122" s="67"/>
      <c r="AR122" s="68"/>
      <c r="AS122" s="69"/>
      <c r="AT122" s="69"/>
      <c r="AU122" s="69"/>
      <c r="AV122" s="69"/>
      <c r="AW122" s="69"/>
      <c r="AX122" s="68"/>
      <c r="AY122" s="69"/>
      <c r="AZ122" s="67"/>
      <c r="BA122" s="69"/>
      <c r="BB122" s="76"/>
      <c r="BC122" s="67"/>
      <c r="BD122" s="68"/>
      <c r="BE122" s="69"/>
      <c r="BF122" s="69"/>
      <c r="BG122" s="69"/>
      <c r="BH122" s="69"/>
      <c r="BI122" s="69"/>
      <c r="BJ122" s="68"/>
      <c r="BK122" s="69"/>
      <c r="BL122" s="67"/>
      <c r="BM122" s="67"/>
      <c r="BN122" s="56"/>
      <c r="BO122" s="56"/>
      <c r="BT122" s="63"/>
      <c r="BW122" s="56"/>
      <c r="BX122" s="56"/>
      <c r="BY122" s="56"/>
      <c r="BZ122" s="56"/>
      <c r="CA122" s="56"/>
      <c r="CF122" s="63"/>
      <c r="CI122" s="56"/>
      <c r="CJ122" s="56"/>
      <c r="CK122" s="56"/>
      <c r="CL122" s="56"/>
      <c r="CM122" s="56"/>
    </row>
    <row r="123" spans="18:93" ht="39.950000000000003" customHeight="1">
      <c r="R123" s="63"/>
      <c r="V123" s="170"/>
      <c r="W123" s="170"/>
      <c r="X123" s="170"/>
      <c r="Y123" s="170"/>
      <c r="AD123" s="174"/>
      <c r="AG123" s="56"/>
      <c r="AH123" s="56"/>
      <c r="AI123" s="56"/>
      <c r="AJ123" s="56"/>
      <c r="AK123" s="56"/>
      <c r="AO123" s="68"/>
      <c r="AP123" s="76"/>
      <c r="AQ123" s="67"/>
      <c r="AR123" s="68"/>
      <c r="AS123" s="69"/>
      <c r="AT123" s="69"/>
      <c r="AU123" s="69"/>
      <c r="AV123" s="69"/>
      <c r="AW123" s="69"/>
      <c r="AX123" s="68"/>
      <c r="AY123" s="69"/>
      <c r="AZ123" s="67"/>
      <c r="BA123" s="69"/>
      <c r="BB123" s="76"/>
      <c r="BC123" s="67"/>
      <c r="BD123" s="68"/>
      <c r="BE123" s="69"/>
      <c r="BF123" s="69"/>
      <c r="BG123" s="69"/>
      <c r="BH123" s="69"/>
      <c r="BI123" s="69"/>
      <c r="BJ123" s="68"/>
      <c r="BK123" s="69"/>
      <c r="BL123" s="67"/>
      <c r="BM123" s="67"/>
      <c r="BN123" s="56"/>
      <c r="BO123" s="56"/>
      <c r="BT123" s="63"/>
      <c r="BW123" s="56"/>
      <c r="BX123" s="56"/>
      <c r="BY123" s="56"/>
      <c r="BZ123" s="56"/>
      <c r="CA123" s="56"/>
      <c r="CF123" s="63"/>
      <c r="CI123" s="56"/>
      <c r="CJ123" s="56"/>
      <c r="CK123" s="56"/>
      <c r="CL123" s="56"/>
      <c r="CM123" s="56"/>
    </row>
    <row r="124" spans="18:93" ht="39.950000000000003" customHeight="1">
      <c r="AO124" s="68"/>
      <c r="AP124" s="67"/>
      <c r="AQ124" s="67"/>
      <c r="AR124" s="68"/>
      <c r="AS124" s="68"/>
      <c r="AT124" s="68"/>
      <c r="AU124" s="68"/>
      <c r="AV124" s="68"/>
      <c r="AW124" s="68"/>
      <c r="AX124" s="68"/>
      <c r="AY124" s="69"/>
      <c r="AZ124" s="67"/>
      <c r="BA124" s="68"/>
      <c r="BB124" s="67"/>
      <c r="BC124" s="67"/>
      <c r="BD124" s="68"/>
      <c r="BE124" s="68"/>
      <c r="BF124" s="68"/>
      <c r="BG124" s="68"/>
      <c r="BH124" s="68"/>
      <c r="BI124" s="68"/>
      <c r="BJ124" s="68"/>
      <c r="BK124" s="69"/>
      <c r="BL124" s="67"/>
      <c r="BM124" s="67"/>
    </row>
    <row r="125" spans="18:93" ht="39.950000000000003" customHeight="1">
      <c r="R125" s="63"/>
      <c r="S125" s="64"/>
      <c r="Y125" s="532"/>
      <c r="Z125" s="532"/>
      <c r="AA125" s="532"/>
      <c r="AD125" s="174"/>
      <c r="AE125" s="64"/>
      <c r="AK125" s="531"/>
      <c r="AL125" s="531"/>
      <c r="AM125" s="531"/>
      <c r="AO125" s="68"/>
      <c r="AP125" s="76"/>
      <c r="AQ125" s="77"/>
      <c r="AR125" s="68"/>
      <c r="AS125" s="68"/>
      <c r="AT125" s="68"/>
      <c r="AU125" s="68"/>
      <c r="AV125" s="68"/>
      <c r="AW125" s="533"/>
      <c r="AX125" s="533"/>
      <c r="AY125" s="533"/>
      <c r="AZ125" s="67"/>
      <c r="BA125" s="68"/>
      <c r="BB125" s="76"/>
      <c r="BC125" s="77"/>
      <c r="BD125" s="68"/>
      <c r="BE125" s="68"/>
      <c r="BF125" s="68"/>
      <c r="BG125" s="68"/>
      <c r="BH125" s="68"/>
      <c r="BI125" s="533"/>
      <c r="BJ125" s="533"/>
      <c r="BK125" s="533"/>
      <c r="BL125" s="67"/>
      <c r="BM125" s="67"/>
      <c r="BO125" s="531"/>
      <c r="BP125" s="531"/>
      <c r="BQ125" s="531"/>
      <c r="BT125" s="63"/>
      <c r="BU125" s="64"/>
      <c r="CA125" s="531"/>
      <c r="CB125" s="531"/>
      <c r="CC125" s="531"/>
      <c r="CF125" s="63"/>
      <c r="CG125" s="64"/>
      <c r="CM125" s="531"/>
      <c r="CN125" s="531"/>
      <c r="CO125" s="531"/>
    </row>
    <row r="126" spans="18:93" ht="39.950000000000003" customHeight="1">
      <c r="R126" s="63"/>
      <c r="V126" s="170"/>
      <c r="W126" s="170"/>
      <c r="X126" s="170"/>
      <c r="Y126" s="170"/>
      <c r="AD126" s="174"/>
      <c r="AG126" s="56"/>
      <c r="AH126" s="56"/>
      <c r="AI126" s="56"/>
      <c r="AJ126" s="56"/>
      <c r="AK126" s="56"/>
      <c r="AO126" s="68"/>
      <c r="AP126" s="76"/>
      <c r="AQ126" s="67"/>
      <c r="AR126" s="68"/>
      <c r="AS126" s="69"/>
      <c r="AT126" s="69"/>
      <c r="AU126" s="69"/>
      <c r="AV126" s="69"/>
      <c r="AW126" s="69"/>
      <c r="AX126" s="68"/>
      <c r="AY126" s="69"/>
      <c r="AZ126" s="67"/>
      <c r="BA126" s="69"/>
      <c r="BB126" s="76"/>
      <c r="BC126" s="67"/>
      <c r="BD126" s="68"/>
      <c r="BE126" s="69"/>
      <c r="BF126" s="69"/>
      <c r="BG126" s="69"/>
      <c r="BH126" s="69"/>
      <c r="BI126" s="69"/>
      <c r="BJ126" s="68"/>
      <c r="BK126" s="69"/>
      <c r="BL126" s="67"/>
      <c r="BM126" s="67"/>
      <c r="BN126" s="56"/>
      <c r="BO126" s="56"/>
      <c r="BT126" s="63"/>
      <c r="BW126" s="56"/>
      <c r="BX126" s="56"/>
      <c r="BY126" s="56"/>
      <c r="BZ126" s="56"/>
      <c r="CA126" s="56"/>
      <c r="CF126" s="63"/>
      <c r="CI126" s="56"/>
      <c r="CJ126" s="56"/>
      <c r="CK126" s="56"/>
      <c r="CL126" s="56"/>
      <c r="CM126" s="56"/>
    </row>
    <row r="127" spans="18:93" ht="39.950000000000003" customHeight="1">
      <c r="R127" s="63"/>
      <c r="V127" s="170"/>
      <c r="W127" s="170"/>
      <c r="X127" s="170"/>
      <c r="Y127" s="170"/>
      <c r="AD127" s="174"/>
      <c r="AG127" s="56"/>
      <c r="AH127" s="56"/>
      <c r="AI127" s="56"/>
      <c r="AJ127" s="56"/>
      <c r="AK127" s="56"/>
      <c r="AO127" s="68"/>
      <c r="AP127" s="76"/>
      <c r="AQ127" s="67"/>
      <c r="AR127" s="68"/>
      <c r="AS127" s="69"/>
      <c r="AT127" s="69"/>
      <c r="AU127" s="69"/>
      <c r="AV127" s="69"/>
      <c r="AW127" s="69"/>
      <c r="AX127" s="68"/>
      <c r="AY127" s="69"/>
      <c r="AZ127" s="67"/>
      <c r="BA127" s="69"/>
      <c r="BB127" s="76"/>
      <c r="BC127" s="67"/>
      <c r="BD127" s="68"/>
      <c r="BE127" s="69"/>
      <c r="BF127" s="69"/>
      <c r="BG127" s="69"/>
      <c r="BH127" s="69"/>
      <c r="BI127" s="69"/>
      <c r="BJ127" s="68"/>
      <c r="BK127" s="69"/>
      <c r="BL127" s="67"/>
      <c r="BM127" s="67"/>
      <c r="BN127" s="56"/>
      <c r="BO127" s="56"/>
      <c r="BT127" s="63"/>
      <c r="BW127" s="56"/>
      <c r="BX127" s="56"/>
      <c r="BY127" s="56"/>
      <c r="BZ127" s="56"/>
      <c r="CA127" s="56"/>
      <c r="CF127" s="63"/>
      <c r="CI127" s="56"/>
      <c r="CJ127" s="56"/>
      <c r="CK127" s="56"/>
      <c r="CL127" s="56"/>
      <c r="CM127" s="56"/>
    </row>
    <row r="128" spans="18:93" ht="39.950000000000003" customHeight="1">
      <c r="R128" s="63"/>
      <c r="V128" s="170"/>
      <c r="W128" s="170"/>
      <c r="X128" s="170"/>
      <c r="Y128" s="170"/>
      <c r="AD128" s="174"/>
      <c r="AG128" s="56"/>
      <c r="AH128" s="56"/>
      <c r="AI128" s="56"/>
      <c r="AJ128" s="56"/>
      <c r="AK128" s="56"/>
      <c r="AO128" s="68"/>
      <c r="AP128" s="76"/>
      <c r="AQ128" s="67"/>
      <c r="AR128" s="68"/>
      <c r="AS128" s="69"/>
      <c r="AT128" s="69"/>
      <c r="AU128" s="69"/>
      <c r="AV128" s="69"/>
      <c r="AW128" s="69"/>
      <c r="AX128" s="68"/>
      <c r="AY128" s="69"/>
      <c r="AZ128" s="67"/>
      <c r="BA128" s="69"/>
      <c r="BB128" s="76"/>
      <c r="BC128" s="67"/>
      <c r="BD128" s="68"/>
      <c r="BE128" s="69"/>
      <c r="BF128" s="69"/>
      <c r="BG128" s="69"/>
      <c r="BH128" s="69"/>
      <c r="BI128" s="69"/>
      <c r="BJ128" s="68"/>
      <c r="BK128" s="69"/>
      <c r="BL128" s="67"/>
      <c r="BM128" s="67"/>
      <c r="BN128" s="56"/>
      <c r="BO128" s="56"/>
      <c r="BT128" s="63"/>
      <c r="BW128" s="56"/>
      <c r="BX128" s="56"/>
      <c r="BY128" s="56"/>
      <c r="BZ128" s="56"/>
      <c r="CA128" s="56"/>
      <c r="CF128" s="63"/>
      <c r="CI128" s="56"/>
      <c r="CJ128" s="56"/>
      <c r="CK128" s="56"/>
      <c r="CL128" s="56"/>
      <c r="CM128" s="56"/>
    </row>
    <row r="129" spans="18:93" ht="39.950000000000003" customHeight="1">
      <c r="R129" s="63"/>
      <c r="V129" s="170"/>
      <c r="W129" s="170"/>
      <c r="X129" s="170"/>
      <c r="Y129" s="170"/>
      <c r="AD129" s="174"/>
      <c r="AG129" s="56"/>
      <c r="AH129" s="56"/>
      <c r="AI129" s="56"/>
      <c r="AJ129" s="56"/>
      <c r="AK129" s="56"/>
      <c r="AO129" s="68"/>
      <c r="AP129" s="76"/>
      <c r="AQ129" s="67"/>
      <c r="AR129" s="68"/>
      <c r="AS129" s="69"/>
      <c r="AT129" s="69"/>
      <c r="AU129" s="69"/>
      <c r="AV129" s="69"/>
      <c r="AW129" s="69"/>
      <c r="AX129" s="68"/>
      <c r="AY129" s="69"/>
      <c r="AZ129" s="67"/>
      <c r="BA129" s="69"/>
      <c r="BB129" s="76"/>
      <c r="BC129" s="67"/>
      <c r="BD129" s="68"/>
      <c r="BE129" s="69"/>
      <c r="BF129" s="69"/>
      <c r="BG129" s="69"/>
      <c r="BH129" s="69"/>
      <c r="BI129" s="69"/>
      <c r="BJ129" s="68"/>
      <c r="BK129" s="69"/>
      <c r="BL129" s="67"/>
      <c r="BM129" s="67"/>
      <c r="BN129" s="56"/>
      <c r="BO129" s="56"/>
      <c r="BT129" s="63"/>
      <c r="BW129" s="56"/>
      <c r="BX129" s="56"/>
      <c r="BY129" s="56"/>
      <c r="BZ129" s="56"/>
      <c r="CA129" s="56"/>
      <c r="CF129" s="63"/>
      <c r="CI129" s="56"/>
      <c r="CJ129" s="56"/>
      <c r="CK129" s="56"/>
      <c r="CL129" s="56"/>
      <c r="CM129" s="56"/>
    </row>
    <row r="130" spans="18:93" ht="39.950000000000003" customHeight="1">
      <c r="AO130" s="68"/>
      <c r="AP130" s="67"/>
      <c r="AQ130" s="67"/>
      <c r="AR130" s="68"/>
      <c r="AS130" s="68"/>
      <c r="AT130" s="68"/>
      <c r="AU130" s="68"/>
      <c r="AV130" s="68"/>
      <c r="AW130" s="68"/>
      <c r="AX130" s="68"/>
      <c r="AY130" s="69"/>
      <c r="AZ130" s="67"/>
      <c r="BA130" s="68"/>
      <c r="BB130" s="67"/>
      <c r="BC130" s="67"/>
      <c r="BD130" s="68"/>
      <c r="BE130" s="68"/>
      <c r="BF130" s="68"/>
      <c r="BG130" s="68"/>
      <c r="BH130" s="68"/>
      <c r="BI130" s="68"/>
      <c r="BJ130" s="68"/>
      <c r="BK130" s="69"/>
      <c r="BL130" s="67"/>
      <c r="BM130" s="67"/>
    </row>
    <row r="131" spans="18:93" ht="39.950000000000003" customHeight="1">
      <c r="R131" s="63"/>
      <c r="S131" s="64"/>
      <c r="Y131" s="532"/>
      <c r="Z131" s="532"/>
      <c r="AA131" s="532"/>
      <c r="AD131" s="174"/>
      <c r="AE131" s="64"/>
      <c r="AK131" s="531"/>
      <c r="AL131" s="531"/>
      <c r="AM131" s="531"/>
      <c r="AO131" s="68"/>
      <c r="AP131" s="76"/>
      <c r="AQ131" s="77"/>
      <c r="AR131" s="68"/>
      <c r="AS131" s="68"/>
      <c r="AT131" s="68"/>
      <c r="AU131" s="68"/>
      <c r="AV131" s="68"/>
      <c r="AW131" s="533"/>
      <c r="AX131" s="533"/>
      <c r="AY131" s="533"/>
      <c r="AZ131" s="67"/>
      <c r="BA131" s="68"/>
      <c r="BB131" s="76"/>
      <c r="BC131" s="77"/>
      <c r="BD131" s="68"/>
      <c r="BE131" s="68"/>
      <c r="BF131" s="68"/>
      <c r="BG131" s="68"/>
      <c r="BH131" s="68"/>
      <c r="BI131" s="533"/>
      <c r="BJ131" s="533"/>
      <c r="BK131" s="533"/>
      <c r="BL131" s="67"/>
      <c r="BM131" s="67"/>
      <c r="BO131" s="531"/>
      <c r="BP131" s="531"/>
      <c r="BQ131" s="531"/>
      <c r="BT131" s="63"/>
      <c r="BU131" s="64"/>
      <c r="CA131" s="531"/>
      <c r="CB131" s="531"/>
      <c r="CC131" s="531"/>
      <c r="CF131" s="63"/>
      <c r="CG131" s="64"/>
      <c r="CM131" s="531"/>
      <c r="CN131" s="531"/>
      <c r="CO131" s="531"/>
    </row>
    <row r="132" spans="18:93" ht="39.950000000000003" customHeight="1">
      <c r="R132" s="63"/>
      <c r="V132" s="170"/>
      <c r="W132" s="170"/>
      <c r="X132" s="170"/>
      <c r="Y132" s="170"/>
      <c r="AD132" s="174"/>
      <c r="AG132" s="56"/>
      <c r="AH132" s="56"/>
      <c r="AI132" s="56"/>
      <c r="AJ132" s="56"/>
      <c r="AK132" s="56"/>
      <c r="AO132" s="68"/>
      <c r="AP132" s="76"/>
      <c r="AQ132" s="67"/>
      <c r="AR132" s="68"/>
      <c r="AS132" s="69"/>
      <c r="AT132" s="69"/>
      <c r="AU132" s="69"/>
      <c r="AV132" s="69"/>
      <c r="AW132" s="69"/>
      <c r="AX132" s="68"/>
      <c r="AY132" s="69"/>
      <c r="AZ132" s="67"/>
      <c r="BA132" s="69"/>
      <c r="BB132" s="76"/>
      <c r="BC132" s="67"/>
      <c r="BD132" s="68"/>
      <c r="BE132" s="69"/>
      <c r="BF132" s="69"/>
      <c r="BG132" s="69"/>
      <c r="BH132" s="69"/>
      <c r="BI132" s="69"/>
      <c r="BJ132" s="68"/>
      <c r="BK132" s="69"/>
      <c r="BL132" s="67"/>
      <c r="BM132" s="67"/>
      <c r="BN132" s="56"/>
      <c r="BO132" s="56"/>
      <c r="BT132" s="63"/>
      <c r="BW132" s="56"/>
      <c r="BX132" s="56"/>
      <c r="BY132" s="56"/>
      <c r="BZ132" s="56"/>
      <c r="CA132" s="56"/>
      <c r="CF132" s="63"/>
      <c r="CI132" s="56"/>
      <c r="CJ132" s="56"/>
      <c r="CK132" s="56"/>
      <c r="CL132" s="56"/>
      <c r="CM132" s="56"/>
    </row>
    <row r="133" spans="18:93" ht="39.950000000000003" customHeight="1">
      <c r="R133" s="63"/>
      <c r="V133" s="170"/>
      <c r="W133" s="170"/>
      <c r="X133" s="170"/>
      <c r="Y133" s="170"/>
      <c r="AD133" s="174"/>
      <c r="AG133" s="56"/>
      <c r="AH133" s="56"/>
      <c r="AI133" s="56"/>
      <c r="AJ133" s="56"/>
      <c r="AK133" s="56"/>
      <c r="AO133" s="68"/>
      <c r="AP133" s="76"/>
      <c r="AQ133" s="67"/>
      <c r="AR133" s="68"/>
      <c r="AS133" s="69"/>
      <c r="AT133" s="69"/>
      <c r="AU133" s="69"/>
      <c r="AV133" s="69"/>
      <c r="AW133" s="69"/>
      <c r="AX133" s="68"/>
      <c r="AY133" s="69"/>
      <c r="AZ133" s="67"/>
      <c r="BA133" s="69"/>
      <c r="BB133" s="76"/>
      <c r="BC133" s="67"/>
      <c r="BD133" s="68"/>
      <c r="BE133" s="69"/>
      <c r="BF133" s="69"/>
      <c r="BG133" s="69"/>
      <c r="BH133" s="69"/>
      <c r="BI133" s="69"/>
      <c r="BJ133" s="68"/>
      <c r="BK133" s="69"/>
      <c r="BL133" s="67"/>
      <c r="BM133" s="67"/>
      <c r="BN133" s="56"/>
      <c r="BO133" s="56"/>
      <c r="BT133" s="63"/>
      <c r="BW133" s="56"/>
      <c r="BX133" s="56"/>
      <c r="BY133" s="56"/>
      <c r="BZ133" s="56"/>
      <c r="CA133" s="56"/>
      <c r="CF133" s="63"/>
      <c r="CI133" s="56"/>
      <c r="CJ133" s="56"/>
      <c r="CK133" s="56"/>
      <c r="CL133" s="56"/>
      <c r="CM133" s="56"/>
    </row>
    <row r="134" spans="18:93" ht="39.950000000000003" customHeight="1">
      <c r="R134" s="63"/>
      <c r="V134" s="170"/>
      <c r="W134" s="170"/>
      <c r="X134" s="170"/>
      <c r="Y134" s="170"/>
      <c r="AD134" s="174"/>
      <c r="AG134" s="56"/>
      <c r="AH134" s="56"/>
      <c r="AI134" s="56"/>
      <c r="AJ134" s="56"/>
      <c r="AK134" s="56"/>
      <c r="AO134" s="68"/>
      <c r="AP134" s="76"/>
      <c r="AQ134" s="67"/>
      <c r="AR134" s="68"/>
      <c r="AS134" s="69"/>
      <c r="AT134" s="69"/>
      <c r="AU134" s="69"/>
      <c r="AV134" s="69"/>
      <c r="AW134" s="69"/>
      <c r="AX134" s="68"/>
      <c r="AY134" s="69"/>
      <c r="AZ134" s="67"/>
      <c r="BA134" s="69"/>
      <c r="BB134" s="76"/>
      <c r="BC134" s="67"/>
      <c r="BD134" s="68"/>
      <c r="BE134" s="69"/>
      <c r="BF134" s="69"/>
      <c r="BG134" s="69"/>
      <c r="BH134" s="69"/>
      <c r="BI134" s="69"/>
      <c r="BJ134" s="68"/>
      <c r="BK134" s="69"/>
      <c r="BL134" s="67"/>
      <c r="BM134" s="67"/>
      <c r="BN134" s="56"/>
      <c r="BO134" s="56"/>
      <c r="BT134" s="63"/>
      <c r="BW134" s="56"/>
      <c r="BX134" s="56"/>
      <c r="BY134" s="56"/>
      <c r="BZ134" s="56"/>
      <c r="CA134" s="56"/>
      <c r="CF134" s="63"/>
      <c r="CI134" s="56"/>
      <c r="CJ134" s="56"/>
      <c r="CK134" s="56"/>
      <c r="CL134" s="56"/>
      <c r="CM134" s="56"/>
    </row>
    <row r="135" spans="18:93" ht="39.950000000000003" customHeight="1">
      <c r="R135" s="63"/>
      <c r="V135" s="170"/>
      <c r="W135" s="170"/>
      <c r="X135" s="170"/>
      <c r="Y135" s="170"/>
      <c r="AD135" s="174"/>
      <c r="AG135" s="56"/>
      <c r="AH135" s="56"/>
      <c r="AI135" s="56"/>
      <c r="AJ135" s="56"/>
      <c r="AK135" s="56"/>
      <c r="AO135" s="68"/>
      <c r="AP135" s="76"/>
      <c r="AQ135" s="67"/>
      <c r="AR135" s="68"/>
      <c r="AS135" s="69"/>
      <c r="AT135" s="69"/>
      <c r="AU135" s="69"/>
      <c r="AV135" s="69"/>
      <c r="AW135" s="69"/>
      <c r="AX135" s="68"/>
      <c r="AY135" s="69"/>
      <c r="AZ135" s="67"/>
      <c r="BA135" s="69"/>
      <c r="BB135" s="76"/>
      <c r="BC135" s="67"/>
      <c r="BD135" s="68"/>
      <c r="BE135" s="69"/>
      <c r="BF135" s="69"/>
      <c r="BG135" s="69"/>
      <c r="BH135" s="69"/>
      <c r="BI135" s="69"/>
      <c r="BJ135" s="68"/>
      <c r="BK135" s="69"/>
      <c r="BL135" s="67"/>
      <c r="BM135" s="67"/>
      <c r="BN135" s="56"/>
      <c r="BO135" s="56"/>
      <c r="BT135" s="63"/>
      <c r="BW135" s="56"/>
      <c r="BX135" s="56"/>
      <c r="BY135" s="56"/>
      <c r="BZ135" s="56"/>
      <c r="CA135" s="56"/>
      <c r="CF135" s="63"/>
      <c r="CI135" s="56"/>
      <c r="CJ135" s="56"/>
      <c r="CK135" s="56"/>
      <c r="CL135" s="56"/>
      <c r="CM135" s="56"/>
    </row>
    <row r="136" spans="18:93" ht="39.950000000000003" customHeight="1">
      <c r="AO136" s="68"/>
      <c r="AP136" s="67"/>
      <c r="AQ136" s="67"/>
      <c r="AR136" s="68"/>
      <c r="AS136" s="68"/>
      <c r="AT136" s="68"/>
      <c r="AU136" s="68"/>
      <c r="AV136" s="68"/>
      <c r="AW136" s="68"/>
      <c r="AX136" s="68"/>
      <c r="AY136" s="69"/>
      <c r="AZ136" s="67"/>
      <c r="BA136" s="68"/>
      <c r="BB136" s="67"/>
      <c r="BC136" s="67"/>
      <c r="BD136" s="68"/>
      <c r="BE136" s="68"/>
      <c r="BF136" s="68"/>
      <c r="BG136" s="68"/>
      <c r="BH136" s="68"/>
      <c r="BI136" s="68"/>
      <c r="BJ136" s="68"/>
      <c r="BK136" s="69"/>
      <c r="BL136" s="67"/>
      <c r="BM136" s="67"/>
    </row>
    <row r="137" spans="18:93" ht="39.950000000000003" customHeight="1">
      <c r="R137" s="63"/>
      <c r="S137" s="64"/>
      <c r="Y137" s="532"/>
      <c r="Z137" s="532"/>
      <c r="AA137" s="532"/>
      <c r="AD137" s="174"/>
      <c r="AE137" s="64"/>
      <c r="AK137" s="531"/>
      <c r="AL137" s="531"/>
      <c r="AM137" s="531"/>
      <c r="AO137" s="68"/>
      <c r="AP137" s="76"/>
      <c r="AQ137" s="77"/>
      <c r="AR137" s="68"/>
      <c r="AS137" s="68"/>
      <c r="AT137" s="68"/>
      <c r="AU137" s="68"/>
      <c r="AV137" s="68"/>
      <c r="AW137" s="533"/>
      <c r="AX137" s="533"/>
      <c r="AY137" s="533"/>
      <c r="AZ137" s="67"/>
      <c r="BA137" s="68"/>
      <c r="BB137" s="76"/>
      <c r="BC137" s="77"/>
      <c r="BD137" s="68"/>
      <c r="BE137" s="68"/>
      <c r="BF137" s="68"/>
      <c r="BG137" s="68"/>
      <c r="BH137" s="68"/>
      <c r="BI137" s="533"/>
      <c r="BJ137" s="533"/>
      <c r="BK137" s="533"/>
      <c r="BL137" s="67"/>
      <c r="BM137" s="67"/>
      <c r="BO137" s="531"/>
      <c r="BP137" s="531"/>
      <c r="BQ137" s="531"/>
      <c r="BT137" s="63"/>
      <c r="BU137" s="64"/>
      <c r="CA137" s="531"/>
      <c r="CB137" s="531"/>
      <c r="CC137" s="531"/>
      <c r="CF137" s="63"/>
      <c r="CG137" s="64"/>
      <c r="CM137" s="531"/>
      <c r="CN137" s="531"/>
      <c r="CO137" s="531"/>
    </row>
    <row r="138" spans="18:93" ht="39.950000000000003" customHeight="1">
      <c r="R138" s="63"/>
      <c r="V138" s="170"/>
      <c r="W138" s="170"/>
      <c r="X138" s="170"/>
      <c r="Y138" s="170"/>
      <c r="AD138" s="174"/>
      <c r="AG138" s="56"/>
      <c r="AH138" s="56"/>
      <c r="AI138" s="56"/>
      <c r="AJ138" s="56"/>
      <c r="AK138" s="56"/>
      <c r="AO138" s="68"/>
      <c r="AP138" s="76"/>
      <c r="AQ138" s="67"/>
      <c r="AR138" s="68"/>
      <c r="AS138" s="69"/>
      <c r="AT138" s="69"/>
      <c r="AU138" s="69"/>
      <c r="AV138" s="69"/>
      <c r="AW138" s="69"/>
      <c r="AX138" s="68"/>
      <c r="AY138" s="69"/>
      <c r="AZ138" s="67"/>
      <c r="BA138" s="69"/>
      <c r="BB138" s="76"/>
      <c r="BC138" s="67"/>
      <c r="BD138" s="68"/>
      <c r="BE138" s="69"/>
      <c r="BF138" s="69"/>
      <c r="BG138" s="69"/>
      <c r="BH138" s="69"/>
      <c r="BI138" s="69"/>
      <c r="BJ138" s="68"/>
      <c r="BK138" s="69"/>
      <c r="BL138" s="67"/>
      <c r="BM138" s="67"/>
      <c r="BN138" s="56"/>
      <c r="BO138" s="56"/>
      <c r="BT138" s="63"/>
      <c r="BW138" s="56"/>
      <c r="BX138" s="56"/>
      <c r="BY138" s="56"/>
      <c r="BZ138" s="56"/>
      <c r="CA138" s="56"/>
      <c r="CF138" s="63"/>
      <c r="CI138" s="56"/>
      <c r="CJ138" s="56"/>
      <c r="CK138" s="56"/>
      <c r="CL138" s="56"/>
      <c r="CM138" s="56"/>
    </row>
    <row r="139" spans="18:93" ht="39.950000000000003" customHeight="1">
      <c r="R139" s="63"/>
      <c r="V139" s="170"/>
      <c r="W139" s="170"/>
      <c r="X139" s="170"/>
      <c r="Y139" s="170"/>
      <c r="AD139" s="174"/>
      <c r="AG139" s="56"/>
      <c r="AH139" s="56"/>
      <c r="AI139" s="56"/>
      <c r="AJ139" s="56"/>
      <c r="AK139" s="56"/>
      <c r="AO139" s="68"/>
      <c r="AP139" s="76"/>
      <c r="AQ139" s="67"/>
      <c r="AR139" s="68"/>
      <c r="AS139" s="69"/>
      <c r="AT139" s="69"/>
      <c r="AU139" s="69"/>
      <c r="AV139" s="69"/>
      <c r="AW139" s="69"/>
      <c r="AX139" s="68"/>
      <c r="AY139" s="69"/>
      <c r="AZ139" s="67"/>
      <c r="BA139" s="69"/>
      <c r="BB139" s="76"/>
      <c r="BC139" s="67"/>
      <c r="BD139" s="68"/>
      <c r="BE139" s="69"/>
      <c r="BF139" s="69"/>
      <c r="BG139" s="69"/>
      <c r="BH139" s="69"/>
      <c r="BI139" s="69"/>
      <c r="BJ139" s="68"/>
      <c r="BK139" s="69"/>
      <c r="BL139" s="67"/>
      <c r="BM139" s="67"/>
      <c r="BN139" s="56"/>
      <c r="BO139" s="56"/>
      <c r="BT139" s="63"/>
      <c r="BW139" s="56"/>
      <c r="BX139" s="56"/>
      <c r="BY139" s="56"/>
      <c r="BZ139" s="56"/>
      <c r="CA139" s="56"/>
      <c r="CF139" s="63"/>
      <c r="CI139" s="56"/>
      <c r="CJ139" s="56"/>
      <c r="CK139" s="56"/>
      <c r="CL139" s="56"/>
      <c r="CM139" s="56"/>
    </row>
    <row r="140" spans="18:93" ht="39.950000000000003" customHeight="1">
      <c r="R140" s="63"/>
      <c r="V140" s="170"/>
      <c r="W140" s="170"/>
      <c r="X140" s="170"/>
      <c r="Y140" s="170"/>
      <c r="AD140" s="174"/>
      <c r="AG140" s="56"/>
      <c r="AH140" s="56"/>
      <c r="AI140" s="56"/>
      <c r="AJ140" s="56"/>
      <c r="AK140" s="56"/>
      <c r="AO140" s="68"/>
      <c r="AP140" s="76"/>
      <c r="AQ140" s="67"/>
      <c r="AR140" s="68"/>
      <c r="AS140" s="69"/>
      <c r="AT140" s="69"/>
      <c r="AU140" s="69"/>
      <c r="AV140" s="69"/>
      <c r="AW140" s="69"/>
      <c r="AX140" s="68"/>
      <c r="AY140" s="69"/>
      <c r="AZ140" s="67"/>
      <c r="BA140" s="69"/>
      <c r="BB140" s="76"/>
      <c r="BC140" s="67"/>
      <c r="BD140" s="68"/>
      <c r="BE140" s="69"/>
      <c r="BF140" s="69"/>
      <c r="BG140" s="69"/>
      <c r="BH140" s="69"/>
      <c r="BI140" s="69"/>
      <c r="BJ140" s="68"/>
      <c r="BK140" s="69"/>
      <c r="BL140" s="67"/>
      <c r="BM140" s="67"/>
      <c r="BN140" s="56"/>
      <c r="BO140" s="56"/>
      <c r="BT140" s="63"/>
      <c r="BW140" s="56"/>
      <c r="BX140" s="56"/>
      <c r="BY140" s="56"/>
      <c r="BZ140" s="56"/>
      <c r="CA140" s="56"/>
      <c r="CF140" s="63"/>
      <c r="CI140" s="56"/>
      <c r="CJ140" s="56"/>
      <c r="CK140" s="56"/>
      <c r="CL140" s="56"/>
      <c r="CM140" s="56"/>
    </row>
    <row r="141" spans="18:93" ht="39.950000000000003" customHeight="1">
      <c r="R141" s="63"/>
      <c r="V141" s="170"/>
      <c r="W141" s="170"/>
      <c r="X141" s="170"/>
      <c r="Y141" s="170"/>
      <c r="AD141" s="174"/>
      <c r="AG141" s="56"/>
      <c r="AH141" s="56"/>
      <c r="AI141" s="56"/>
      <c r="AJ141" s="56"/>
      <c r="AK141" s="56"/>
      <c r="AO141" s="68"/>
      <c r="AP141" s="76"/>
      <c r="AQ141" s="67"/>
      <c r="AR141" s="68"/>
      <c r="AS141" s="69"/>
      <c r="AT141" s="69"/>
      <c r="AU141" s="69"/>
      <c r="AV141" s="69"/>
      <c r="AW141" s="69"/>
      <c r="AX141" s="68"/>
      <c r="AY141" s="69"/>
      <c r="AZ141" s="67"/>
      <c r="BA141" s="69"/>
      <c r="BB141" s="76"/>
      <c r="BC141" s="67"/>
      <c r="BD141" s="68"/>
      <c r="BE141" s="69"/>
      <c r="BF141" s="69"/>
      <c r="BG141" s="69"/>
      <c r="BH141" s="69"/>
      <c r="BI141" s="69"/>
      <c r="BJ141" s="68"/>
      <c r="BK141" s="69"/>
      <c r="BL141" s="67"/>
      <c r="BM141" s="67"/>
      <c r="BN141" s="56"/>
      <c r="BO141" s="56"/>
      <c r="BT141" s="63"/>
      <c r="BW141" s="56"/>
      <c r="BX141" s="56"/>
      <c r="BY141" s="56"/>
      <c r="BZ141" s="56"/>
      <c r="CA141" s="56"/>
      <c r="CF141" s="63"/>
      <c r="CI141" s="56"/>
      <c r="CJ141" s="56"/>
      <c r="CK141" s="56"/>
      <c r="CL141" s="56"/>
      <c r="CM141" s="56"/>
    </row>
    <row r="142" spans="18:93" ht="39.950000000000003" customHeight="1">
      <c r="AO142" s="68"/>
      <c r="AP142" s="67"/>
      <c r="AQ142" s="67"/>
      <c r="AR142" s="68"/>
      <c r="AS142" s="68"/>
      <c r="AT142" s="68"/>
      <c r="AU142" s="68"/>
      <c r="AV142" s="68"/>
      <c r="AW142" s="68"/>
      <c r="AX142" s="68"/>
      <c r="AY142" s="69"/>
      <c r="AZ142" s="67"/>
      <c r="BA142" s="68"/>
      <c r="BB142" s="67"/>
      <c r="BC142" s="67"/>
      <c r="BD142" s="68"/>
      <c r="BE142" s="68"/>
      <c r="BF142" s="68"/>
      <c r="BG142" s="68"/>
      <c r="BH142" s="68"/>
      <c r="BI142" s="68"/>
      <c r="BJ142" s="68"/>
      <c r="BK142" s="69"/>
      <c r="BL142" s="67"/>
      <c r="BM142" s="67"/>
    </row>
    <row r="143" spans="18:93" ht="39.950000000000003" customHeight="1">
      <c r="R143" s="63"/>
      <c r="S143" s="64"/>
      <c r="Y143" s="532"/>
      <c r="Z143" s="532"/>
      <c r="AA143" s="532"/>
      <c r="AD143" s="174"/>
      <c r="AE143" s="64"/>
      <c r="AK143" s="531"/>
      <c r="AL143" s="531"/>
      <c r="AM143" s="531"/>
      <c r="AO143" s="68"/>
      <c r="AP143" s="76"/>
      <c r="AQ143" s="77"/>
      <c r="AR143" s="68"/>
      <c r="AS143" s="68"/>
      <c r="AT143" s="68"/>
      <c r="AU143" s="68"/>
      <c r="AV143" s="68"/>
      <c r="AW143" s="533"/>
      <c r="AX143" s="533"/>
      <c r="AY143" s="533"/>
      <c r="AZ143" s="67"/>
      <c r="BA143" s="68"/>
      <c r="BB143" s="76"/>
      <c r="BC143" s="77"/>
      <c r="BD143" s="68"/>
      <c r="BE143" s="68"/>
      <c r="BF143" s="68"/>
      <c r="BG143" s="68"/>
      <c r="BH143" s="68"/>
      <c r="BI143" s="533"/>
      <c r="BJ143" s="533"/>
      <c r="BK143" s="533"/>
      <c r="BL143" s="67"/>
      <c r="BM143" s="67"/>
      <c r="BO143" s="531"/>
      <c r="BP143" s="531"/>
      <c r="BQ143" s="531"/>
      <c r="BT143" s="63"/>
      <c r="BU143" s="64"/>
      <c r="CA143" s="531"/>
      <c r="CB143" s="531"/>
      <c r="CC143" s="531"/>
      <c r="CF143" s="63"/>
      <c r="CG143" s="64"/>
      <c r="CM143" s="531"/>
      <c r="CN143" s="531"/>
      <c r="CO143" s="531"/>
    </row>
    <row r="144" spans="18:93" ht="39.950000000000003" customHeight="1">
      <c r="R144" s="63"/>
      <c r="V144" s="170"/>
      <c r="W144" s="170"/>
      <c r="X144" s="170"/>
      <c r="Y144" s="170"/>
      <c r="AD144" s="174"/>
      <c r="AG144" s="56"/>
      <c r="AH144" s="56"/>
      <c r="AI144" s="56"/>
      <c r="AJ144" s="56"/>
      <c r="AK144" s="56"/>
      <c r="AO144" s="68"/>
      <c r="AP144" s="76"/>
      <c r="AQ144" s="67"/>
      <c r="AR144" s="68"/>
      <c r="AS144" s="69"/>
      <c r="AT144" s="69"/>
      <c r="AU144" s="69"/>
      <c r="AV144" s="69"/>
      <c r="AW144" s="69"/>
      <c r="AX144" s="68"/>
      <c r="AY144" s="69"/>
      <c r="AZ144" s="67"/>
      <c r="BA144" s="69"/>
      <c r="BB144" s="76"/>
      <c r="BC144" s="67"/>
      <c r="BD144" s="68"/>
      <c r="BE144" s="69"/>
      <c r="BF144" s="69"/>
      <c r="BG144" s="69"/>
      <c r="BH144" s="69"/>
      <c r="BI144" s="69"/>
      <c r="BJ144" s="68"/>
      <c r="BK144" s="69"/>
      <c r="BL144" s="67"/>
      <c r="BM144" s="67"/>
      <c r="BN144" s="56"/>
      <c r="BO144" s="56"/>
      <c r="BT144" s="63"/>
      <c r="BW144" s="56"/>
      <c r="BX144" s="56"/>
      <c r="BY144" s="56"/>
      <c r="BZ144" s="56"/>
      <c r="CA144" s="56"/>
      <c r="CF144" s="63"/>
      <c r="CI144" s="56"/>
      <c r="CJ144" s="56"/>
      <c r="CK144" s="56"/>
      <c r="CL144" s="56"/>
      <c r="CM144" s="56"/>
    </row>
    <row r="145" spans="18:93" ht="39.950000000000003" customHeight="1">
      <c r="R145" s="63"/>
      <c r="V145" s="170"/>
      <c r="W145" s="170"/>
      <c r="X145" s="170"/>
      <c r="Y145" s="170"/>
      <c r="AD145" s="174"/>
      <c r="AG145" s="56"/>
      <c r="AH145" s="56"/>
      <c r="AI145" s="56"/>
      <c r="AJ145" s="56"/>
      <c r="AK145" s="56"/>
      <c r="AO145" s="68"/>
      <c r="AP145" s="76"/>
      <c r="AQ145" s="67"/>
      <c r="AR145" s="68"/>
      <c r="AS145" s="69"/>
      <c r="AT145" s="69"/>
      <c r="AU145" s="69"/>
      <c r="AV145" s="69"/>
      <c r="AW145" s="69"/>
      <c r="AX145" s="68"/>
      <c r="AY145" s="69"/>
      <c r="AZ145" s="67"/>
      <c r="BA145" s="69"/>
      <c r="BB145" s="76"/>
      <c r="BC145" s="67"/>
      <c r="BD145" s="68"/>
      <c r="BE145" s="69"/>
      <c r="BF145" s="69"/>
      <c r="BG145" s="69"/>
      <c r="BH145" s="69"/>
      <c r="BI145" s="69"/>
      <c r="BJ145" s="68"/>
      <c r="BK145" s="69"/>
      <c r="BL145" s="67"/>
      <c r="BM145" s="67"/>
      <c r="BN145" s="56"/>
      <c r="BO145" s="56"/>
      <c r="BT145" s="63"/>
      <c r="BW145" s="56"/>
      <c r="BX145" s="56"/>
      <c r="BY145" s="56"/>
      <c r="BZ145" s="56"/>
      <c r="CA145" s="56"/>
      <c r="CF145" s="63"/>
      <c r="CI145" s="56"/>
      <c r="CJ145" s="56"/>
      <c r="CK145" s="56"/>
      <c r="CL145" s="56"/>
      <c r="CM145" s="56"/>
    </row>
    <row r="146" spans="18:93" ht="39.950000000000003" customHeight="1">
      <c r="R146" s="63"/>
      <c r="V146" s="170"/>
      <c r="W146" s="170"/>
      <c r="X146" s="170"/>
      <c r="Y146" s="170"/>
      <c r="AD146" s="174"/>
      <c r="AG146" s="56"/>
      <c r="AH146" s="56"/>
      <c r="AI146" s="56"/>
      <c r="AJ146" s="56"/>
      <c r="AK146" s="56"/>
      <c r="AO146" s="68"/>
      <c r="AP146" s="76"/>
      <c r="AQ146" s="67"/>
      <c r="AR146" s="68"/>
      <c r="AS146" s="69"/>
      <c r="AT146" s="69"/>
      <c r="AU146" s="69"/>
      <c r="AV146" s="69"/>
      <c r="AW146" s="69"/>
      <c r="AX146" s="68"/>
      <c r="AY146" s="69"/>
      <c r="AZ146" s="67"/>
      <c r="BA146" s="69"/>
      <c r="BB146" s="76"/>
      <c r="BC146" s="67"/>
      <c r="BD146" s="68"/>
      <c r="BE146" s="69"/>
      <c r="BF146" s="69"/>
      <c r="BG146" s="69"/>
      <c r="BH146" s="69"/>
      <c r="BI146" s="69"/>
      <c r="BJ146" s="68"/>
      <c r="BK146" s="69"/>
      <c r="BL146" s="67"/>
      <c r="BM146" s="67"/>
      <c r="BN146" s="56"/>
      <c r="BO146" s="56"/>
      <c r="BT146" s="63"/>
      <c r="BW146" s="56"/>
      <c r="BX146" s="56"/>
      <c r="BY146" s="56"/>
      <c r="BZ146" s="56"/>
      <c r="CA146" s="56"/>
      <c r="CF146" s="63"/>
      <c r="CI146" s="56"/>
      <c r="CJ146" s="56"/>
      <c r="CK146" s="56"/>
      <c r="CL146" s="56"/>
      <c r="CM146" s="56"/>
    </row>
    <row r="147" spans="18:93" ht="39.950000000000003" customHeight="1">
      <c r="R147" s="63"/>
      <c r="V147" s="170"/>
      <c r="W147" s="170"/>
      <c r="X147" s="170"/>
      <c r="Y147" s="170"/>
      <c r="AD147" s="174"/>
      <c r="AG147" s="56"/>
      <c r="AH147" s="56"/>
      <c r="AI147" s="56"/>
      <c r="AJ147" s="56"/>
      <c r="AK147" s="56"/>
      <c r="AO147" s="68"/>
      <c r="AP147" s="76"/>
      <c r="AQ147" s="67"/>
      <c r="AR147" s="68"/>
      <c r="AS147" s="69"/>
      <c r="AT147" s="69"/>
      <c r="AU147" s="69"/>
      <c r="AV147" s="69"/>
      <c r="AW147" s="69"/>
      <c r="AX147" s="68"/>
      <c r="AY147" s="69"/>
      <c r="AZ147" s="67"/>
      <c r="BA147" s="69"/>
      <c r="BB147" s="76"/>
      <c r="BC147" s="67"/>
      <c r="BD147" s="68"/>
      <c r="BE147" s="69"/>
      <c r="BF147" s="69"/>
      <c r="BG147" s="69"/>
      <c r="BH147" s="69"/>
      <c r="BI147" s="69"/>
      <c r="BJ147" s="68"/>
      <c r="BK147" s="69"/>
      <c r="BL147" s="67"/>
      <c r="BM147" s="67"/>
      <c r="BN147" s="56"/>
      <c r="BO147" s="56"/>
      <c r="BT147" s="63"/>
      <c r="BW147" s="56"/>
      <c r="BX147" s="56"/>
      <c r="BY147" s="56"/>
      <c r="BZ147" s="56"/>
      <c r="CA147" s="56"/>
      <c r="CF147" s="63"/>
      <c r="CI147" s="56"/>
      <c r="CJ147" s="56"/>
      <c r="CK147" s="56"/>
      <c r="CL147" s="56"/>
      <c r="CM147" s="56"/>
    </row>
    <row r="148" spans="18:93" ht="39.950000000000003" customHeight="1">
      <c r="AO148" s="68"/>
      <c r="AP148" s="67"/>
      <c r="AQ148" s="67"/>
      <c r="AR148" s="68"/>
      <c r="AS148" s="68"/>
      <c r="AT148" s="68"/>
      <c r="AU148" s="68"/>
      <c r="AV148" s="68"/>
      <c r="AW148" s="68"/>
      <c r="AX148" s="68"/>
      <c r="AY148" s="69"/>
      <c r="AZ148" s="67"/>
      <c r="BA148" s="68"/>
      <c r="BB148" s="67"/>
      <c r="BC148" s="67"/>
      <c r="BD148" s="68"/>
      <c r="BE148" s="68"/>
      <c r="BF148" s="68"/>
      <c r="BG148" s="68"/>
      <c r="BH148" s="68"/>
      <c r="BI148" s="68"/>
      <c r="BJ148" s="68"/>
      <c r="BK148" s="69"/>
      <c r="BL148" s="67"/>
      <c r="BM148" s="67"/>
    </row>
    <row r="149" spans="18:93" ht="39.950000000000003" customHeight="1">
      <c r="R149" s="63"/>
      <c r="S149" s="64"/>
      <c r="Y149" s="532"/>
      <c r="Z149" s="532"/>
      <c r="AA149" s="532"/>
      <c r="AD149" s="174"/>
      <c r="AE149" s="64"/>
      <c r="AK149" s="531"/>
      <c r="AL149" s="531"/>
      <c r="AM149" s="531"/>
      <c r="AO149" s="68"/>
      <c r="AP149" s="76"/>
      <c r="AQ149" s="77"/>
      <c r="AR149" s="68"/>
      <c r="AS149" s="68"/>
      <c r="AT149" s="68"/>
      <c r="AU149" s="68"/>
      <c r="AV149" s="68"/>
      <c r="AW149" s="533"/>
      <c r="AX149" s="533"/>
      <c r="AY149" s="533"/>
      <c r="AZ149" s="67"/>
      <c r="BA149" s="68"/>
      <c r="BB149" s="76"/>
      <c r="BC149" s="77"/>
      <c r="BD149" s="68"/>
      <c r="BE149" s="68"/>
      <c r="BF149" s="68"/>
      <c r="BG149" s="68"/>
      <c r="BH149" s="68"/>
      <c r="BI149" s="533"/>
      <c r="BJ149" s="533"/>
      <c r="BK149" s="533"/>
      <c r="BL149" s="67"/>
      <c r="BM149" s="67"/>
      <c r="BO149" s="531"/>
      <c r="BP149" s="531"/>
      <c r="BQ149" s="531"/>
      <c r="BT149" s="63"/>
      <c r="BU149" s="64"/>
      <c r="CA149" s="531"/>
      <c r="CB149" s="531"/>
      <c r="CC149" s="531"/>
      <c r="CF149" s="63"/>
      <c r="CG149" s="64"/>
      <c r="CM149" s="531"/>
      <c r="CN149" s="531"/>
      <c r="CO149" s="531"/>
    </row>
    <row r="150" spans="18:93" ht="39.950000000000003" customHeight="1">
      <c r="R150" s="63"/>
      <c r="V150" s="170"/>
      <c r="W150" s="170"/>
      <c r="X150" s="170"/>
      <c r="Y150" s="170"/>
      <c r="AD150" s="174"/>
      <c r="AG150" s="56"/>
      <c r="AH150" s="56"/>
      <c r="AI150" s="56"/>
      <c r="AJ150" s="56"/>
      <c r="AK150" s="56"/>
      <c r="AO150" s="68"/>
      <c r="AP150" s="76"/>
      <c r="AQ150" s="67"/>
      <c r="AR150" s="68"/>
      <c r="AS150" s="69"/>
      <c r="AT150" s="69"/>
      <c r="AU150" s="69"/>
      <c r="AV150" s="69"/>
      <c r="AW150" s="69"/>
      <c r="AX150" s="68"/>
      <c r="AY150" s="69"/>
      <c r="AZ150" s="67"/>
      <c r="BA150" s="69"/>
      <c r="BB150" s="76"/>
      <c r="BC150" s="67"/>
      <c r="BD150" s="68"/>
      <c r="BE150" s="69"/>
      <c r="BF150" s="69"/>
      <c r="BG150" s="69"/>
      <c r="BH150" s="69"/>
      <c r="BI150" s="69"/>
      <c r="BJ150" s="68"/>
      <c r="BK150" s="69"/>
      <c r="BL150" s="67"/>
      <c r="BM150" s="67"/>
      <c r="BN150" s="56"/>
      <c r="BO150" s="56"/>
      <c r="BT150" s="63"/>
      <c r="BW150" s="56"/>
      <c r="BX150" s="56"/>
      <c r="BY150" s="56"/>
      <c r="BZ150" s="56"/>
      <c r="CA150" s="56"/>
      <c r="CF150" s="63"/>
      <c r="CI150" s="56"/>
      <c r="CJ150" s="56"/>
      <c r="CK150" s="56"/>
      <c r="CL150" s="56"/>
      <c r="CM150" s="56"/>
    </row>
    <row r="151" spans="18:93" ht="39.950000000000003" customHeight="1">
      <c r="R151" s="63"/>
      <c r="V151" s="170"/>
      <c r="W151" s="170"/>
      <c r="X151" s="170"/>
      <c r="Y151" s="170"/>
      <c r="AD151" s="174"/>
      <c r="AG151" s="56"/>
      <c r="AH151" s="56"/>
      <c r="AI151" s="56"/>
      <c r="AJ151" s="56"/>
      <c r="AK151" s="56"/>
      <c r="AO151" s="68"/>
      <c r="AP151" s="76"/>
      <c r="AQ151" s="67"/>
      <c r="AR151" s="68"/>
      <c r="AS151" s="69"/>
      <c r="AT151" s="69"/>
      <c r="AU151" s="69"/>
      <c r="AV151" s="69"/>
      <c r="AW151" s="69"/>
      <c r="AX151" s="68"/>
      <c r="AY151" s="69"/>
      <c r="AZ151" s="67"/>
      <c r="BA151" s="69"/>
      <c r="BB151" s="76"/>
      <c r="BC151" s="67"/>
      <c r="BD151" s="68"/>
      <c r="BE151" s="69"/>
      <c r="BF151" s="69"/>
      <c r="BG151" s="69"/>
      <c r="BH151" s="69"/>
      <c r="BI151" s="69"/>
      <c r="BJ151" s="68"/>
      <c r="BK151" s="69"/>
      <c r="BL151" s="67"/>
      <c r="BM151" s="67"/>
      <c r="BN151" s="56"/>
      <c r="BO151" s="56"/>
      <c r="BT151" s="63"/>
      <c r="BW151" s="56"/>
      <c r="BX151" s="56"/>
      <c r="BY151" s="56"/>
      <c r="BZ151" s="56"/>
      <c r="CA151" s="56"/>
      <c r="CF151" s="63"/>
      <c r="CI151" s="56"/>
      <c r="CJ151" s="56"/>
      <c r="CK151" s="56"/>
      <c r="CL151" s="56"/>
      <c r="CM151" s="56"/>
    </row>
    <row r="152" spans="18:93" ht="39.950000000000003" customHeight="1">
      <c r="R152" s="63"/>
      <c r="V152" s="170"/>
      <c r="W152" s="170"/>
      <c r="X152" s="170"/>
      <c r="Y152" s="170"/>
      <c r="AD152" s="174"/>
      <c r="AG152" s="56"/>
      <c r="AH152" s="56"/>
      <c r="AI152" s="56"/>
      <c r="AJ152" s="56"/>
      <c r="AK152" s="56"/>
      <c r="AO152" s="68"/>
      <c r="AP152" s="76"/>
      <c r="AQ152" s="67"/>
      <c r="AR152" s="68"/>
      <c r="AS152" s="69"/>
      <c r="AT152" s="69"/>
      <c r="AU152" s="69"/>
      <c r="AV152" s="69"/>
      <c r="AW152" s="69"/>
      <c r="AX152" s="68"/>
      <c r="AY152" s="69"/>
      <c r="AZ152" s="67"/>
      <c r="BA152" s="69"/>
      <c r="BB152" s="76"/>
      <c r="BC152" s="67"/>
      <c r="BD152" s="68"/>
      <c r="BE152" s="69"/>
      <c r="BF152" s="69"/>
      <c r="BG152" s="69"/>
      <c r="BH152" s="69"/>
      <c r="BI152" s="69"/>
      <c r="BJ152" s="68"/>
      <c r="BK152" s="69"/>
      <c r="BL152" s="67"/>
      <c r="BM152" s="67"/>
      <c r="BN152" s="56"/>
      <c r="BO152" s="56"/>
      <c r="BT152" s="63"/>
      <c r="BW152" s="56"/>
      <c r="BX152" s="56"/>
      <c r="BY152" s="56"/>
      <c r="BZ152" s="56"/>
      <c r="CA152" s="56"/>
      <c r="CF152" s="63"/>
      <c r="CI152" s="56"/>
      <c r="CJ152" s="56"/>
      <c r="CK152" s="56"/>
      <c r="CL152" s="56"/>
      <c r="CM152" s="56"/>
    </row>
    <row r="153" spans="18:93" ht="39.950000000000003" customHeight="1">
      <c r="R153" s="63"/>
      <c r="V153" s="170"/>
      <c r="W153" s="170"/>
      <c r="X153" s="170"/>
      <c r="Y153" s="170"/>
      <c r="AD153" s="174"/>
      <c r="AG153" s="56"/>
      <c r="AH153" s="56"/>
      <c r="AI153" s="56"/>
      <c r="AJ153" s="56"/>
      <c r="AK153" s="56"/>
      <c r="AO153" s="68"/>
      <c r="AP153" s="76"/>
      <c r="AQ153" s="67"/>
      <c r="AR153" s="68"/>
      <c r="AS153" s="69"/>
      <c r="AT153" s="69"/>
      <c r="AU153" s="69"/>
      <c r="AV153" s="69"/>
      <c r="AW153" s="69"/>
      <c r="AX153" s="68"/>
      <c r="AY153" s="69"/>
      <c r="AZ153" s="67"/>
      <c r="BA153" s="69"/>
      <c r="BB153" s="76"/>
      <c r="BC153" s="67"/>
      <c r="BD153" s="68"/>
      <c r="BE153" s="69"/>
      <c r="BF153" s="69"/>
      <c r="BG153" s="69"/>
      <c r="BH153" s="69"/>
      <c r="BI153" s="69"/>
      <c r="BJ153" s="68"/>
      <c r="BK153" s="69"/>
      <c r="BL153" s="67"/>
      <c r="BM153" s="67"/>
      <c r="BN153" s="56"/>
      <c r="BO153" s="56"/>
      <c r="BT153" s="63"/>
      <c r="BW153" s="56"/>
      <c r="BX153" s="56"/>
      <c r="BY153" s="56"/>
      <c r="BZ153" s="56"/>
      <c r="CA153" s="56"/>
      <c r="CF153" s="63"/>
      <c r="CI153" s="56"/>
      <c r="CJ153" s="56"/>
      <c r="CK153" s="56"/>
      <c r="CL153" s="56"/>
      <c r="CM153" s="56"/>
    </row>
    <row r="154" spans="18:93" ht="39.950000000000003" customHeight="1">
      <c r="AO154" s="68"/>
      <c r="AP154" s="67"/>
      <c r="AQ154" s="67"/>
      <c r="AR154" s="68"/>
      <c r="AS154" s="68"/>
      <c r="AT154" s="68"/>
      <c r="AU154" s="68"/>
      <c r="AV154" s="68"/>
      <c r="AW154" s="68"/>
      <c r="AX154" s="68"/>
      <c r="AY154" s="69"/>
      <c r="AZ154" s="67"/>
      <c r="BA154" s="68"/>
      <c r="BB154" s="67"/>
      <c r="BC154" s="67"/>
      <c r="BD154" s="68"/>
      <c r="BE154" s="68"/>
      <c r="BF154" s="68"/>
      <c r="BG154" s="68"/>
      <c r="BH154" s="68"/>
      <c r="BI154" s="68"/>
      <c r="BJ154" s="68"/>
      <c r="BK154" s="69"/>
      <c r="BL154" s="67"/>
      <c r="BM154" s="67"/>
    </row>
    <row r="155" spans="18:93" ht="39.950000000000003" customHeight="1">
      <c r="R155" s="63"/>
      <c r="S155" s="64"/>
      <c r="Y155" s="532"/>
      <c r="Z155" s="532"/>
      <c r="AA155" s="532"/>
      <c r="AD155" s="174"/>
      <c r="AE155" s="64"/>
      <c r="AK155" s="531"/>
      <c r="AL155" s="531"/>
      <c r="AM155" s="531"/>
      <c r="AO155" s="68"/>
      <c r="AP155" s="76"/>
      <c r="AQ155" s="77"/>
      <c r="AR155" s="68"/>
      <c r="AS155" s="68"/>
      <c r="AT155" s="68"/>
      <c r="AU155" s="68"/>
      <c r="AV155" s="68"/>
      <c r="AW155" s="533"/>
      <c r="AX155" s="533"/>
      <c r="AY155" s="533"/>
      <c r="AZ155" s="67"/>
      <c r="BA155" s="68"/>
      <c r="BB155" s="76"/>
      <c r="BC155" s="77"/>
      <c r="BD155" s="68"/>
      <c r="BE155" s="68"/>
      <c r="BF155" s="68"/>
      <c r="BG155" s="68"/>
      <c r="BH155" s="68"/>
      <c r="BI155" s="533"/>
      <c r="BJ155" s="533"/>
      <c r="BK155" s="533"/>
      <c r="BL155" s="67"/>
      <c r="BM155" s="67"/>
      <c r="BO155" s="531"/>
      <c r="BP155" s="531"/>
      <c r="BQ155" s="531"/>
      <c r="BT155" s="63"/>
      <c r="BU155" s="64"/>
      <c r="CA155" s="531"/>
      <c r="CB155" s="531"/>
      <c r="CC155" s="531"/>
      <c r="CF155" s="63"/>
      <c r="CG155" s="64"/>
      <c r="CM155" s="531"/>
      <c r="CN155" s="531"/>
      <c r="CO155" s="531"/>
    </row>
    <row r="156" spans="18:93" ht="39.950000000000003" customHeight="1">
      <c r="R156" s="63"/>
      <c r="V156" s="170"/>
      <c r="W156" s="170"/>
      <c r="X156" s="170"/>
      <c r="Y156" s="170"/>
      <c r="AD156" s="174"/>
      <c r="AG156" s="56"/>
      <c r="AH156" s="56"/>
      <c r="AI156" s="56"/>
      <c r="AJ156" s="56"/>
      <c r="AK156" s="56"/>
      <c r="AO156" s="68"/>
      <c r="AP156" s="76"/>
      <c r="AQ156" s="67"/>
      <c r="AR156" s="68"/>
      <c r="AS156" s="69"/>
      <c r="AT156" s="69"/>
      <c r="AU156" s="69"/>
      <c r="AV156" s="69"/>
      <c r="AW156" s="69"/>
      <c r="AX156" s="68"/>
      <c r="AY156" s="69"/>
      <c r="AZ156" s="67"/>
      <c r="BA156" s="69"/>
      <c r="BB156" s="76"/>
      <c r="BC156" s="67"/>
      <c r="BD156" s="68"/>
      <c r="BE156" s="69"/>
      <c r="BF156" s="69"/>
      <c r="BG156" s="69"/>
      <c r="BH156" s="69"/>
      <c r="BI156" s="69"/>
      <c r="BJ156" s="68"/>
      <c r="BK156" s="69"/>
      <c r="BL156" s="67"/>
      <c r="BM156" s="67"/>
      <c r="BN156" s="56"/>
      <c r="BO156" s="56"/>
      <c r="BT156" s="63"/>
      <c r="BW156" s="56"/>
      <c r="BX156" s="56"/>
      <c r="BY156" s="56"/>
      <c r="BZ156" s="56"/>
      <c r="CA156" s="56"/>
      <c r="CF156" s="63"/>
      <c r="CI156" s="56"/>
      <c r="CJ156" s="56"/>
      <c r="CK156" s="56"/>
      <c r="CL156" s="56"/>
      <c r="CM156" s="56"/>
    </row>
    <row r="157" spans="18:93" ht="39.950000000000003" customHeight="1">
      <c r="R157" s="63"/>
      <c r="V157" s="170"/>
      <c r="W157" s="170"/>
      <c r="X157" s="170"/>
      <c r="Y157" s="170"/>
      <c r="AD157" s="174"/>
      <c r="AG157" s="56"/>
      <c r="AH157" s="56"/>
      <c r="AI157" s="56"/>
      <c r="AJ157" s="56"/>
      <c r="AK157" s="56"/>
      <c r="AO157" s="68"/>
      <c r="AP157" s="76"/>
      <c r="AQ157" s="67"/>
      <c r="AR157" s="68"/>
      <c r="AS157" s="69"/>
      <c r="AT157" s="69"/>
      <c r="AU157" s="69"/>
      <c r="AV157" s="69"/>
      <c r="AW157" s="69"/>
      <c r="AX157" s="68"/>
      <c r="AY157" s="69"/>
      <c r="AZ157" s="67"/>
      <c r="BA157" s="69"/>
      <c r="BB157" s="76"/>
      <c r="BC157" s="67"/>
      <c r="BD157" s="68"/>
      <c r="BE157" s="69"/>
      <c r="BF157" s="69"/>
      <c r="BG157" s="69"/>
      <c r="BH157" s="69"/>
      <c r="BI157" s="69"/>
      <c r="BJ157" s="68"/>
      <c r="BK157" s="69"/>
      <c r="BL157" s="67"/>
      <c r="BM157" s="67"/>
      <c r="BN157" s="56"/>
      <c r="BO157" s="56"/>
      <c r="BT157" s="63"/>
      <c r="BW157" s="56"/>
      <c r="BX157" s="56"/>
      <c r="BY157" s="56"/>
      <c r="BZ157" s="56"/>
      <c r="CA157" s="56"/>
      <c r="CF157" s="63"/>
      <c r="CI157" s="56"/>
      <c r="CJ157" s="56"/>
      <c r="CK157" s="56"/>
      <c r="CL157" s="56"/>
      <c r="CM157" s="56"/>
    </row>
    <row r="158" spans="18:93" ht="39.950000000000003" customHeight="1">
      <c r="R158" s="63"/>
      <c r="V158" s="170"/>
      <c r="W158" s="170"/>
      <c r="X158" s="170"/>
      <c r="Y158" s="170"/>
      <c r="AD158" s="174"/>
      <c r="AG158" s="56"/>
      <c r="AH158" s="56"/>
      <c r="AI158" s="56"/>
      <c r="AJ158" s="56"/>
      <c r="AK158" s="56"/>
      <c r="AO158" s="68"/>
      <c r="AP158" s="76"/>
      <c r="AQ158" s="67"/>
      <c r="AR158" s="68"/>
      <c r="AS158" s="69"/>
      <c r="AT158" s="69"/>
      <c r="AU158" s="69"/>
      <c r="AV158" s="69"/>
      <c r="AW158" s="69"/>
      <c r="AX158" s="68"/>
      <c r="AY158" s="69"/>
      <c r="AZ158" s="67"/>
      <c r="BA158" s="69"/>
      <c r="BB158" s="76"/>
      <c r="BC158" s="67"/>
      <c r="BD158" s="68"/>
      <c r="BE158" s="69"/>
      <c r="BF158" s="69"/>
      <c r="BG158" s="69"/>
      <c r="BH158" s="69"/>
      <c r="BI158" s="69"/>
      <c r="BJ158" s="68"/>
      <c r="BK158" s="69"/>
      <c r="BL158" s="67"/>
      <c r="BM158" s="67"/>
      <c r="BN158" s="56"/>
      <c r="BO158" s="56"/>
      <c r="BT158" s="63"/>
      <c r="BW158" s="56"/>
      <c r="BX158" s="56"/>
      <c r="BY158" s="56"/>
      <c r="BZ158" s="56"/>
      <c r="CA158" s="56"/>
      <c r="CF158" s="63"/>
      <c r="CI158" s="56"/>
      <c r="CJ158" s="56"/>
      <c r="CK158" s="56"/>
      <c r="CL158" s="56"/>
      <c r="CM158" s="56"/>
    </row>
    <row r="159" spans="18:93" ht="39.950000000000003" customHeight="1">
      <c r="R159" s="63"/>
      <c r="V159" s="170"/>
      <c r="W159" s="170"/>
      <c r="X159" s="170"/>
      <c r="Y159" s="170"/>
      <c r="AD159" s="174"/>
      <c r="AG159" s="56"/>
      <c r="AH159" s="56"/>
      <c r="AI159" s="56"/>
      <c r="AJ159" s="56"/>
      <c r="AK159" s="56"/>
      <c r="AO159" s="68"/>
      <c r="AP159" s="76"/>
      <c r="AQ159" s="67"/>
      <c r="AR159" s="68"/>
      <c r="AS159" s="69"/>
      <c r="AT159" s="69"/>
      <c r="AU159" s="69"/>
      <c r="AV159" s="69"/>
      <c r="AW159" s="69"/>
      <c r="AX159" s="68"/>
      <c r="AY159" s="69"/>
      <c r="AZ159" s="67"/>
      <c r="BA159" s="69"/>
      <c r="BB159" s="76"/>
      <c r="BC159" s="67"/>
      <c r="BD159" s="68"/>
      <c r="BE159" s="69"/>
      <c r="BF159" s="69"/>
      <c r="BG159" s="69"/>
      <c r="BH159" s="69"/>
      <c r="BI159" s="69"/>
      <c r="BJ159" s="68"/>
      <c r="BK159" s="69"/>
      <c r="BL159" s="67"/>
      <c r="BM159" s="67"/>
      <c r="BN159" s="56"/>
      <c r="BO159" s="56"/>
      <c r="BT159" s="63"/>
      <c r="BW159" s="56"/>
      <c r="BX159" s="56"/>
      <c r="BY159" s="56"/>
      <c r="BZ159" s="56"/>
      <c r="CA159" s="56"/>
      <c r="CF159" s="63"/>
      <c r="CI159" s="56"/>
      <c r="CJ159" s="56"/>
      <c r="CK159" s="56"/>
      <c r="CL159" s="56"/>
      <c r="CM159" s="56"/>
    </row>
    <row r="160" spans="18:93" ht="39.950000000000003" customHeight="1">
      <c r="AO160" s="68"/>
      <c r="AP160" s="67"/>
      <c r="AQ160" s="67"/>
      <c r="AR160" s="68"/>
      <c r="AS160" s="68"/>
      <c r="AT160" s="68"/>
      <c r="AU160" s="68"/>
      <c r="AV160" s="68"/>
      <c r="AW160" s="68"/>
      <c r="AX160" s="68"/>
      <c r="AY160" s="69"/>
      <c r="AZ160" s="67"/>
      <c r="BA160" s="68"/>
      <c r="BB160" s="67"/>
      <c r="BC160" s="67"/>
      <c r="BD160" s="68"/>
      <c r="BE160" s="68"/>
      <c r="BF160" s="68"/>
      <c r="BG160" s="68"/>
      <c r="BH160" s="68"/>
      <c r="BI160" s="68"/>
      <c r="BJ160" s="68"/>
      <c r="BK160" s="69"/>
      <c r="BL160" s="67"/>
      <c r="BM160" s="67"/>
    </row>
    <row r="161" spans="18:93" ht="39.950000000000003" customHeight="1">
      <c r="R161" s="63"/>
      <c r="S161" s="64"/>
      <c r="Y161" s="532"/>
      <c r="Z161" s="532"/>
      <c r="AA161" s="532"/>
      <c r="AD161" s="174"/>
      <c r="AE161" s="64"/>
      <c r="AK161" s="531"/>
      <c r="AL161" s="531"/>
      <c r="AM161" s="531"/>
      <c r="AO161" s="68"/>
      <c r="AP161" s="76"/>
      <c r="AQ161" s="77"/>
      <c r="AR161" s="68"/>
      <c r="AS161" s="68"/>
      <c r="AT161" s="68"/>
      <c r="AU161" s="68"/>
      <c r="AV161" s="68"/>
      <c r="AW161" s="533"/>
      <c r="AX161" s="533"/>
      <c r="AY161" s="533"/>
      <c r="AZ161" s="67"/>
      <c r="BA161" s="68"/>
      <c r="BB161" s="76"/>
      <c r="BC161" s="77"/>
      <c r="BD161" s="68"/>
      <c r="BE161" s="68"/>
      <c r="BF161" s="68"/>
      <c r="BG161" s="68"/>
      <c r="BH161" s="68"/>
      <c r="BI161" s="533"/>
      <c r="BJ161" s="533"/>
      <c r="BK161" s="533"/>
      <c r="BL161" s="67"/>
      <c r="BM161" s="67"/>
      <c r="BO161" s="531"/>
      <c r="BP161" s="531"/>
      <c r="BQ161" s="531"/>
      <c r="BT161" s="63"/>
      <c r="BU161" s="64"/>
      <c r="CA161" s="531"/>
      <c r="CB161" s="531"/>
      <c r="CC161" s="531"/>
      <c r="CF161" s="63"/>
      <c r="CG161" s="64"/>
      <c r="CM161" s="531"/>
      <c r="CN161" s="531"/>
      <c r="CO161" s="531"/>
    </row>
    <row r="162" spans="18:93" ht="39.950000000000003" customHeight="1">
      <c r="R162" s="63"/>
      <c r="V162" s="170"/>
      <c r="W162" s="170"/>
      <c r="X162" s="170"/>
      <c r="Y162" s="170"/>
      <c r="AD162" s="174"/>
      <c r="AG162" s="56"/>
      <c r="AH162" s="56"/>
      <c r="AI162" s="56"/>
      <c r="AJ162" s="56"/>
      <c r="AK162" s="56"/>
      <c r="AO162" s="68"/>
      <c r="AP162" s="76"/>
      <c r="AQ162" s="67"/>
      <c r="AR162" s="68"/>
      <c r="AS162" s="69"/>
      <c r="AT162" s="69"/>
      <c r="AU162" s="69"/>
      <c r="AV162" s="69"/>
      <c r="AW162" s="69"/>
      <c r="AX162" s="68"/>
      <c r="AY162" s="69"/>
      <c r="AZ162" s="67"/>
      <c r="BA162" s="69"/>
      <c r="BB162" s="76"/>
      <c r="BC162" s="67"/>
      <c r="BD162" s="68"/>
      <c r="BE162" s="69"/>
      <c r="BF162" s="69"/>
      <c r="BG162" s="69"/>
      <c r="BH162" s="69"/>
      <c r="BI162" s="69"/>
      <c r="BJ162" s="68"/>
      <c r="BK162" s="69"/>
      <c r="BL162" s="67"/>
      <c r="BM162" s="67"/>
      <c r="BN162" s="56"/>
      <c r="BO162" s="56"/>
      <c r="BT162" s="63"/>
      <c r="BW162" s="56"/>
      <c r="BX162" s="56"/>
      <c r="BY162" s="56"/>
      <c r="BZ162" s="56"/>
      <c r="CA162" s="56"/>
      <c r="CF162" s="63"/>
      <c r="CI162" s="56"/>
      <c r="CJ162" s="56"/>
      <c r="CK162" s="56"/>
      <c r="CL162" s="56"/>
      <c r="CM162" s="56"/>
    </row>
    <row r="163" spans="18:93" ht="39.950000000000003" customHeight="1">
      <c r="R163" s="63"/>
      <c r="V163" s="170"/>
      <c r="W163" s="170"/>
      <c r="X163" s="170"/>
      <c r="Y163" s="170"/>
      <c r="AD163" s="174"/>
      <c r="AG163" s="56"/>
      <c r="AH163" s="56"/>
      <c r="AI163" s="56"/>
      <c r="AJ163" s="56"/>
      <c r="AK163" s="56"/>
      <c r="AO163" s="68"/>
      <c r="AP163" s="76"/>
      <c r="AQ163" s="67"/>
      <c r="AR163" s="68"/>
      <c r="AS163" s="69"/>
      <c r="AT163" s="69"/>
      <c r="AU163" s="69"/>
      <c r="AV163" s="69"/>
      <c r="AW163" s="69"/>
      <c r="AX163" s="68"/>
      <c r="AY163" s="69"/>
      <c r="AZ163" s="67"/>
      <c r="BA163" s="69"/>
      <c r="BB163" s="76"/>
      <c r="BC163" s="67"/>
      <c r="BD163" s="68"/>
      <c r="BE163" s="69"/>
      <c r="BF163" s="69"/>
      <c r="BG163" s="69"/>
      <c r="BH163" s="69"/>
      <c r="BI163" s="69"/>
      <c r="BJ163" s="68"/>
      <c r="BK163" s="69"/>
      <c r="BL163" s="67"/>
      <c r="BM163" s="67"/>
      <c r="BN163" s="56"/>
      <c r="BO163" s="56"/>
      <c r="BT163" s="63"/>
      <c r="BW163" s="56"/>
      <c r="BX163" s="56"/>
      <c r="BY163" s="56"/>
      <c r="BZ163" s="56"/>
      <c r="CA163" s="56"/>
      <c r="CF163" s="63"/>
      <c r="CI163" s="56"/>
      <c r="CJ163" s="56"/>
      <c r="CK163" s="56"/>
      <c r="CL163" s="56"/>
      <c r="CM163" s="56"/>
    </row>
    <row r="164" spans="18:93" ht="39.950000000000003" customHeight="1">
      <c r="R164" s="63"/>
      <c r="V164" s="170"/>
      <c r="W164" s="170"/>
      <c r="X164" s="170"/>
      <c r="Y164" s="170"/>
      <c r="AD164" s="174"/>
      <c r="AG164" s="56"/>
      <c r="AH164" s="56"/>
      <c r="AI164" s="56"/>
      <c r="AJ164" s="56"/>
      <c r="AK164" s="56"/>
      <c r="AO164" s="68"/>
      <c r="AP164" s="76"/>
      <c r="AQ164" s="67"/>
      <c r="AR164" s="68"/>
      <c r="AS164" s="69"/>
      <c r="AT164" s="69"/>
      <c r="AU164" s="69"/>
      <c r="AV164" s="69"/>
      <c r="AW164" s="69"/>
      <c r="AX164" s="68"/>
      <c r="AY164" s="69"/>
      <c r="AZ164" s="67"/>
      <c r="BA164" s="69"/>
      <c r="BB164" s="76"/>
      <c r="BC164" s="67"/>
      <c r="BD164" s="68"/>
      <c r="BE164" s="69"/>
      <c r="BF164" s="69"/>
      <c r="BG164" s="69"/>
      <c r="BH164" s="69"/>
      <c r="BI164" s="69"/>
      <c r="BJ164" s="68"/>
      <c r="BK164" s="69"/>
      <c r="BL164" s="67"/>
      <c r="BM164" s="67"/>
      <c r="BN164" s="56"/>
      <c r="BO164" s="56"/>
      <c r="BT164" s="63"/>
      <c r="BW164" s="56"/>
      <c r="BX164" s="56"/>
      <c r="BY164" s="56"/>
      <c r="BZ164" s="56"/>
      <c r="CA164" s="56"/>
      <c r="CF164" s="63"/>
      <c r="CI164" s="56"/>
      <c r="CJ164" s="56"/>
      <c r="CK164" s="56"/>
      <c r="CL164" s="56"/>
      <c r="CM164" s="56"/>
    </row>
    <row r="165" spans="18:93" ht="39.950000000000003" customHeight="1">
      <c r="R165" s="63"/>
      <c r="V165" s="170"/>
      <c r="W165" s="170"/>
      <c r="X165" s="170"/>
      <c r="Y165" s="170"/>
      <c r="AD165" s="174"/>
      <c r="AG165" s="56"/>
      <c r="AH165" s="56"/>
      <c r="AI165" s="56"/>
      <c r="AJ165" s="56"/>
      <c r="AK165" s="56"/>
      <c r="AO165" s="68"/>
      <c r="AP165" s="76"/>
      <c r="AQ165" s="67"/>
      <c r="AR165" s="68"/>
      <c r="AS165" s="69"/>
      <c r="AT165" s="69"/>
      <c r="AU165" s="69"/>
      <c r="AV165" s="69"/>
      <c r="AW165" s="69"/>
      <c r="AX165" s="68"/>
      <c r="AY165" s="69"/>
      <c r="AZ165" s="67"/>
      <c r="BA165" s="69"/>
      <c r="BB165" s="76"/>
      <c r="BC165" s="67"/>
      <c r="BD165" s="68"/>
      <c r="BE165" s="69"/>
      <c r="BF165" s="69"/>
      <c r="BG165" s="69"/>
      <c r="BH165" s="69"/>
      <c r="BI165" s="69"/>
      <c r="BJ165" s="68"/>
      <c r="BK165" s="69"/>
      <c r="BL165" s="67"/>
      <c r="BM165" s="67"/>
      <c r="BN165" s="56"/>
      <c r="BO165" s="56"/>
      <c r="BT165" s="63"/>
      <c r="BW165" s="56"/>
      <c r="BX165" s="56"/>
      <c r="BY165" s="56"/>
      <c r="BZ165" s="56"/>
      <c r="CA165" s="56"/>
      <c r="CF165" s="63"/>
      <c r="CI165" s="56"/>
      <c r="CJ165" s="56"/>
      <c r="CK165" s="56"/>
      <c r="CL165" s="56"/>
      <c r="CM165" s="56"/>
    </row>
    <row r="166" spans="18:93" ht="39.950000000000003" customHeight="1">
      <c r="AO166" s="68"/>
      <c r="AP166" s="67"/>
      <c r="AQ166" s="67"/>
      <c r="AR166" s="68"/>
      <c r="AS166" s="68"/>
      <c r="AT166" s="68"/>
      <c r="AU166" s="68"/>
      <c r="AV166" s="68"/>
      <c r="AW166" s="68"/>
      <c r="AX166" s="68"/>
      <c r="AY166" s="69"/>
      <c r="AZ166" s="67"/>
      <c r="BA166" s="68"/>
      <c r="BB166" s="67"/>
      <c r="BC166" s="67"/>
      <c r="BD166" s="68"/>
      <c r="BE166" s="68"/>
      <c r="BF166" s="68"/>
      <c r="BG166" s="68"/>
      <c r="BH166" s="68"/>
      <c r="BI166" s="68"/>
      <c r="BJ166" s="68"/>
      <c r="BK166" s="69"/>
      <c r="BL166" s="67"/>
      <c r="BM166" s="67"/>
    </row>
    <row r="167" spans="18:93" ht="39.950000000000003" customHeight="1">
      <c r="R167" s="63"/>
      <c r="S167" s="64"/>
      <c r="Y167" s="532"/>
      <c r="Z167" s="532"/>
      <c r="AA167" s="532"/>
      <c r="AD167" s="174"/>
      <c r="AE167" s="64"/>
      <c r="AK167" s="531"/>
      <c r="AL167" s="531"/>
      <c r="AM167" s="531"/>
      <c r="AO167" s="68"/>
      <c r="AP167" s="76"/>
      <c r="AQ167" s="77"/>
      <c r="AR167" s="68"/>
      <c r="AS167" s="68"/>
      <c r="AT167" s="68"/>
      <c r="AU167" s="68"/>
      <c r="AV167" s="68"/>
      <c r="AW167" s="533"/>
      <c r="AX167" s="533"/>
      <c r="AY167" s="533"/>
      <c r="AZ167" s="67"/>
      <c r="BA167" s="68"/>
      <c r="BB167" s="76"/>
      <c r="BC167" s="77"/>
      <c r="BD167" s="68"/>
      <c r="BE167" s="68"/>
      <c r="BF167" s="68"/>
      <c r="BG167" s="68"/>
      <c r="BH167" s="68"/>
      <c r="BI167" s="533"/>
      <c r="BJ167" s="533"/>
      <c r="BK167" s="533"/>
      <c r="BL167" s="67"/>
      <c r="BM167" s="67"/>
      <c r="BO167" s="531"/>
      <c r="BP167" s="531"/>
      <c r="BQ167" s="531"/>
      <c r="BT167" s="63"/>
      <c r="BU167" s="64"/>
      <c r="CA167" s="531"/>
      <c r="CB167" s="531"/>
      <c r="CC167" s="531"/>
      <c r="CF167" s="63"/>
      <c r="CG167" s="64"/>
      <c r="CM167" s="531"/>
      <c r="CN167" s="531"/>
      <c r="CO167" s="531"/>
    </row>
    <row r="168" spans="18:93" ht="39.950000000000003" customHeight="1">
      <c r="R168" s="63"/>
      <c r="V168" s="170"/>
      <c r="W168" s="170"/>
      <c r="X168" s="170"/>
      <c r="Y168" s="170"/>
      <c r="AD168" s="174"/>
      <c r="AG168" s="56"/>
      <c r="AH168" s="56"/>
      <c r="AI168" s="56"/>
      <c r="AJ168" s="56"/>
      <c r="AK168" s="56"/>
      <c r="AO168" s="68"/>
      <c r="AP168" s="76"/>
      <c r="AQ168" s="67"/>
      <c r="AR168" s="68"/>
      <c r="AS168" s="69"/>
      <c r="AT168" s="69"/>
      <c r="AU168" s="69"/>
      <c r="AV168" s="69"/>
      <c r="AW168" s="69"/>
      <c r="AX168" s="68"/>
      <c r="AY168" s="69"/>
      <c r="AZ168" s="67"/>
      <c r="BA168" s="69"/>
      <c r="BB168" s="76"/>
      <c r="BC168" s="67"/>
      <c r="BD168" s="68"/>
      <c r="BE168" s="69"/>
      <c r="BF168" s="69"/>
      <c r="BG168" s="69"/>
      <c r="BH168" s="69"/>
      <c r="BI168" s="69"/>
      <c r="BJ168" s="68"/>
      <c r="BK168" s="69"/>
      <c r="BL168" s="67"/>
      <c r="BM168" s="67"/>
      <c r="BN168" s="56"/>
      <c r="BO168" s="56"/>
      <c r="BT168" s="63"/>
      <c r="BW168" s="56"/>
      <c r="BX168" s="56"/>
      <c r="BY168" s="56"/>
      <c r="BZ168" s="56"/>
      <c r="CA168" s="56"/>
      <c r="CF168" s="63"/>
      <c r="CI168" s="56"/>
      <c r="CJ168" s="56"/>
      <c r="CK168" s="56"/>
      <c r="CL168" s="56"/>
      <c r="CM168" s="56"/>
    </row>
    <row r="169" spans="18:93" ht="39.950000000000003" customHeight="1">
      <c r="R169" s="63"/>
      <c r="V169" s="170"/>
      <c r="W169" s="170"/>
      <c r="X169" s="170"/>
      <c r="Y169" s="170"/>
      <c r="AD169" s="174"/>
      <c r="AG169" s="56"/>
      <c r="AH169" s="56"/>
      <c r="AI169" s="56"/>
      <c r="AJ169" s="56"/>
      <c r="AK169" s="56"/>
      <c r="AO169" s="68"/>
      <c r="AP169" s="76"/>
      <c r="AQ169" s="67"/>
      <c r="AR169" s="68"/>
      <c r="AS169" s="69"/>
      <c r="AT169" s="69"/>
      <c r="AU169" s="69"/>
      <c r="AV169" s="69"/>
      <c r="AW169" s="69"/>
      <c r="AX169" s="68"/>
      <c r="AY169" s="69"/>
      <c r="AZ169" s="67"/>
      <c r="BA169" s="69"/>
      <c r="BB169" s="76"/>
      <c r="BC169" s="67"/>
      <c r="BD169" s="68"/>
      <c r="BE169" s="69"/>
      <c r="BF169" s="69"/>
      <c r="BG169" s="69"/>
      <c r="BH169" s="69"/>
      <c r="BI169" s="69"/>
      <c r="BJ169" s="68"/>
      <c r="BK169" s="69"/>
      <c r="BL169" s="67"/>
      <c r="BM169" s="67"/>
      <c r="BN169" s="56"/>
      <c r="BO169" s="56"/>
      <c r="BT169" s="63"/>
      <c r="BW169" s="56"/>
      <c r="BX169" s="56"/>
      <c r="BY169" s="56"/>
      <c r="BZ169" s="56"/>
      <c r="CA169" s="56"/>
      <c r="CF169" s="63"/>
      <c r="CI169" s="56"/>
      <c r="CJ169" s="56"/>
      <c r="CK169" s="56"/>
      <c r="CL169" s="56"/>
      <c r="CM169" s="56"/>
    </row>
    <row r="170" spans="18:93" ht="39.950000000000003" customHeight="1">
      <c r="R170" s="63"/>
      <c r="V170" s="170"/>
      <c r="W170" s="170"/>
      <c r="X170" s="170"/>
      <c r="Y170" s="170"/>
      <c r="AD170" s="174"/>
      <c r="AG170" s="56"/>
      <c r="AH170" s="56"/>
      <c r="AI170" s="56"/>
      <c r="AJ170" s="56"/>
      <c r="AK170" s="56"/>
      <c r="AO170" s="68"/>
      <c r="AP170" s="76"/>
      <c r="AQ170" s="67"/>
      <c r="AR170" s="68"/>
      <c r="AS170" s="69"/>
      <c r="AT170" s="69"/>
      <c r="AU170" s="69"/>
      <c r="AV170" s="69"/>
      <c r="AW170" s="69"/>
      <c r="AX170" s="68"/>
      <c r="AY170" s="69"/>
      <c r="AZ170" s="67"/>
      <c r="BA170" s="69"/>
      <c r="BB170" s="76"/>
      <c r="BC170" s="67"/>
      <c r="BD170" s="68"/>
      <c r="BE170" s="69"/>
      <c r="BF170" s="69"/>
      <c r="BG170" s="69"/>
      <c r="BH170" s="69"/>
      <c r="BI170" s="69"/>
      <c r="BJ170" s="68"/>
      <c r="BK170" s="69"/>
      <c r="BL170" s="67"/>
      <c r="BM170" s="67"/>
      <c r="BN170" s="56"/>
      <c r="BO170" s="56"/>
      <c r="BT170" s="63"/>
      <c r="BW170" s="56"/>
      <c r="BX170" s="56"/>
      <c r="BY170" s="56"/>
      <c r="BZ170" s="56"/>
      <c r="CA170" s="56"/>
      <c r="CF170" s="63"/>
      <c r="CI170" s="56"/>
      <c r="CJ170" s="56"/>
      <c r="CK170" s="56"/>
      <c r="CL170" s="56"/>
      <c r="CM170" s="56"/>
    </row>
    <row r="171" spans="18:93" ht="39.950000000000003" customHeight="1">
      <c r="R171" s="63"/>
      <c r="V171" s="170"/>
      <c r="W171" s="170"/>
      <c r="X171" s="170"/>
      <c r="Y171" s="170"/>
      <c r="AD171" s="174"/>
      <c r="AG171" s="56"/>
      <c r="AH171" s="56"/>
      <c r="AI171" s="56"/>
      <c r="AJ171" s="56"/>
      <c r="AK171" s="56"/>
      <c r="AO171" s="68"/>
      <c r="AP171" s="76"/>
      <c r="AQ171" s="67"/>
      <c r="AR171" s="68"/>
      <c r="AS171" s="69"/>
      <c r="AT171" s="69"/>
      <c r="AU171" s="69"/>
      <c r="AV171" s="69"/>
      <c r="AW171" s="69"/>
      <c r="AX171" s="68"/>
      <c r="AY171" s="69"/>
      <c r="AZ171" s="67"/>
      <c r="BA171" s="69"/>
      <c r="BB171" s="76"/>
      <c r="BC171" s="67"/>
      <c r="BD171" s="68"/>
      <c r="BE171" s="69"/>
      <c r="BF171" s="69"/>
      <c r="BG171" s="69"/>
      <c r="BH171" s="69"/>
      <c r="BI171" s="69"/>
      <c r="BJ171" s="68"/>
      <c r="BK171" s="69"/>
      <c r="BL171" s="67"/>
      <c r="BM171" s="67"/>
      <c r="BN171" s="56"/>
      <c r="BO171" s="56"/>
      <c r="BT171" s="63"/>
      <c r="BW171" s="56"/>
      <c r="BX171" s="56"/>
      <c r="BY171" s="56"/>
      <c r="BZ171" s="56"/>
      <c r="CA171" s="56"/>
      <c r="CF171" s="63"/>
      <c r="CI171" s="56"/>
      <c r="CJ171" s="56"/>
      <c r="CK171" s="56"/>
      <c r="CL171" s="56"/>
      <c r="CM171" s="56"/>
    </row>
    <row r="172" spans="18:93" ht="39.950000000000003" customHeight="1">
      <c r="AO172" s="68"/>
      <c r="AP172" s="67"/>
      <c r="AQ172" s="67"/>
      <c r="AR172" s="68"/>
      <c r="AS172" s="68"/>
      <c r="AT172" s="68"/>
      <c r="AU172" s="68"/>
      <c r="AV172" s="68"/>
      <c r="AW172" s="68"/>
      <c r="AX172" s="68"/>
      <c r="AY172" s="69"/>
      <c r="AZ172" s="67"/>
      <c r="BA172" s="68"/>
      <c r="BB172" s="67"/>
      <c r="BC172" s="67"/>
      <c r="BD172" s="68"/>
      <c r="BE172" s="68"/>
      <c r="BF172" s="68"/>
      <c r="BG172" s="68"/>
      <c r="BH172" s="68"/>
      <c r="BI172" s="68"/>
      <c r="BJ172" s="68"/>
      <c r="BK172" s="69"/>
      <c r="BL172" s="67"/>
      <c r="BM172" s="67"/>
    </row>
    <row r="173" spans="18:93" ht="39.950000000000003" customHeight="1">
      <c r="R173" s="63"/>
      <c r="S173" s="64"/>
      <c r="Y173" s="532"/>
      <c r="Z173" s="532"/>
      <c r="AA173" s="532"/>
      <c r="AD173" s="174"/>
      <c r="AE173" s="64"/>
      <c r="AK173" s="531"/>
      <c r="AL173" s="531"/>
      <c r="AM173" s="531"/>
      <c r="AO173" s="68"/>
      <c r="AP173" s="76"/>
      <c r="AQ173" s="77"/>
      <c r="AR173" s="68"/>
      <c r="AS173" s="68"/>
      <c r="AT173" s="68"/>
      <c r="AU173" s="68"/>
      <c r="AV173" s="68"/>
      <c r="AW173" s="533"/>
      <c r="AX173" s="533"/>
      <c r="AY173" s="533"/>
      <c r="AZ173" s="67"/>
      <c r="BA173" s="68"/>
      <c r="BB173" s="76"/>
      <c r="BC173" s="77"/>
      <c r="BD173" s="68"/>
      <c r="BE173" s="68"/>
      <c r="BF173" s="68"/>
      <c r="BG173" s="68"/>
      <c r="BH173" s="68"/>
      <c r="BI173" s="533"/>
      <c r="BJ173" s="533"/>
      <c r="BK173" s="533"/>
      <c r="BL173" s="67"/>
      <c r="BM173" s="67"/>
      <c r="BO173" s="531"/>
      <c r="BP173" s="531"/>
      <c r="BQ173" s="531"/>
      <c r="BT173" s="63"/>
      <c r="BU173" s="64"/>
      <c r="CA173" s="531"/>
      <c r="CB173" s="531"/>
      <c r="CC173" s="531"/>
      <c r="CF173" s="63"/>
      <c r="CG173" s="64"/>
      <c r="CM173" s="531"/>
      <c r="CN173" s="531"/>
      <c r="CO173" s="531"/>
    </row>
    <row r="174" spans="18:93" ht="39.950000000000003" customHeight="1">
      <c r="R174" s="63"/>
      <c r="V174" s="170"/>
      <c r="W174" s="170"/>
      <c r="X174" s="170"/>
      <c r="Y174" s="170"/>
      <c r="AD174" s="174"/>
      <c r="AG174" s="56"/>
      <c r="AH174" s="56"/>
      <c r="AI174" s="56"/>
      <c r="AJ174" s="56"/>
      <c r="AK174" s="56"/>
      <c r="AO174" s="68"/>
      <c r="AP174" s="76"/>
      <c r="AQ174" s="67"/>
      <c r="AR174" s="68"/>
      <c r="AS174" s="69"/>
      <c r="AT174" s="69"/>
      <c r="AU174" s="69"/>
      <c r="AV174" s="69"/>
      <c r="AW174" s="69"/>
      <c r="AX174" s="68"/>
      <c r="AY174" s="69"/>
      <c r="AZ174" s="67"/>
      <c r="BA174" s="69"/>
      <c r="BB174" s="76"/>
      <c r="BC174" s="67"/>
      <c r="BD174" s="68"/>
      <c r="BE174" s="69"/>
      <c r="BF174" s="69"/>
      <c r="BG174" s="69"/>
      <c r="BH174" s="69"/>
      <c r="BI174" s="69"/>
      <c r="BJ174" s="68"/>
      <c r="BK174" s="69"/>
      <c r="BL174" s="67"/>
      <c r="BM174" s="67"/>
      <c r="BN174" s="56"/>
      <c r="BO174" s="56"/>
      <c r="BT174" s="63"/>
      <c r="BW174" s="56"/>
      <c r="BX174" s="56"/>
      <c r="BY174" s="56"/>
      <c r="BZ174" s="56"/>
      <c r="CA174" s="56"/>
      <c r="CF174" s="63"/>
      <c r="CI174" s="56"/>
      <c r="CJ174" s="56"/>
      <c r="CK174" s="56"/>
      <c r="CL174" s="56"/>
      <c r="CM174" s="56"/>
    </row>
    <row r="175" spans="18:93" ht="39.950000000000003" customHeight="1">
      <c r="R175" s="63"/>
      <c r="V175" s="170"/>
      <c r="W175" s="170"/>
      <c r="X175" s="170"/>
      <c r="Y175" s="170"/>
      <c r="AD175" s="174"/>
      <c r="AG175" s="56"/>
      <c r="AH175" s="56"/>
      <c r="AI175" s="56"/>
      <c r="AJ175" s="56"/>
      <c r="AK175" s="56"/>
      <c r="AO175" s="68"/>
      <c r="AP175" s="76"/>
      <c r="AQ175" s="67"/>
      <c r="AR175" s="68"/>
      <c r="AS175" s="69"/>
      <c r="AT175" s="69"/>
      <c r="AU175" s="69"/>
      <c r="AV175" s="69"/>
      <c r="AW175" s="69"/>
      <c r="AX175" s="68"/>
      <c r="AY175" s="69"/>
      <c r="AZ175" s="67"/>
      <c r="BA175" s="69"/>
      <c r="BB175" s="76"/>
      <c r="BC175" s="67"/>
      <c r="BD175" s="68"/>
      <c r="BE175" s="69"/>
      <c r="BF175" s="69"/>
      <c r="BG175" s="69"/>
      <c r="BH175" s="69"/>
      <c r="BI175" s="69"/>
      <c r="BJ175" s="68"/>
      <c r="BK175" s="69"/>
      <c r="BL175" s="67"/>
      <c r="BM175" s="67"/>
      <c r="BN175" s="56"/>
      <c r="BO175" s="56"/>
      <c r="BT175" s="63"/>
      <c r="BW175" s="56"/>
      <c r="BX175" s="56"/>
      <c r="BY175" s="56"/>
      <c r="BZ175" s="56"/>
      <c r="CA175" s="56"/>
      <c r="CF175" s="63"/>
      <c r="CI175" s="56"/>
      <c r="CJ175" s="56"/>
      <c r="CK175" s="56"/>
      <c r="CL175" s="56"/>
      <c r="CM175" s="56"/>
    </row>
    <row r="176" spans="18:93" ht="39.950000000000003" customHeight="1">
      <c r="R176" s="63"/>
      <c r="V176" s="170"/>
      <c r="W176" s="170"/>
      <c r="X176" s="170"/>
      <c r="Y176" s="170"/>
      <c r="AD176" s="174"/>
      <c r="AG176" s="56"/>
      <c r="AH176" s="56"/>
      <c r="AI176" s="56"/>
      <c r="AJ176" s="56"/>
      <c r="AK176" s="56"/>
      <c r="AO176" s="68"/>
      <c r="AP176" s="76"/>
      <c r="AQ176" s="67"/>
      <c r="AR176" s="68"/>
      <c r="AS176" s="69"/>
      <c r="AT176" s="69"/>
      <c r="AU176" s="69"/>
      <c r="AV176" s="69"/>
      <c r="AW176" s="69"/>
      <c r="AX176" s="68"/>
      <c r="AY176" s="69"/>
      <c r="AZ176" s="67"/>
      <c r="BA176" s="69"/>
      <c r="BB176" s="76"/>
      <c r="BC176" s="67"/>
      <c r="BD176" s="68"/>
      <c r="BE176" s="69"/>
      <c r="BF176" s="69"/>
      <c r="BG176" s="69"/>
      <c r="BH176" s="69"/>
      <c r="BI176" s="69"/>
      <c r="BJ176" s="68"/>
      <c r="BK176" s="69"/>
      <c r="BL176" s="67"/>
      <c r="BM176" s="67"/>
      <c r="BN176" s="56"/>
      <c r="BO176" s="56"/>
      <c r="BT176" s="63"/>
      <c r="BW176" s="56"/>
      <c r="BX176" s="56"/>
      <c r="BY176" s="56"/>
      <c r="BZ176" s="56"/>
      <c r="CA176" s="56"/>
      <c r="CF176" s="63"/>
      <c r="CI176" s="56"/>
      <c r="CJ176" s="56"/>
      <c r="CK176" s="56"/>
      <c r="CL176" s="56"/>
      <c r="CM176" s="56"/>
    </row>
    <row r="177" spans="18:93" ht="39.950000000000003" customHeight="1">
      <c r="R177" s="63"/>
      <c r="V177" s="170"/>
      <c r="W177" s="170"/>
      <c r="X177" s="170"/>
      <c r="Y177" s="170"/>
      <c r="AD177" s="174"/>
      <c r="AG177" s="56"/>
      <c r="AH177" s="56"/>
      <c r="AI177" s="56"/>
      <c r="AJ177" s="56"/>
      <c r="AK177" s="56"/>
      <c r="AO177" s="68"/>
      <c r="AP177" s="76"/>
      <c r="AQ177" s="67"/>
      <c r="AR177" s="68"/>
      <c r="AS177" s="69"/>
      <c r="AT177" s="69"/>
      <c r="AU177" s="69"/>
      <c r="AV177" s="69"/>
      <c r="AW177" s="69"/>
      <c r="AX177" s="68"/>
      <c r="AY177" s="69"/>
      <c r="AZ177" s="67"/>
      <c r="BA177" s="69"/>
      <c r="BB177" s="76"/>
      <c r="BC177" s="67"/>
      <c r="BD177" s="68"/>
      <c r="BE177" s="69"/>
      <c r="BF177" s="69"/>
      <c r="BG177" s="69"/>
      <c r="BH177" s="69"/>
      <c r="BI177" s="69"/>
      <c r="BJ177" s="68"/>
      <c r="BK177" s="69"/>
      <c r="BL177" s="67"/>
      <c r="BM177" s="67"/>
      <c r="BN177" s="56"/>
      <c r="BO177" s="56"/>
      <c r="BT177" s="63"/>
      <c r="BW177" s="56"/>
      <c r="BX177" s="56"/>
      <c r="BY177" s="56"/>
      <c r="BZ177" s="56"/>
      <c r="CA177" s="56"/>
      <c r="CF177" s="63"/>
      <c r="CI177" s="56"/>
      <c r="CJ177" s="56"/>
      <c r="CK177" s="56"/>
      <c r="CL177" s="56"/>
      <c r="CM177" s="56"/>
    </row>
    <row r="178" spans="18:93" ht="39.950000000000003" customHeight="1">
      <c r="AO178" s="68"/>
      <c r="AP178" s="67"/>
      <c r="AQ178" s="67"/>
      <c r="AR178" s="68"/>
      <c r="AS178" s="68"/>
      <c r="AT178" s="68"/>
      <c r="AU178" s="68"/>
      <c r="AV178" s="68"/>
      <c r="AW178" s="68"/>
      <c r="AX178" s="68"/>
      <c r="AY178" s="69"/>
      <c r="AZ178" s="67"/>
      <c r="BA178" s="68"/>
      <c r="BB178" s="67"/>
      <c r="BC178" s="67"/>
      <c r="BD178" s="68"/>
      <c r="BE178" s="68"/>
      <c r="BF178" s="68"/>
      <c r="BG178" s="68"/>
      <c r="BH178" s="68"/>
      <c r="BI178" s="68"/>
      <c r="BJ178" s="68"/>
      <c r="BK178" s="69"/>
      <c r="BL178" s="67"/>
      <c r="BM178" s="67"/>
    </row>
    <row r="179" spans="18:93" ht="39.950000000000003" customHeight="1">
      <c r="R179" s="63"/>
      <c r="S179" s="64"/>
      <c r="Y179" s="532"/>
      <c r="Z179" s="532"/>
      <c r="AA179" s="532"/>
      <c r="AD179" s="174"/>
      <c r="AE179" s="64"/>
      <c r="AK179" s="531"/>
      <c r="AL179" s="531"/>
      <c r="AM179" s="531"/>
      <c r="AO179" s="68"/>
      <c r="AP179" s="76"/>
      <c r="AQ179" s="77"/>
      <c r="AR179" s="68"/>
      <c r="AS179" s="68"/>
      <c r="AT179" s="68"/>
      <c r="AU179" s="68"/>
      <c r="AV179" s="68"/>
      <c r="AW179" s="533"/>
      <c r="AX179" s="533"/>
      <c r="AY179" s="533"/>
      <c r="AZ179" s="67"/>
      <c r="BA179" s="68"/>
      <c r="BB179" s="76"/>
      <c r="BC179" s="77"/>
      <c r="BD179" s="68"/>
      <c r="BE179" s="68"/>
      <c r="BF179" s="68"/>
      <c r="BG179" s="68"/>
      <c r="BH179" s="68"/>
      <c r="BI179" s="533"/>
      <c r="BJ179" s="533"/>
      <c r="BK179" s="533"/>
      <c r="BL179" s="67"/>
      <c r="BM179" s="67"/>
      <c r="BO179" s="531"/>
      <c r="BP179" s="531"/>
      <c r="BQ179" s="531"/>
      <c r="BT179" s="63"/>
      <c r="BU179" s="64"/>
      <c r="CA179" s="531"/>
      <c r="CB179" s="531"/>
      <c r="CC179" s="531"/>
      <c r="CF179" s="63"/>
      <c r="CG179" s="64"/>
      <c r="CM179" s="531"/>
      <c r="CN179" s="531"/>
      <c r="CO179" s="531"/>
    </row>
    <row r="180" spans="18:93" ht="39.950000000000003" customHeight="1">
      <c r="R180" s="63"/>
      <c r="V180" s="170"/>
      <c r="W180" s="170"/>
      <c r="X180" s="170"/>
      <c r="Y180" s="170"/>
      <c r="AD180" s="174"/>
      <c r="AG180" s="56"/>
      <c r="AH180" s="56"/>
      <c r="AI180" s="56"/>
      <c r="AJ180" s="56"/>
      <c r="AK180" s="56"/>
      <c r="AO180" s="68"/>
      <c r="AP180" s="76"/>
      <c r="AQ180" s="67"/>
      <c r="AR180" s="68"/>
      <c r="AS180" s="69"/>
      <c r="AT180" s="69"/>
      <c r="AU180" s="69"/>
      <c r="AV180" s="69"/>
      <c r="AW180" s="69"/>
      <c r="AX180" s="68"/>
      <c r="AY180" s="69"/>
      <c r="AZ180" s="67"/>
      <c r="BA180" s="69"/>
      <c r="BB180" s="76"/>
      <c r="BC180" s="67"/>
      <c r="BD180" s="68"/>
      <c r="BE180" s="69"/>
      <c r="BF180" s="69"/>
      <c r="BG180" s="69"/>
      <c r="BH180" s="69"/>
      <c r="BI180" s="69"/>
      <c r="BJ180" s="68"/>
      <c r="BK180" s="69"/>
      <c r="BL180" s="67"/>
      <c r="BM180" s="67"/>
      <c r="BN180" s="56"/>
      <c r="BO180" s="56"/>
      <c r="BT180" s="63"/>
      <c r="BW180" s="56"/>
      <c r="BX180" s="56"/>
      <c r="BY180" s="56"/>
      <c r="BZ180" s="56"/>
      <c r="CA180" s="56"/>
      <c r="CF180" s="63"/>
      <c r="CI180" s="56"/>
      <c r="CJ180" s="56"/>
      <c r="CK180" s="56"/>
      <c r="CL180" s="56"/>
      <c r="CM180" s="56"/>
    </row>
    <row r="181" spans="18:93" ht="39.950000000000003" customHeight="1">
      <c r="R181" s="63"/>
      <c r="V181" s="170"/>
      <c r="W181" s="170"/>
      <c r="X181" s="170"/>
      <c r="Y181" s="170"/>
      <c r="AD181" s="174"/>
      <c r="AG181" s="56"/>
      <c r="AH181" s="56"/>
      <c r="AI181" s="56"/>
      <c r="AJ181" s="56"/>
      <c r="AK181" s="56"/>
      <c r="AO181" s="68"/>
      <c r="AP181" s="76"/>
      <c r="AQ181" s="67"/>
      <c r="AR181" s="68"/>
      <c r="AS181" s="69"/>
      <c r="AT181" s="69"/>
      <c r="AU181" s="69"/>
      <c r="AV181" s="69"/>
      <c r="AW181" s="69"/>
      <c r="AX181" s="68"/>
      <c r="AY181" s="69"/>
      <c r="AZ181" s="67"/>
      <c r="BA181" s="69"/>
      <c r="BB181" s="76"/>
      <c r="BC181" s="67"/>
      <c r="BD181" s="68"/>
      <c r="BE181" s="69"/>
      <c r="BF181" s="69"/>
      <c r="BG181" s="69"/>
      <c r="BH181" s="69"/>
      <c r="BI181" s="69"/>
      <c r="BJ181" s="68"/>
      <c r="BK181" s="69"/>
      <c r="BL181" s="67"/>
      <c r="BM181" s="67"/>
      <c r="BN181" s="56"/>
      <c r="BO181" s="56"/>
      <c r="BT181" s="63"/>
      <c r="BW181" s="56"/>
      <c r="BX181" s="56"/>
      <c r="BY181" s="56"/>
      <c r="BZ181" s="56"/>
      <c r="CA181" s="56"/>
      <c r="CF181" s="63"/>
      <c r="CI181" s="56"/>
      <c r="CJ181" s="56"/>
      <c r="CK181" s="56"/>
      <c r="CL181" s="56"/>
      <c r="CM181" s="56"/>
    </row>
    <row r="182" spans="18:93" ht="39.950000000000003" customHeight="1">
      <c r="R182" s="63"/>
      <c r="V182" s="170"/>
      <c r="W182" s="170"/>
      <c r="X182" s="170"/>
      <c r="Y182" s="170"/>
      <c r="AD182" s="174"/>
      <c r="AG182" s="56"/>
      <c r="AH182" s="56"/>
      <c r="AI182" s="56"/>
      <c r="AJ182" s="56"/>
      <c r="AK182" s="56"/>
      <c r="AO182" s="68"/>
      <c r="AP182" s="76"/>
      <c r="AQ182" s="67"/>
      <c r="AR182" s="68"/>
      <c r="AS182" s="69"/>
      <c r="AT182" s="69"/>
      <c r="AU182" s="69"/>
      <c r="AV182" s="69"/>
      <c r="AW182" s="69"/>
      <c r="AX182" s="68"/>
      <c r="AY182" s="69"/>
      <c r="AZ182" s="67"/>
      <c r="BA182" s="69"/>
      <c r="BB182" s="76"/>
      <c r="BC182" s="67"/>
      <c r="BD182" s="68"/>
      <c r="BE182" s="69"/>
      <c r="BF182" s="69"/>
      <c r="BG182" s="69"/>
      <c r="BH182" s="69"/>
      <c r="BI182" s="69"/>
      <c r="BJ182" s="68"/>
      <c r="BK182" s="69"/>
      <c r="BL182" s="67"/>
      <c r="BM182" s="67"/>
      <c r="BN182" s="56"/>
      <c r="BO182" s="56"/>
      <c r="BT182" s="63"/>
      <c r="BW182" s="56"/>
      <c r="BX182" s="56"/>
      <c r="BY182" s="56"/>
      <c r="BZ182" s="56"/>
      <c r="CA182" s="56"/>
      <c r="CF182" s="63"/>
      <c r="CI182" s="56"/>
      <c r="CJ182" s="56"/>
      <c r="CK182" s="56"/>
      <c r="CL182" s="56"/>
      <c r="CM182" s="56"/>
    </row>
    <row r="183" spans="18:93" ht="39.950000000000003" customHeight="1">
      <c r="R183" s="63"/>
      <c r="V183" s="170"/>
      <c r="W183" s="170"/>
      <c r="X183" s="170"/>
      <c r="Y183" s="170"/>
      <c r="AD183" s="174"/>
      <c r="AG183" s="56"/>
      <c r="AH183" s="56"/>
      <c r="AI183" s="56"/>
      <c r="AJ183" s="56"/>
      <c r="AK183" s="56"/>
      <c r="AO183" s="68"/>
      <c r="AP183" s="76"/>
      <c r="AQ183" s="67"/>
      <c r="AR183" s="68"/>
      <c r="AS183" s="69"/>
      <c r="AT183" s="69"/>
      <c r="AU183" s="69"/>
      <c r="AV183" s="69"/>
      <c r="AW183" s="69"/>
      <c r="AX183" s="68"/>
      <c r="AY183" s="69"/>
      <c r="AZ183" s="67"/>
      <c r="BA183" s="69"/>
      <c r="BB183" s="76"/>
      <c r="BC183" s="67"/>
      <c r="BD183" s="68"/>
      <c r="BE183" s="69"/>
      <c r="BF183" s="69"/>
      <c r="BG183" s="69"/>
      <c r="BH183" s="69"/>
      <c r="BI183" s="69"/>
      <c r="BJ183" s="68"/>
      <c r="BK183" s="69"/>
      <c r="BL183" s="67"/>
      <c r="BM183" s="67"/>
      <c r="BN183" s="56"/>
      <c r="BO183" s="56"/>
      <c r="BT183" s="63"/>
      <c r="BW183" s="56"/>
      <c r="BX183" s="56"/>
      <c r="BY183" s="56"/>
      <c r="BZ183" s="56"/>
      <c r="CA183" s="56"/>
      <c r="CF183" s="63"/>
      <c r="CI183" s="56"/>
      <c r="CJ183" s="56"/>
      <c r="CK183" s="56"/>
      <c r="CL183" s="56"/>
      <c r="CM183" s="56"/>
    </row>
    <row r="184" spans="18:93" ht="39.950000000000003" customHeight="1">
      <c r="AO184" s="68"/>
      <c r="AP184" s="67"/>
      <c r="AQ184" s="67"/>
      <c r="AR184" s="68"/>
      <c r="AS184" s="68"/>
      <c r="AT184" s="68"/>
      <c r="AU184" s="68"/>
      <c r="AV184" s="68"/>
      <c r="AW184" s="68"/>
      <c r="AX184" s="68"/>
      <c r="AY184" s="69"/>
      <c r="AZ184" s="67"/>
      <c r="BA184" s="68"/>
      <c r="BB184" s="67"/>
      <c r="BC184" s="67"/>
      <c r="BD184" s="68"/>
      <c r="BE184" s="68"/>
      <c r="BF184" s="68"/>
      <c r="BG184" s="68"/>
      <c r="BH184" s="68"/>
      <c r="BI184" s="68"/>
      <c r="BJ184" s="68"/>
      <c r="BK184" s="69"/>
      <c r="BL184" s="67"/>
      <c r="BM184" s="67"/>
    </row>
    <row r="185" spans="18:93" ht="39.950000000000003" customHeight="1">
      <c r="R185" s="63"/>
      <c r="S185" s="64"/>
      <c r="Y185" s="532"/>
      <c r="Z185" s="532"/>
      <c r="AA185" s="532"/>
      <c r="AD185" s="174"/>
      <c r="AE185" s="64"/>
      <c r="AK185" s="531"/>
      <c r="AL185" s="531"/>
      <c r="AM185" s="531"/>
      <c r="AO185" s="68"/>
      <c r="AP185" s="76"/>
      <c r="AQ185" s="77"/>
      <c r="AR185" s="68"/>
      <c r="AS185" s="68"/>
      <c r="AT185" s="68"/>
      <c r="AU185" s="68"/>
      <c r="AV185" s="68"/>
      <c r="AW185" s="533"/>
      <c r="AX185" s="533"/>
      <c r="AY185" s="533"/>
      <c r="AZ185" s="67"/>
      <c r="BA185" s="68"/>
      <c r="BB185" s="76"/>
      <c r="BC185" s="77"/>
      <c r="BD185" s="68"/>
      <c r="BE185" s="68"/>
      <c r="BF185" s="68"/>
      <c r="BG185" s="68"/>
      <c r="BH185" s="68"/>
      <c r="BI185" s="533"/>
      <c r="BJ185" s="533"/>
      <c r="BK185" s="533"/>
      <c r="BL185" s="67"/>
      <c r="BM185" s="67"/>
      <c r="BO185" s="531"/>
      <c r="BP185" s="531"/>
      <c r="BQ185" s="531"/>
      <c r="BT185" s="63"/>
      <c r="BU185" s="64"/>
      <c r="CA185" s="531"/>
      <c r="CB185" s="531"/>
      <c r="CC185" s="531"/>
      <c r="CF185" s="63"/>
      <c r="CG185" s="64"/>
      <c r="CM185" s="531"/>
      <c r="CN185" s="531"/>
      <c r="CO185" s="531"/>
    </row>
    <row r="186" spans="18:93" ht="39.950000000000003" customHeight="1">
      <c r="R186" s="63"/>
      <c r="V186" s="170"/>
      <c r="W186" s="170"/>
      <c r="X186" s="170"/>
      <c r="Y186" s="170"/>
      <c r="AD186" s="174"/>
      <c r="AG186" s="56"/>
      <c r="AH186" s="56"/>
      <c r="AI186" s="56"/>
      <c r="AJ186" s="56"/>
      <c r="AK186" s="56"/>
      <c r="AO186" s="68"/>
      <c r="AP186" s="76"/>
      <c r="AQ186" s="67"/>
      <c r="AR186" s="68"/>
      <c r="AS186" s="69"/>
      <c r="AT186" s="69"/>
      <c r="AU186" s="69"/>
      <c r="AV186" s="69"/>
      <c r="AW186" s="69"/>
      <c r="AX186" s="68"/>
      <c r="AY186" s="69"/>
      <c r="AZ186" s="67"/>
      <c r="BA186" s="69"/>
      <c r="BB186" s="76"/>
      <c r="BC186" s="67"/>
      <c r="BD186" s="68"/>
      <c r="BE186" s="69"/>
      <c r="BF186" s="69"/>
      <c r="BG186" s="69"/>
      <c r="BH186" s="69"/>
      <c r="BI186" s="69"/>
      <c r="BJ186" s="68"/>
      <c r="BK186" s="69"/>
      <c r="BL186" s="67"/>
      <c r="BM186" s="67"/>
      <c r="BN186" s="56"/>
      <c r="BO186" s="56"/>
      <c r="BT186" s="63"/>
      <c r="BW186" s="56"/>
      <c r="BX186" s="56"/>
      <c r="BY186" s="56"/>
      <c r="BZ186" s="56"/>
      <c r="CA186" s="56"/>
      <c r="CF186" s="63"/>
      <c r="CI186" s="56"/>
      <c r="CJ186" s="56"/>
      <c r="CK186" s="56"/>
      <c r="CL186" s="56"/>
      <c r="CM186" s="56"/>
    </row>
    <row r="187" spans="18:93" ht="39.950000000000003" customHeight="1">
      <c r="R187" s="63"/>
      <c r="V187" s="170"/>
      <c r="W187" s="170"/>
      <c r="X187" s="170"/>
      <c r="Y187" s="170"/>
      <c r="AD187" s="174"/>
      <c r="AG187" s="56"/>
      <c r="AH187" s="56"/>
      <c r="AI187" s="56"/>
      <c r="AJ187" s="56"/>
      <c r="AK187" s="56"/>
      <c r="AO187" s="68"/>
      <c r="AP187" s="76"/>
      <c r="AQ187" s="67"/>
      <c r="AR187" s="68"/>
      <c r="AS187" s="69"/>
      <c r="AT187" s="69"/>
      <c r="AU187" s="69"/>
      <c r="AV187" s="69"/>
      <c r="AW187" s="69"/>
      <c r="AX187" s="68"/>
      <c r="AY187" s="69"/>
      <c r="AZ187" s="67"/>
      <c r="BA187" s="69"/>
      <c r="BB187" s="76"/>
      <c r="BC187" s="67"/>
      <c r="BD187" s="68"/>
      <c r="BE187" s="69"/>
      <c r="BF187" s="69"/>
      <c r="BG187" s="69"/>
      <c r="BH187" s="69"/>
      <c r="BI187" s="69"/>
      <c r="BJ187" s="68"/>
      <c r="BK187" s="69"/>
      <c r="BL187" s="67"/>
      <c r="BM187" s="67"/>
      <c r="BN187" s="56"/>
      <c r="BO187" s="56"/>
      <c r="BT187" s="63"/>
      <c r="BW187" s="56"/>
      <c r="BX187" s="56"/>
      <c r="BY187" s="56"/>
      <c r="BZ187" s="56"/>
      <c r="CA187" s="56"/>
      <c r="CF187" s="63"/>
      <c r="CI187" s="56"/>
      <c r="CJ187" s="56"/>
      <c r="CK187" s="56"/>
      <c r="CL187" s="56"/>
      <c r="CM187" s="56"/>
    </row>
    <row r="188" spans="18:93" ht="39.950000000000003" customHeight="1">
      <c r="R188" s="63"/>
      <c r="V188" s="170"/>
      <c r="W188" s="170"/>
      <c r="X188" s="170"/>
      <c r="Y188" s="170"/>
      <c r="AD188" s="174"/>
      <c r="AG188" s="56"/>
      <c r="AH188" s="56"/>
      <c r="AI188" s="56"/>
      <c r="AJ188" s="56"/>
      <c r="AK188" s="56"/>
      <c r="AO188" s="68"/>
      <c r="AP188" s="76"/>
      <c r="AQ188" s="67"/>
      <c r="AR188" s="68"/>
      <c r="AS188" s="69"/>
      <c r="AT188" s="69"/>
      <c r="AU188" s="69"/>
      <c r="AV188" s="69"/>
      <c r="AW188" s="69"/>
      <c r="AX188" s="68"/>
      <c r="AY188" s="69"/>
      <c r="AZ188" s="67"/>
      <c r="BA188" s="69"/>
      <c r="BB188" s="76"/>
      <c r="BC188" s="67"/>
      <c r="BD188" s="68"/>
      <c r="BE188" s="69"/>
      <c r="BF188" s="69"/>
      <c r="BG188" s="69"/>
      <c r="BH188" s="69"/>
      <c r="BI188" s="69"/>
      <c r="BJ188" s="68"/>
      <c r="BK188" s="69"/>
      <c r="BL188" s="67"/>
      <c r="BM188" s="67"/>
      <c r="BN188" s="56"/>
      <c r="BO188" s="56"/>
      <c r="BT188" s="63"/>
      <c r="BW188" s="56"/>
      <c r="BX188" s="56"/>
      <c r="BY188" s="56"/>
      <c r="BZ188" s="56"/>
      <c r="CA188" s="56"/>
      <c r="CF188" s="63"/>
      <c r="CI188" s="56"/>
      <c r="CJ188" s="56"/>
      <c r="CK188" s="56"/>
      <c r="CL188" s="56"/>
      <c r="CM188" s="56"/>
    </row>
    <row r="189" spans="18:93" ht="39.950000000000003" customHeight="1">
      <c r="R189" s="63"/>
      <c r="V189" s="170"/>
      <c r="W189" s="170"/>
      <c r="X189" s="170"/>
      <c r="Y189" s="170"/>
      <c r="AD189" s="174"/>
      <c r="AG189" s="56"/>
      <c r="AH189" s="56"/>
      <c r="AI189" s="56"/>
      <c r="AJ189" s="56"/>
      <c r="AK189" s="56"/>
      <c r="AO189" s="68"/>
      <c r="AP189" s="76"/>
      <c r="AQ189" s="67"/>
      <c r="AR189" s="68"/>
      <c r="AS189" s="69"/>
      <c r="AT189" s="69"/>
      <c r="AU189" s="69"/>
      <c r="AV189" s="69"/>
      <c r="AW189" s="69"/>
      <c r="AX189" s="68"/>
      <c r="AY189" s="69"/>
      <c r="AZ189" s="67"/>
      <c r="BA189" s="69"/>
      <c r="BB189" s="76"/>
      <c r="BC189" s="67"/>
      <c r="BD189" s="68"/>
      <c r="BE189" s="69"/>
      <c r="BF189" s="69"/>
      <c r="BG189" s="69"/>
      <c r="BH189" s="69"/>
      <c r="BI189" s="69"/>
      <c r="BJ189" s="68"/>
      <c r="BK189" s="69"/>
      <c r="BL189" s="67"/>
      <c r="BM189" s="67"/>
      <c r="BN189" s="56"/>
      <c r="BO189" s="56"/>
      <c r="BT189" s="63"/>
      <c r="BW189" s="56"/>
      <c r="BX189" s="56"/>
      <c r="BY189" s="56"/>
      <c r="BZ189" s="56"/>
      <c r="CA189" s="56"/>
      <c r="CF189" s="63"/>
      <c r="CI189" s="56"/>
      <c r="CJ189" s="56"/>
      <c r="CK189" s="56"/>
      <c r="CL189" s="56"/>
      <c r="CM189" s="56"/>
    </row>
    <row r="190" spans="18:93" ht="18" customHeight="1">
      <c r="AO190" s="68"/>
      <c r="AP190" s="67"/>
      <c r="AQ190" s="67"/>
      <c r="AR190" s="68"/>
      <c r="AS190" s="68"/>
      <c r="AT190" s="68"/>
      <c r="AU190" s="68"/>
      <c r="AV190" s="68"/>
      <c r="AW190" s="68"/>
      <c r="AX190" s="68"/>
      <c r="AY190" s="69"/>
      <c r="AZ190" s="67"/>
      <c r="BA190" s="68"/>
      <c r="BB190" s="67"/>
      <c r="BC190" s="67"/>
      <c r="BD190" s="68"/>
      <c r="BE190" s="68"/>
      <c r="BF190" s="68"/>
      <c r="BG190" s="68"/>
      <c r="BH190" s="68"/>
      <c r="BI190" s="68"/>
      <c r="BJ190" s="68"/>
      <c r="BK190" s="69"/>
      <c r="BL190" s="67"/>
      <c r="BM190" s="67"/>
    </row>
    <row r="191" spans="18:93" ht="18" customHeight="1">
      <c r="R191" s="63"/>
      <c r="S191" s="64"/>
      <c r="Y191" s="532"/>
      <c r="Z191" s="532"/>
      <c r="AA191" s="532"/>
      <c r="AD191" s="174"/>
      <c r="AE191" s="64"/>
      <c r="AK191" s="531"/>
      <c r="AL191" s="531"/>
      <c r="AM191" s="531"/>
      <c r="AO191" s="68"/>
      <c r="AP191" s="76"/>
      <c r="AQ191" s="77"/>
      <c r="AR191" s="68"/>
      <c r="AS191" s="68"/>
      <c r="AT191" s="68"/>
      <c r="AU191" s="68"/>
      <c r="AV191" s="68"/>
      <c r="AW191" s="533"/>
      <c r="AX191" s="533"/>
      <c r="AY191" s="533"/>
      <c r="AZ191" s="67"/>
      <c r="BA191" s="68"/>
      <c r="BB191" s="76"/>
      <c r="BC191" s="77"/>
      <c r="BD191" s="68"/>
      <c r="BE191" s="68"/>
      <c r="BF191" s="68"/>
      <c r="BG191" s="68"/>
      <c r="BH191" s="68"/>
      <c r="BI191" s="533"/>
      <c r="BJ191" s="533"/>
      <c r="BK191" s="533"/>
      <c r="BL191" s="67"/>
      <c r="BM191" s="67"/>
      <c r="BO191" s="531"/>
      <c r="BP191" s="531"/>
      <c r="BQ191" s="531"/>
      <c r="BT191" s="63"/>
      <c r="BU191" s="64"/>
      <c r="CA191" s="531"/>
      <c r="CB191" s="531"/>
      <c r="CC191" s="531"/>
      <c r="CF191" s="63"/>
      <c r="CG191" s="64"/>
      <c r="CM191" s="531"/>
      <c r="CN191" s="531"/>
      <c r="CO191" s="531"/>
    </row>
    <row r="192" spans="18:93" ht="18" customHeight="1">
      <c r="R192" s="63"/>
      <c r="V192" s="170"/>
      <c r="W192" s="170"/>
      <c r="X192" s="170"/>
      <c r="Y192" s="170"/>
      <c r="AD192" s="174"/>
      <c r="AG192" s="56"/>
      <c r="AH192" s="56"/>
      <c r="AI192" s="56"/>
      <c r="AJ192" s="56"/>
      <c r="AK192" s="56"/>
      <c r="AO192" s="68"/>
      <c r="AP192" s="76"/>
      <c r="AQ192" s="67"/>
      <c r="AR192" s="68"/>
      <c r="AS192" s="69"/>
      <c r="AT192" s="69"/>
      <c r="AU192" s="69"/>
      <c r="AV192" s="69"/>
      <c r="AW192" s="69"/>
      <c r="AX192" s="68"/>
      <c r="AY192" s="69"/>
      <c r="AZ192" s="67"/>
      <c r="BA192" s="69"/>
      <c r="BB192" s="76"/>
      <c r="BC192" s="67"/>
      <c r="BD192" s="68"/>
      <c r="BE192" s="69"/>
      <c r="BF192" s="69"/>
      <c r="BG192" s="69"/>
      <c r="BH192" s="69"/>
      <c r="BI192" s="69"/>
      <c r="BJ192" s="68"/>
      <c r="BK192" s="69"/>
      <c r="BL192" s="67"/>
      <c r="BM192" s="67"/>
      <c r="BN192" s="56"/>
      <c r="BO192" s="56"/>
      <c r="BT192" s="63"/>
      <c r="BW192" s="56"/>
      <c r="BX192" s="56"/>
      <c r="BY192" s="56"/>
      <c r="BZ192" s="56"/>
      <c r="CA192" s="56"/>
      <c r="CF192" s="63"/>
      <c r="CI192" s="56"/>
      <c r="CJ192" s="56"/>
      <c r="CK192" s="56"/>
      <c r="CL192" s="56"/>
      <c r="CM192" s="56"/>
    </row>
    <row r="193" spans="18:93" ht="18" customHeight="1">
      <c r="R193" s="63"/>
      <c r="V193" s="170"/>
      <c r="W193" s="170"/>
      <c r="X193" s="170"/>
      <c r="Y193" s="170"/>
      <c r="AD193" s="174"/>
      <c r="AG193" s="56"/>
      <c r="AH193" s="56"/>
      <c r="AI193" s="56"/>
      <c r="AJ193" s="56"/>
      <c r="AK193" s="56"/>
      <c r="AO193" s="68"/>
      <c r="AP193" s="76"/>
      <c r="AQ193" s="67"/>
      <c r="AR193" s="68"/>
      <c r="AS193" s="69"/>
      <c r="AT193" s="69"/>
      <c r="AU193" s="69"/>
      <c r="AV193" s="69"/>
      <c r="AW193" s="69"/>
      <c r="AX193" s="68"/>
      <c r="AY193" s="69"/>
      <c r="AZ193" s="67"/>
      <c r="BA193" s="69"/>
      <c r="BB193" s="76"/>
      <c r="BC193" s="67"/>
      <c r="BD193" s="68"/>
      <c r="BE193" s="69"/>
      <c r="BF193" s="69"/>
      <c r="BG193" s="69"/>
      <c r="BH193" s="69"/>
      <c r="BI193" s="69"/>
      <c r="BJ193" s="68"/>
      <c r="BK193" s="69"/>
      <c r="BL193" s="67"/>
      <c r="BM193" s="67"/>
      <c r="BN193" s="56"/>
      <c r="BO193" s="56"/>
      <c r="BT193" s="63"/>
      <c r="BW193" s="56"/>
      <c r="BX193" s="56"/>
      <c r="BY193" s="56"/>
      <c r="BZ193" s="56"/>
      <c r="CA193" s="56"/>
      <c r="CF193" s="63"/>
      <c r="CI193" s="56"/>
      <c r="CJ193" s="56"/>
      <c r="CK193" s="56"/>
      <c r="CL193" s="56"/>
      <c r="CM193" s="56"/>
    </row>
    <row r="194" spans="18:93" ht="18" customHeight="1">
      <c r="R194" s="63"/>
      <c r="V194" s="170"/>
      <c r="W194" s="170"/>
      <c r="X194" s="170"/>
      <c r="Y194" s="170"/>
      <c r="AD194" s="174"/>
      <c r="AG194" s="56"/>
      <c r="AH194" s="56"/>
      <c r="AI194" s="56"/>
      <c r="AJ194" s="56"/>
      <c r="AK194" s="56"/>
      <c r="AO194" s="68"/>
      <c r="AP194" s="76"/>
      <c r="AQ194" s="67"/>
      <c r="AR194" s="68"/>
      <c r="AS194" s="69"/>
      <c r="AT194" s="69"/>
      <c r="AU194" s="69"/>
      <c r="AV194" s="69"/>
      <c r="AW194" s="69"/>
      <c r="AX194" s="68"/>
      <c r="AY194" s="69"/>
      <c r="AZ194" s="67"/>
      <c r="BA194" s="69"/>
      <c r="BB194" s="76"/>
      <c r="BC194" s="67"/>
      <c r="BD194" s="68"/>
      <c r="BE194" s="69"/>
      <c r="BF194" s="69"/>
      <c r="BG194" s="69"/>
      <c r="BH194" s="69"/>
      <c r="BI194" s="69"/>
      <c r="BJ194" s="68"/>
      <c r="BK194" s="69"/>
      <c r="BL194" s="67"/>
      <c r="BM194" s="67"/>
      <c r="BN194" s="56"/>
      <c r="BO194" s="56"/>
      <c r="BT194" s="63"/>
      <c r="BW194" s="56"/>
      <c r="BX194" s="56"/>
      <c r="BY194" s="56"/>
      <c r="BZ194" s="56"/>
      <c r="CA194" s="56"/>
      <c r="CF194" s="63"/>
      <c r="CI194" s="56"/>
      <c r="CJ194" s="56"/>
      <c r="CK194" s="56"/>
      <c r="CL194" s="56"/>
      <c r="CM194" s="56"/>
    </row>
    <row r="195" spans="18:93" ht="18" customHeight="1">
      <c r="R195" s="63"/>
      <c r="V195" s="170"/>
      <c r="W195" s="170"/>
      <c r="X195" s="170"/>
      <c r="Y195" s="170"/>
      <c r="AD195" s="174"/>
      <c r="AG195" s="56"/>
      <c r="AH195" s="56"/>
      <c r="AI195" s="56"/>
      <c r="AJ195" s="56"/>
      <c r="AK195" s="56"/>
      <c r="AO195" s="68"/>
      <c r="AP195" s="76"/>
      <c r="AQ195" s="67"/>
      <c r="AR195" s="68"/>
      <c r="AS195" s="69"/>
      <c r="AT195" s="69"/>
      <c r="AU195" s="69"/>
      <c r="AV195" s="69"/>
      <c r="AW195" s="69"/>
      <c r="AX195" s="68"/>
      <c r="AY195" s="69"/>
      <c r="AZ195" s="67"/>
      <c r="BA195" s="69"/>
      <c r="BB195" s="76"/>
      <c r="BC195" s="67"/>
      <c r="BD195" s="68"/>
      <c r="BE195" s="69"/>
      <c r="BF195" s="69"/>
      <c r="BG195" s="69"/>
      <c r="BH195" s="69"/>
      <c r="BI195" s="69"/>
      <c r="BJ195" s="68"/>
      <c r="BK195" s="69"/>
      <c r="BL195" s="67"/>
      <c r="BM195" s="67"/>
      <c r="BN195" s="56"/>
      <c r="BO195" s="56"/>
      <c r="BT195" s="63"/>
      <c r="BW195" s="56"/>
      <c r="BX195" s="56"/>
      <c r="BY195" s="56"/>
      <c r="BZ195" s="56"/>
      <c r="CA195" s="56"/>
      <c r="CF195" s="63"/>
      <c r="CI195" s="56"/>
      <c r="CJ195" s="56"/>
      <c r="CK195" s="56"/>
      <c r="CL195" s="56"/>
      <c r="CM195" s="56"/>
    </row>
    <row r="196" spans="18:93" ht="18" customHeight="1">
      <c r="AO196" s="68"/>
      <c r="AP196" s="67"/>
      <c r="AQ196" s="67"/>
      <c r="AR196" s="68"/>
      <c r="AS196" s="68"/>
      <c r="AT196" s="68"/>
      <c r="AU196" s="68"/>
      <c r="AV196" s="68"/>
      <c r="AW196" s="68"/>
      <c r="AX196" s="68"/>
      <c r="AY196" s="69"/>
      <c r="AZ196" s="67"/>
      <c r="BA196" s="68"/>
      <c r="BB196" s="67"/>
      <c r="BC196" s="67"/>
      <c r="BD196" s="68"/>
      <c r="BE196" s="68"/>
      <c r="BF196" s="68"/>
      <c r="BG196" s="68"/>
      <c r="BH196" s="68"/>
      <c r="BI196" s="68"/>
      <c r="BJ196" s="68"/>
      <c r="BK196" s="69"/>
      <c r="BL196" s="67"/>
      <c r="BM196" s="67"/>
    </row>
    <row r="197" spans="18:93" ht="18" customHeight="1">
      <c r="R197" s="63"/>
      <c r="S197" s="64"/>
      <c r="Y197" s="532"/>
      <c r="Z197" s="532"/>
      <c r="AA197" s="532"/>
      <c r="AD197" s="174"/>
      <c r="AE197" s="64"/>
      <c r="AK197" s="531"/>
      <c r="AL197" s="531"/>
      <c r="AM197" s="531"/>
      <c r="AO197" s="68"/>
      <c r="AP197" s="76"/>
      <c r="AQ197" s="77"/>
      <c r="AR197" s="68"/>
      <c r="AS197" s="68"/>
      <c r="AT197" s="68"/>
      <c r="AU197" s="68"/>
      <c r="AV197" s="68"/>
      <c r="AW197" s="533"/>
      <c r="AX197" s="533"/>
      <c r="AY197" s="533"/>
      <c r="AZ197" s="67"/>
      <c r="BA197" s="68"/>
      <c r="BB197" s="76"/>
      <c r="BC197" s="77"/>
      <c r="BD197" s="68"/>
      <c r="BE197" s="68"/>
      <c r="BF197" s="68"/>
      <c r="BG197" s="68"/>
      <c r="BH197" s="68"/>
      <c r="BI197" s="533"/>
      <c r="BJ197" s="533"/>
      <c r="BK197" s="533"/>
      <c r="BL197" s="67"/>
      <c r="BM197" s="67"/>
      <c r="BO197" s="531"/>
      <c r="BP197" s="531"/>
      <c r="BQ197" s="531"/>
      <c r="BT197" s="63"/>
      <c r="BU197" s="64"/>
      <c r="CA197" s="531"/>
      <c r="CB197" s="531"/>
      <c r="CC197" s="531"/>
      <c r="CF197" s="63"/>
      <c r="CG197" s="64"/>
      <c r="CM197" s="531"/>
      <c r="CN197" s="531"/>
      <c r="CO197" s="531"/>
    </row>
    <row r="198" spans="18:93" ht="18" customHeight="1">
      <c r="R198" s="63"/>
      <c r="V198" s="170"/>
      <c r="W198" s="170"/>
      <c r="X198" s="170"/>
      <c r="Y198" s="170"/>
      <c r="AD198" s="174"/>
      <c r="AG198" s="56"/>
      <c r="AH198" s="56"/>
      <c r="AI198" s="56"/>
      <c r="AJ198" s="56"/>
      <c r="AK198" s="56"/>
      <c r="AO198" s="68"/>
      <c r="AP198" s="76"/>
      <c r="AQ198" s="67"/>
      <c r="AR198" s="68"/>
      <c r="AS198" s="69"/>
      <c r="AT198" s="69"/>
      <c r="AU198" s="69"/>
      <c r="AV198" s="69"/>
      <c r="AW198" s="69"/>
      <c r="AX198" s="68"/>
      <c r="AY198" s="69"/>
      <c r="AZ198" s="67"/>
      <c r="BA198" s="69"/>
      <c r="BB198" s="76"/>
      <c r="BC198" s="67"/>
      <c r="BD198" s="68"/>
      <c r="BE198" s="69"/>
      <c r="BF198" s="69"/>
      <c r="BG198" s="69"/>
      <c r="BH198" s="69"/>
      <c r="BI198" s="69"/>
      <c r="BJ198" s="68"/>
      <c r="BK198" s="69"/>
      <c r="BL198" s="67"/>
      <c r="BM198" s="67"/>
      <c r="BN198" s="56"/>
      <c r="BO198" s="56"/>
      <c r="BT198" s="63"/>
      <c r="BW198" s="56"/>
      <c r="BX198" s="56"/>
      <c r="BY198" s="56"/>
      <c r="BZ198" s="56"/>
      <c r="CA198" s="56"/>
      <c r="CF198" s="63"/>
      <c r="CI198" s="56"/>
      <c r="CJ198" s="56"/>
      <c r="CK198" s="56"/>
      <c r="CL198" s="56"/>
      <c r="CM198" s="56"/>
    </row>
    <row r="199" spans="18:93" ht="18" customHeight="1">
      <c r="R199" s="63"/>
      <c r="V199" s="170"/>
      <c r="W199" s="170"/>
      <c r="X199" s="170"/>
      <c r="Y199" s="170"/>
      <c r="AD199" s="174"/>
      <c r="AG199" s="56"/>
      <c r="AH199" s="56"/>
      <c r="AI199" s="56"/>
      <c r="AJ199" s="56"/>
      <c r="AK199" s="56"/>
      <c r="AO199" s="68"/>
      <c r="AP199" s="76"/>
      <c r="AQ199" s="67"/>
      <c r="AR199" s="68"/>
      <c r="AS199" s="69"/>
      <c r="AT199" s="69"/>
      <c r="AU199" s="69"/>
      <c r="AV199" s="69"/>
      <c r="AW199" s="69"/>
      <c r="AX199" s="68"/>
      <c r="AY199" s="69"/>
      <c r="AZ199" s="67"/>
      <c r="BA199" s="69"/>
      <c r="BB199" s="76"/>
      <c r="BC199" s="67"/>
      <c r="BD199" s="68"/>
      <c r="BE199" s="69"/>
      <c r="BF199" s="69"/>
      <c r="BG199" s="69"/>
      <c r="BH199" s="69"/>
      <c r="BI199" s="69"/>
      <c r="BJ199" s="68"/>
      <c r="BK199" s="69"/>
      <c r="BL199" s="67"/>
      <c r="BM199" s="67"/>
      <c r="BN199" s="56"/>
      <c r="BO199" s="56"/>
      <c r="BT199" s="63"/>
      <c r="BW199" s="56"/>
      <c r="BX199" s="56"/>
      <c r="BY199" s="56"/>
      <c r="BZ199" s="56"/>
      <c r="CA199" s="56"/>
      <c r="CF199" s="63"/>
      <c r="CI199" s="56"/>
      <c r="CJ199" s="56"/>
      <c r="CK199" s="56"/>
      <c r="CL199" s="56"/>
      <c r="CM199" s="56"/>
    </row>
    <row r="200" spans="18:93" ht="18" customHeight="1">
      <c r="R200" s="63"/>
      <c r="V200" s="170"/>
      <c r="W200" s="170"/>
      <c r="X200" s="170"/>
      <c r="Y200" s="170"/>
      <c r="AD200" s="174"/>
      <c r="AG200" s="56"/>
      <c r="AH200" s="56"/>
      <c r="AI200" s="56"/>
      <c r="AJ200" s="56"/>
      <c r="AK200" s="56"/>
      <c r="AO200" s="68"/>
      <c r="AP200" s="76"/>
      <c r="AQ200" s="67"/>
      <c r="AR200" s="68"/>
      <c r="AS200" s="69"/>
      <c r="AT200" s="69"/>
      <c r="AU200" s="69"/>
      <c r="AV200" s="69"/>
      <c r="AW200" s="69"/>
      <c r="AX200" s="68"/>
      <c r="AY200" s="69"/>
      <c r="AZ200" s="67"/>
      <c r="BA200" s="69"/>
      <c r="BB200" s="76"/>
      <c r="BC200" s="67"/>
      <c r="BD200" s="68"/>
      <c r="BE200" s="69"/>
      <c r="BF200" s="69"/>
      <c r="BG200" s="69"/>
      <c r="BH200" s="69"/>
      <c r="BI200" s="69"/>
      <c r="BJ200" s="68"/>
      <c r="BK200" s="69"/>
      <c r="BL200" s="67"/>
      <c r="BM200" s="67"/>
      <c r="BN200" s="56"/>
      <c r="BO200" s="56"/>
      <c r="BT200" s="63"/>
      <c r="BW200" s="56"/>
      <c r="BX200" s="56"/>
      <c r="BY200" s="56"/>
      <c r="BZ200" s="56"/>
      <c r="CA200" s="56"/>
      <c r="CF200" s="63"/>
      <c r="CI200" s="56"/>
      <c r="CJ200" s="56"/>
      <c r="CK200" s="56"/>
      <c r="CL200" s="56"/>
      <c r="CM200" s="56"/>
    </row>
    <row r="201" spans="18:93" ht="18" customHeight="1">
      <c r="R201" s="63"/>
      <c r="V201" s="170"/>
      <c r="W201" s="170"/>
      <c r="X201" s="170"/>
      <c r="Y201" s="170"/>
      <c r="AD201" s="174"/>
      <c r="AG201" s="56"/>
      <c r="AH201" s="56"/>
      <c r="AI201" s="56"/>
      <c r="AJ201" s="56"/>
      <c r="AK201" s="56"/>
      <c r="AO201" s="68"/>
      <c r="AP201" s="76"/>
      <c r="AQ201" s="67"/>
      <c r="AR201" s="68"/>
      <c r="AS201" s="69"/>
      <c r="AT201" s="69"/>
      <c r="AU201" s="69"/>
      <c r="AV201" s="69"/>
      <c r="AW201" s="69"/>
      <c r="AX201" s="68"/>
      <c r="AY201" s="69"/>
      <c r="AZ201" s="67"/>
      <c r="BA201" s="69"/>
      <c r="BB201" s="76"/>
      <c r="BC201" s="67"/>
      <c r="BD201" s="68"/>
      <c r="BE201" s="69"/>
      <c r="BF201" s="69"/>
      <c r="BG201" s="69"/>
      <c r="BH201" s="69"/>
      <c r="BI201" s="69"/>
      <c r="BJ201" s="68"/>
      <c r="BK201" s="69"/>
      <c r="BL201" s="67"/>
      <c r="BM201" s="67"/>
      <c r="BN201" s="56"/>
      <c r="BO201" s="56"/>
      <c r="BT201" s="63"/>
      <c r="BW201" s="56"/>
      <c r="BX201" s="56"/>
      <c r="BY201" s="56"/>
      <c r="BZ201" s="56"/>
      <c r="CA201" s="56"/>
      <c r="CF201" s="63"/>
      <c r="CI201" s="56"/>
      <c r="CJ201" s="56"/>
      <c r="CK201" s="56"/>
      <c r="CL201" s="56"/>
      <c r="CM201" s="56"/>
    </row>
    <row r="202" spans="18:93" ht="18" customHeight="1">
      <c r="AO202" s="68"/>
      <c r="AP202" s="67"/>
      <c r="AQ202" s="67"/>
      <c r="AR202" s="68"/>
      <c r="AS202" s="68"/>
      <c r="AT202" s="68"/>
      <c r="AU202" s="68"/>
      <c r="AV202" s="68"/>
      <c r="AW202" s="68"/>
      <c r="AX202" s="68"/>
      <c r="AY202" s="69"/>
      <c r="AZ202" s="67"/>
      <c r="BA202" s="68"/>
      <c r="BB202" s="67"/>
      <c r="BC202" s="67"/>
      <c r="BD202" s="68"/>
      <c r="BE202" s="68"/>
      <c r="BF202" s="68"/>
      <c r="BG202" s="68"/>
      <c r="BH202" s="68"/>
      <c r="BI202" s="68"/>
      <c r="BJ202" s="68"/>
      <c r="BK202" s="69"/>
      <c r="BL202" s="67"/>
      <c r="BM202" s="67"/>
    </row>
    <row r="203" spans="18:93" ht="18" customHeight="1">
      <c r="R203" s="63"/>
      <c r="S203" s="64"/>
      <c r="Y203" s="532"/>
      <c r="Z203" s="532"/>
      <c r="AA203" s="532"/>
      <c r="AD203" s="174"/>
      <c r="AE203" s="64"/>
      <c r="AK203" s="531"/>
      <c r="AL203" s="531"/>
      <c r="AM203" s="531"/>
      <c r="AO203" s="68"/>
      <c r="AP203" s="76"/>
      <c r="AQ203" s="77"/>
      <c r="AR203" s="68"/>
      <c r="AS203" s="68"/>
      <c r="AT203" s="68"/>
      <c r="AU203" s="68"/>
      <c r="AV203" s="68"/>
      <c r="AW203" s="533"/>
      <c r="AX203" s="533"/>
      <c r="AY203" s="533"/>
      <c r="AZ203" s="67"/>
      <c r="BA203" s="68"/>
      <c r="BB203" s="76"/>
      <c r="BC203" s="77"/>
      <c r="BD203" s="68"/>
      <c r="BE203" s="68"/>
      <c r="BF203" s="68"/>
      <c r="BG203" s="68"/>
      <c r="BH203" s="68"/>
      <c r="BI203" s="533"/>
      <c r="BJ203" s="533"/>
      <c r="BK203" s="533"/>
      <c r="BL203" s="67"/>
      <c r="BM203" s="67"/>
      <c r="BO203" s="531"/>
      <c r="BP203" s="531"/>
      <c r="BQ203" s="531"/>
      <c r="BT203" s="63"/>
      <c r="BU203" s="64"/>
      <c r="CA203" s="531"/>
      <c r="CB203" s="531"/>
      <c r="CC203" s="531"/>
      <c r="CF203" s="63"/>
      <c r="CG203" s="64"/>
      <c r="CM203" s="531"/>
      <c r="CN203" s="531"/>
      <c r="CO203" s="531"/>
    </row>
    <row r="204" spans="18:93" ht="18" customHeight="1">
      <c r="R204" s="63"/>
      <c r="V204" s="170"/>
      <c r="W204" s="170"/>
      <c r="X204" s="170"/>
      <c r="Y204" s="170"/>
      <c r="AD204" s="174"/>
      <c r="AG204" s="56"/>
      <c r="AH204" s="56"/>
      <c r="AI204" s="56"/>
      <c r="AJ204" s="56"/>
      <c r="AK204" s="56"/>
      <c r="AO204" s="68"/>
      <c r="AP204" s="76"/>
      <c r="AQ204" s="67"/>
      <c r="AR204" s="68"/>
      <c r="AS204" s="69"/>
      <c r="AT204" s="69"/>
      <c r="AU204" s="69"/>
      <c r="AV204" s="69"/>
      <c r="AW204" s="69"/>
      <c r="AX204" s="68"/>
      <c r="AY204" s="69"/>
      <c r="AZ204" s="67"/>
      <c r="BA204" s="69"/>
      <c r="BB204" s="76"/>
      <c r="BC204" s="67"/>
      <c r="BD204" s="68"/>
      <c r="BE204" s="69"/>
      <c r="BF204" s="69"/>
      <c r="BG204" s="69"/>
      <c r="BH204" s="69"/>
      <c r="BI204" s="69"/>
      <c r="BJ204" s="68"/>
      <c r="BK204" s="69"/>
      <c r="BL204" s="67"/>
      <c r="BM204" s="67"/>
      <c r="BN204" s="56"/>
      <c r="BO204" s="56"/>
      <c r="BT204" s="63"/>
      <c r="BW204" s="56"/>
      <c r="BX204" s="56"/>
      <c r="BY204" s="56"/>
      <c r="BZ204" s="56"/>
      <c r="CA204" s="56"/>
      <c r="CF204" s="63"/>
      <c r="CI204" s="56"/>
      <c r="CJ204" s="56"/>
      <c r="CK204" s="56"/>
      <c r="CL204" s="56"/>
      <c r="CM204" s="56"/>
    </row>
    <row r="205" spans="18:93" ht="18" customHeight="1">
      <c r="R205" s="63"/>
      <c r="V205" s="170"/>
      <c r="W205" s="170"/>
      <c r="X205" s="170"/>
      <c r="Y205" s="170"/>
      <c r="AD205" s="174"/>
      <c r="AG205" s="56"/>
      <c r="AH205" s="56"/>
      <c r="AI205" s="56"/>
      <c r="AJ205" s="56"/>
      <c r="AK205" s="56"/>
      <c r="AO205" s="68"/>
      <c r="AP205" s="76"/>
      <c r="AQ205" s="67"/>
      <c r="AR205" s="68"/>
      <c r="AS205" s="69"/>
      <c r="AT205" s="69"/>
      <c r="AU205" s="69"/>
      <c r="AV205" s="69"/>
      <c r="AW205" s="69"/>
      <c r="AX205" s="68"/>
      <c r="AY205" s="69"/>
      <c r="AZ205" s="67"/>
      <c r="BA205" s="69"/>
      <c r="BB205" s="76"/>
      <c r="BC205" s="67"/>
      <c r="BD205" s="68"/>
      <c r="BE205" s="69"/>
      <c r="BF205" s="69"/>
      <c r="BG205" s="69"/>
      <c r="BH205" s="69"/>
      <c r="BI205" s="69"/>
      <c r="BJ205" s="68"/>
      <c r="BK205" s="69"/>
      <c r="BL205" s="67"/>
      <c r="BM205" s="67"/>
      <c r="BN205" s="56"/>
      <c r="BO205" s="56"/>
      <c r="BT205" s="63"/>
      <c r="BW205" s="56"/>
      <c r="BX205" s="56"/>
      <c r="BY205" s="56"/>
      <c r="BZ205" s="56"/>
      <c r="CA205" s="56"/>
      <c r="CF205" s="63"/>
      <c r="CI205" s="56"/>
      <c r="CJ205" s="56"/>
      <c r="CK205" s="56"/>
      <c r="CL205" s="56"/>
      <c r="CM205" s="56"/>
    </row>
    <row r="206" spans="18:93" ht="18" customHeight="1">
      <c r="R206" s="63"/>
      <c r="V206" s="170"/>
      <c r="W206" s="170"/>
      <c r="X206" s="170"/>
      <c r="Y206" s="170"/>
      <c r="AD206" s="174"/>
      <c r="AG206" s="56"/>
      <c r="AH206" s="56"/>
      <c r="AI206" s="56"/>
      <c r="AJ206" s="56"/>
      <c r="AK206" s="56"/>
      <c r="AO206" s="68"/>
      <c r="AP206" s="76"/>
      <c r="AQ206" s="67"/>
      <c r="AR206" s="68"/>
      <c r="AS206" s="69"/>
      <c r="AT206" s="69"/>
      <c r="AU206" s="69"/>
      <c r="AV206" s="69"/>
      <c r="AW206" s="69"/>
      <c r="AX206" s="68"/>
      <c r="AY206" s="69"/>
      <c r="AZ206" s="67"/>
      <c r="BA206" s="69"/>
      <c r="BB206" s="76"/>
      <c r="BC206" s="67"/>
      <c r="BD206" s="68"/>
      <c r="BE206" s="69"/>
      <c r="BF206" s="69"/>
      <c r="BG206" s="69"/>
      <c r="BH206" s="69"/>
      <c r="BI206" s="69"/>
      <c r="BJ206" s="68"/>
      <c r="BK206" s="69"/>
      <c r="BL206" s="67"/>
      <c r="BM206" s="67"/>
      <c r="BN206" s="56"/>
      <c r="BO206" s="56"/>
      <c r="BT206" s="63"/>
      <c r="BW206" s="56"/>
      <c r="BX206" s="56"/>
      <c r="BY206" s="56"/>
      <c r="BZ206" s="56"/>
      <c r="CA206" s="56"/>
      <c r="CF206" s="63"/>
      <c r="CI206" s="56"/>
      <c r="CJ206" s="56"/>
      <c r="CK206" s="56"/>
      <c r="CL206" s="56"/>
      <c r="CM206" s="56"/>
    </row>
    <row r="207" spans="18:93" ht="18" customHeight="1">
      <c r="R207" s="63"/>
      <c r="V207" s="170"/>
      <c r="W207" s="170"/>
      <c r="X207" s="170"/>
      <c r="Y207" s="170"/>
      <c r="AD207" s="174"/>
      <c r="AG207" s="56"/>
      <c r="AH207" s="56"/>
      <c r="AI207" s="56"/>
      <c r="AJ207" s="56"/>
      <c r="AK207" s="56"/>
      <c r="AO207" s="68"/>
      <c r="AP207" s="76"/>
      <c r="AQ207" s="67"/>
      <c r="AR207" s="68"/>
      <c r="AS207" s="69"/>
      <c r="AT207" s="69"/>
      <c r="AU207" s="69"/>
      <c r="AV207" s="69"/>
      <c r="AW207" s="69"/>
      <c r="AX207" s="68"/>
      <c r="AY207" s="69"/>
      <c r="AZ207" s="67"/>
      <c r="BA207" s="69"/>
      <c r="BB207" s="76"/>
      <c r="BC207" s="67"/>
      <c r="BD207" s="68"/>
      <c r="BE207" s="69"/>
      <c r="BF207" s="69"/>
      <c r="BG207" s="69"/>
      <c r="BH207" s="69"/>
      <c r="BI207" s="69"/>
      <c r="BJ207" s="68"/>
      <c r="BK207" s="69"/>
      <c r="BL207" s="67"/>
      <c r="BM207" s="67"/>
      <c r="BN207" s="56"/>
      <c r="BO207" s="56"/>
      <c r="BT207" s="63"/>
      <c r="BW207" s="56"/>
      <c r="BX207" s="56"/>
      <c r="BY207" s="56"/>
      <c r="BZ207" s="56"/>
      <c r="CA207" s="56"/>
      <c r="CF207" s="63"/>
      <c r="CI207" s="56"/>
      <c r="CJ207" s="56"/>
      <c r="CK207" s="56"/>
      <c r="CL207" s="56"/>
      <c r="CM207" s="56"/>
    </row>
    <row r="208" spans="18:93" ht="18" customHeight="1">
      <c r="AO208" s="68"/>
      <c r="AP208" s="67"/>
      <c r="AQ208" s="67"/>
      <c r="AR208" s="68"/>
      <c r="AS208" s="68"/>
      <c r="AT208" s="68"/>
      <c r="AU208" s="68"/>
      <c r="AV208" s="68"/>
      <c r="AW208" s="68"/>
      <c r="AX208" s="68"/>
      <c r="AY208" s="69"/>
      <c r="AZ208" s="67"/>
      <c r="BA208" s="68"/>
      <c r="BB208" s="67"/>
      <c r="BC208" s="67"/>
      <c r="BD208" s="68"/>
      <c r="BE208" s="68"/>
      <c r="BF208" s="68"/>
      <c r="BG208" s="68"/>
      <c r="BH208" s="68"/>
      <c r="BI208" s="68"/>
      <c r="BJ208" s="68"/>
      <c r="BK208" s="69"/>
      <c r="BL208" s="67"/>
      <c r="BM208" s="67"/>
    </row>
    <row r="209" spans="18:93" ht="18" customHeight="1">
      <c r="R209" s="63"/>
      <c r="S209" s="64"/>
      <c r="Y209" s="532"/>
      <c r="Z209" s="532"/>
      <c r="AA209" s="532"/>
      <c r="AD209" s="174"/>
      <c r="AE209" s="64"/>
      <c r="AK209" s="531"/>
      <c r="AL209" s="531"/>
      <c r="AM209" s="531"/>
      <c r="AO209" s="68"/>
      <c r="AP209" s="76"/>
      <c r="AQ209" s="77"/>
      <c r="AR209" s="68"/>
      <c r="AS209" s="68"/>
      <c r="AT209" s="68"/>
      <c r="AU209" s="68"/>
      <c r="AV209" s="68"/>
      <c r="AW209" s="533"/>
      <c r="AX209" s="533"/>
      <c r="AY209" s="533"/>
      <c r="AZ209" s="67"/>
      <c r="BA209" s="68"/>
      <c r="BB209" s="76"/>
      <c r="BC209" s="77"/>
      <c r="BD209" s="68"/>
      <c r="BE209" s="68"/>
      <c r="BF209" s="68"/>
      <c r="BG209" s="68"/>
      <c r="BH209" s="68"/>
      <c r="BI209" s="533"/>
      <c r="BJ209" s="533"/>
      <c r="BK209" s="533"/>
      <c r="BL209" s="67"/>
      <c r="BM209" s="67"/>
      <c r="BO209" s="531"/>
      <c r="BP209" s="531"/>
      <c r="BQ209" s="531"/>
      <c r="BT209" s="63"/>
      <c r="BU209" s="64"/>
      <c r="CA209" s="531"/>
      <c r="CB209" s="531"/>
      <c r="CC209" s="531"/>
      <c r="CF209" s="63"/>
      <c r="CG209" s="64"/>
      <c r="CM209" s="531"/>
      <c r="CN209" s="531"/>
      <c r="CO209" s="531"/>
    </row>
    <row r="210" spans="18:93" ht="18" customHeight="1">
      <c r="R210" s="63"/>
      <c r="V210" s="170"/>
      <c r="W210" s="170"/>
      <c r="X210" s="170"/>
      <c r="Y210" s="170"/>
      <c r="AD210" s="174"/>
      <c r="AG210" s="56"/>
      <c r="AH210" s="56"/>
      <c r="AI210" s="56"/>
      <c r="AJ210" s="56"/>
      <c r="AK210" s="56"/>
      <c r="AO210" s="68"/>
      <c r="AP210" s="76"/>
      <c r="AQ210" s="67"/>
      <c r="AR210" s="68"/>
      <c r="AS210" s="69"/>
      <c r="AT210" s="69"/>
      <c r="AU210" s="69"/>
      <c r="AV210" s="69"/>
      <c r="AW210" s="69"/>
      <c r="AX210" s="68"/>
      <c r="AY210" s="69"/>
      <c r="AZ210" s="67"/>
      <c r="BA210" s="69"/>
      <c r="BB210" s="76"/>
      <c r="BC210" s="67"/>
      <c r="BD210" s="68"/>
      <c r="BE210" s="69"/>
      <c r="BF210" s="69"/>
      <c r="BG210" s="69"/>
      <c r="BH210" s="69"/>
      <c r="BI210" s="69"/>
      <c r="BJ210" s="68"/>
      <c r="BK210" s="69"/>
      <c r="BL210" s="67"/>
      <c r="BM210" s="67"/>
      <c r="BN210" s="56"/>
      <c r="BO210" s="56"/>
      <c r="BT210" s="63"/>
      <c r="BW210" s="56"/>
      <c r="BX210" s="56"/>
      <c r="BY210" s="56"/>
      <c r="BZ210" s="56"/>
      <c r="CA210" s="56"/>
      <c r="CF210" s="63"/>
      <c r="CI210" s="56"/>
      <c r="CJ210" s="56"/>
      <c r="CK210" s="56"/>
      <c r="CL210" s="56"/>
      <c r="CM210" s="56"/>
    </row>
    <row r="211" spans="18:93" ht="18" customHeight="1">
      <c r="R211" s="63"/>
      <c r="V211" s="170"/>
      <c r="W211" s="170"/>
      <c r="X211" s="170"/>
      <c r="Y211" s="170"/>
      <c r="AD211" s="174"/>
      <c r="AG211" s="56"/>
      <c r="AH211" s="56"/>
      <c r="AI211" s="56"/>
      <c r="AJ211" s="56"/>
      <c r="AK211" s="56"/>
      <c r="AO211" s="68"/>
      <c r="AP211" s="76"/>
      <c r="AQ211" s="67"/>
      <c r="AR211" s="68"/>
      <c r="AS211" s="69"/>
      <c r="AT211" s="69"/>
      <c r="AU211" s="69"/>
      <c r="AV211" s="69"/>
      <c r="AW211" s="69"/>
      <c r="AX211" s="68"/>
      <c r="AY211" s="69"/>
      <c r="AZ211" s="67"/>
      <c r="BA211" s="69"/>
      <c r="BB211" s="76"/>
      <c r="BC211" s="67"/>
      <c r="BD211" s="68"/>
      <c r="BE211" s="69"/>
      <c r="BF211" s="69"/>
      <c r="BG211" s="69"/>
      <c r="BH211" s="69"/>
      <c r="BI211" s="69"/>
      <c r="BJ211" s="68"/>
      <c r="BK211" s="69"/>
      <c r="BL211" s="67"/>
      <c r="BM211" s="67"/>
      <c r="BN211" s="56"/>
      <c r="BO211" s="56"/>
      <c r="BT211" s="63"/>
      <c r="BW211" s="56"/>
      <c r="BX211" s="56"/>
      <c r="BY211" s="56"/>
      <c r="BZ211" s="56"/>
      <c r="CA211" s="56"/>
      <c r="CF211" s="63"/>
      <c r="CI211" s="56"/>
      <c r="CJ211" s="56"/>
      <c r="CK211" s="56"/>
      <c r="CL211" s="56"/>
      <c r="CM211" s="56"/>
    </row>
    <row r="212" spans="18:93" ht="18" customHeight="1">
      <c r="R212" s="63"/>
      <c r="V212" s="170"/>
      <c r="W212" s="170"/>
      <c r="X212" s="170"/>
      <c r="Y212" s="170"/>
      <c r="AD212" s="174"/>
      <c r="AG212" s="56"/>
      <c r="AH212" s="56"/>
      <c r="AI212" s="56"/>
      <c r="AJ212" s="56"/>
      <c r="AK212" s="56"/>
      <c r="AO212" s="68"/>
      <c r="AP212" s="76"/>
      <c r="AQ212" s="67"/>
      <c r="AR212" s="68"/>
      <c r="AS212" s="69"/>
      <c r="AT212" s="69"/>
      <c r="AU212" s="69"/>
      <c r="AV212" s="69"/>
      <c r="AW212" s="69"/>
      <c r="AX212" s="68"/>
      <c r="AY212" s="69"/>
      <c r="AZ212" s="67"/>
      <c r="BA212" s="69"/>
      <c r="BB212" s="76"/>
      <c r="BC212" s="67"/>
      <c r="BD212" s="68"/>
      <c r="BE212" s="69"/>
      <c r="BF212" s="69"/>
      <c r="BG212" s="69"/>
      <c r="BH212" s="69"/>
      <c r="BI212" s="69"/>
      <c r="BJ212" s="68"/>
      <c r="BK212" s="69"/>
      <c r="BL212" s="67"/>
      <c r="BM212" s="67"/>
      <c r="BN212" s="56"/>
      <c r="BO212" s="56"/>
      <c r="BT212" s="63"/>
      <c r="BW212" s="56"/>
      <c r="BX212" s="56"/>
      <c r="BY212" s="56"/>
      <c r="BZ212" s="56"/>
      <c r="CA212" s="56"/>
      <c r="CF212" s="63"/>
      <c r="CI212" s="56"/>
      <c r="CJ212" s="56"/>
      <c r="CK212" s="56"/>
      <c r="CL212" s="56"/>
      <c r="CM212" s="56"/>
    </row>
    <row r="213" spans="18:93" ht="18" customHeight="1">
      <c r="R213" s="63"/>
      <c r="V213" s="170"/>
      <c r="W213" s="170"/>
      <c r="X213" s="170"/>
      <c r="Y213" s="170"/>
      <c r="AD213" s="174"/>
      <c r="AG213" s="56"/>
      <c r="AH213" s="56"/>
      <c r="AI213" s="56"/>
      <c r="AJ213" s="56"/>
      <c r="AK213" s="56"/>
      <c r="AO213" s="68"/>
      <c r="AP213" s="76"/>
      <c r="AQ213" s="67"/>
      <c r="AR213" s="68"/>
      <c r="AS213" s="69"/>
      <c r="AT213" s="69"/>
      <c r="AU213" s="69"/>
      <c r="AV213" s="69"/>
      <c r="AW213" s="69"/>
      <c r="AX213" s="68"/>
      <c r="AY213" s="69"/>
      <c r="AZ213" s="67"/>
      <c r="BA213" s="69"/>
      <c r="BB213" s="76"/>
      <c r="BC213" s="67"/>
      <c r="BD213" s="68"/>
      <c r="BE213" s="69"/>
      <c r="BF213" s="69"/>
      <c r="BG213" s="69"/>
      <c r="BH213" s="69"/>
      <c r="BI213" s="69"/>
      <c r="BJ213" s="68"/>
      <c r="BK213" s="69"/>
      <c r="BL213" s="67"/>
      <c r="BM213" s="67"/>
      <c r="BN213" s="56"/>
      <c r="BO213" s="56"/>
      <c r="BT213" s="63"/>
      <c r="BW213" s="56"/>
      <c r="BX213" s="56"/>
      <c r="BY213" s="56"/>
      <c r="BZ213" s="56"/>
      <c r="CA213" s="56"/>
      <c r="CF213" s="63"/>
      <c r="CI213" s="56"/>
      <c r="CJ213" s="56"/>
      <c r="CK213" s="56"/>
      <c r="CL213" s="56"/>
      <c r="CM213" s="56"/>
    </row>
    <row r="214" spans="18:93" ht="18" customHeight="1">
      <c r="AO214" s="68"/>
      <c r="AP214" s="67"/>
      <c r="AQ214" s="67"/>
      <c r="AR214" s="68"/>
      <c r="AS214" s="68"/>
      <c r="AT214" s="68"/>
      <c r="AU214" s="68"/>
      <c r="AV214" s="68"/>
      <c r="AW214" s="68"/>
      <c r="AX214" s="68"/>
      <c r="AY214" s="69"/>
      <c r="AZ214" s="67"/>
      <c r="BA214" s="68"/>
      <c r="BB214" s="67"/>
      <c r="BC214" s="67"/>
      <c r="BD214" s="68"/>
      <c r="BE214" s="68"/>
      <c r="BF214" s="68"/>
      <c r="BG214" s="68"/>
      <c r="BH214" s="68"/>
      <c r="BI214" s="68"/>
      <c r="BJ214" s="68"/>
      <c r="BK214" s="69"/>
      <c r="BL214" s="67"/>
      <c r="BM214" s="67"/>
    </row>
    <row r="215" spans="18:93" ht="18" customHeight="1">
      <c r="R215" s="63"/>
      <c r="S215" s="64"/>
      <c r="Y215" s="532"/>
      <c r="Z215" s="532"/>
      <c r="AA215" s="532"/>
      <c r="AD215" s="174"/>
      <c r="AE215" s="64"/>
      <c r="AK215" s="531"/>
      <c r="AL215" s="531"/>
      <c r="AM215" s="531"/>
      <c r="AO215" s="68"/>
      <c r="AP215" s="76"/>
      <c r="AQ215" s="77"/>
      <c r="AR215" s="68"/>
      <c r="AS215" s="68"/>
      <c r="AT215" s="68"/>
      <c r="AU215" s="68"/>
      <c r="AV215" s="68"/>
      <c r="AW215" s="533"/>
      <c r="AX215" s="533"/>
      <c r="AY215" s="533"/>
      <c r="AZ215" s="67"/>
      <c r="BA215" s="68"/>
      <c r="BB215" s="76"/>
      <c r="BC215" s="77"/>
      <c r="BD215" s="68"/>
      <c r="BE215" s="68"/>
      <c r="BF215" s="68"/>
      <c r="BG215" s="68"/>
      <c r="BH215" s="68"/>
      <c r="BI215" s="533"/>
      <c r="BJ215" s="533"/>
      <c r="BK215" s="533"/>
      <c r="BL215" s="67"/>
      <c r="BM215" s="67"/>
      <c r="BO215" s="531"/>
      <c r="BP215" s="531"/>
      <c r="BQ215" s="531"/>
      <c r="BT215" s="63"/>
      <c r="BU215" s="64"/>
      <c r="CA215" s="531"/>
      <c r="CB215" s="531"/>
      <c r="CC215" s="531"/>
      <c r="CF215" s="63"/>
      <c r="CG215" s="64"/>
      <c r="CM215" s="531"/>
      <c r="CN215" s="531"/>
      <c r="CO215" s="531"/>
    </row>
    <row r="216" spans="18:93" ht="18" customHeight="1">
      <c r="R216" s="63"/>
      <c r="V216" s="170"/>
      <c r="W216" s="170"/>
      <c r="X216" s="170"/>
      <c r="Y216" s="170"/>
      <c r="AD216" s="174"/>
      <c r="AG216" s="56"/>
      <c r="AH216" s="56"/>
      <c r="AI216" s="56"/>
      <c r="AJ216" s="56"/>
      <c r="AK216" s="56"/>
      <c r="AO216" s="68"/>
      <c r="AP216" s="76"/>
      <c r="AQ216" s="67"/>
      <c r="AR216" s="68"/>
      <c r="AS216" s="69"/>
      <c r="AT216" s="69"/>
      <c r="AU216" s="69"/>
      <c r="AV216" s="69"/>
      <c r="AW216" s="69"/>
      <c r="AX216" s="68"/>
      <c r="AY216" s="69"/>
      <c r="AZ216" s="67"/>
      <c r="BA216" s="69"/>
      <c r="BB216" s="76"/>
      <c r="BC216" s="67"/>
      <c r="BD216" s="68"/>
      <c r="BE216" s="69"/>
      <c r="BF216" s="69"/>
      <c r="BG216" s="69"/>
      <c r="BH216" s="69"/>
      <c r="BI216" s="69"/>
      <c r="BJ216" s="68"/>
      <c r="BK216" s="69"/>
      <c r="BL216" s="67"/>
      <c r="BM216" s="67"/>
      <c r="BN216" s="56"/>
      <c r="BO216" s="56"/>
      <c r="BT216" s="63"/>
      <c r="BW216" s="56"/>
      <c r="BX216" s="56"/>
      <c r="BY216" s="56"/>
      <c r="BZ216" s="56"/>
      <c r="CA216" s="56"/>
      <c r="CF216" s="63"/>
      <c r="CI216" s="56"/>
      <c r="CJ216" s="56"/>
      <c r="CK216" s="56"/>
      <c r="CL216" s="56"/>
      <c r="CM216" s="56"/>
    </row>
    <row r="217" spans="18:93" ht="18" customHeight="1">
      <c r="R217" s="63"/>
      <c r="V217" s="170"/>
      <c r="W217" s="170"/>
      <c r="X217" s="170"/>
      <c r="Y217" s="170"/>
      <c r="AD217" s="174"/>
      <c r="AG217" s="56"/>
      <c r="AH217" s="56"/>
      <c r="AI217" s="56"/>
      <c r="AJ217" s="56"/>
      <c r="AK217" s="56"/>
      <c r="AO217" s="68"/>
      <c r="AP217" s="76"/>
      <c r="AQ217" s="67"/>
      <c r="AR217" s="68"/>
      <c r="AS217" s="69"/>
      <c r="AT217" s="69"/>
      <c r="AU217" s="69"/>
      <c r="AV217" s="69"/>
      <c r="AW217" s="69"/>
      <c r="AX217" s="68"/>
      <c r="AY217" s="69"/>
      <c r="AZ217" s="67"/>
      <c r="BA217" s="69"/>
      <c r="BB217" s="76"/>
      <c r="BC217" s="67"/>
      <c r="BD217" s="68"/>
      <c r="BE217" s="69"/>
      <c r="BF217" s="69"/>
      <c r="BG217" s="69"/>
      <c r="BH217" s="69"/>
      <c r="BI217" s="69"/>
      <c r="BJ217" s="68"/>
      <c r="BK217" s="69"/>
      <c r="BL217" s="67"/>
      <c r="BM217" s="67"/>
      <c r="BN217" s="56"/>
      <c r="BO217" s="56"/>
      <c r="BT217" s="63"/>
      <c r="BW217" s="56"/>
      <c r="BX217" s="56"/>
      <c r="BY217" s="56"/>
      <c r="BZ217" s="56"/>
      <c r="CA217" s="56"/>
      <c r="CF217" s="63"/>
      <c r="CI217" s="56"/>
      <c r="CJ217" s="56"/>
      <c r="CK217" s="56"/>
      <c r="CL217" s="56"/>
      <c r="CM217" s="56"/>
    </row>
    <row r="218" spans="18:93" ht="18" customHeight="1">
      <c r="R218" s="63"/>
      <c r="V218" s="170"/>
      <c r="W218" s="170"/>
      <c r="X218" s="170"/>
      <c r="Y218" s="170"/>
      <c r="AD218" s="174"/>
      <c r="AG218" s="56"/>
      <c r="AH218" s="56"/>
      <c r="AI218" s="56"/>
      <c r="AJ218" s="56"/>
      <c r="AK218" s="56"/>
      <c r="AO218" s="68"/>
      <c r="AP218" s="76"/>
      <c r="AQ218" s="67"/>
      <c r="AR218" s="68"/>
      <c r="AS218" s="69"/>
      <c r="AT218" s="69"/>
      <c r="AU218" s="69"/>
      <c r="AV218" s="69"/>
      <c r="AW218" s="69"/>
      <c r="AX218" s="68"/>
      <c r="AY218" s="69"/>
      <c r="AZ218" s="67"/>
      <c r="BA218" s="69"/>
      <c r="BB218" s="76"/>
      <c r="BC218" s="67"/>
      <c r="BD218" s="68"/>
      <c r="BE218" s="69"/>
      <c r="BF218" s="69"/>
      <c r="BG218" s="69"/>
      <c r="BH218" s="69"/>
      <c r="BI218" s="69"/>
      <c r="BJ218" s="68"/>
      <c r="BK218" s="69"/>
      <c r="BL218" s="67"/>
      <c r="BM218" s="67"/>
      <c r="BN218" s="56"/>
      <c r="BO218" s="56"/>
      <c r="BT218" s="63"/>
      <c r="BW218" s="56"/>
      <c r="BX218" s="56"/>
      <c r="BY218" s="56"/>
      <c r="BZ218" s="56"/>
      <c r="CA218" s="56"/>
      <c r="CF218" s="63"/>
      <c r="CI218" s="56"/>
      <c r="CJ218" s="56"/>
      <c r="CK218" s="56"/>
      <c r="CL218" s="56"/>
      <c r="CM218" s="56"/>
    </row>
    <row r="219" spans="18:93" ht="18" customHeight="1">
      <c r="R219" s="63"/>
      <c r="V219" s="170"/>
      <c r="W219" s="170"/>
      <c r="X219" s="170"/>
      <c r="Y219" s="170"/>
      <c r="AD219" s="174"/>
      <c r="AG219" s="56"/>
      <c r="AH219" s="56"/>
      <c r="AI219" s="56"/>
      <c r="AJ219" s="56"/>
      <c r="AK219" s="56"/>
      <c r="AO219" s="68"/>
      <c r="AP219" s="76"/>
      <c r="AQ219" s="67"/>
      <c r="AR219" s="68"/>
      <c r="AS219" s="69"/>
      <c r="AT219" s="69"/>
      <c r="AU219" s="69"/>
      <c r="AV219" s="69"/>
      <c r="AW219" s="69"/>
      <c r="AX219" s="68"/>
      <c r="AY219" s="69"/>
      <c r="AZ219" s="67"/>
      <c r="BA219" s="69"/>
      <c r="BB219" s="76"/>
      <c r="BC219" s="67"/>
      <c r="BD219" s="68"/>
      <c r="BE219" s="69"/>
      <c r="BF219" s="69"/>
      <c r="BG219" s="69"/>
      <c r="BH219" s="69"/>
      <c r="BI219" s="69"/>
      <c r="BJ219" s="68"/>
      <c r="BK219" s="69"/>
      <c r="BL219" s="67"/>
      <c r="BM219" s="67"/>
      <c r="BN219" s="56"/>
      <c r="BO219" s="56"/>
      <c r="BT219" s="63"/>
      <c r="BW219" s="56"/>
      <c r="BX219" s="56"/>
      <c r="BY219" s="56"/>
      <c r="BZ219" s="56"/>
      <c r="CA219" s="56"/>
      <c r="CF219" s="63"/>
      <c r="CI219" s="56"/>
      <c r="CJ219" s="56"/>
      <c r="CK219" s="56"/>
      <c r="CL219" s="56"/>
      <c r="CM219" s="56"/>
    </row>
    <row r="220" spans="18:93" ht="18" customHeight="1">
      <c r="AO220" s="68"/>
      <c r="AP220" s="67"/>
      <c r="AQ220" s="67"/>
      <c r="AR220" s="68"/>
      <c r="AS220" s="68"/>
      <c r="AT220" s="68"/>
      <c r="AU220" s="68"/>
      <c r="AV220" s="68"/>
      <c r="AW220" s="68"/>
      <c r="AX220" s="68"/>
      <c r="AY220" s="69"/>
      <c r="AZ220" s="67"/>
      <c r="BA220" s="68"/>
      <c r="BB220" s="67"/>
      <c r="BC220" s="67"/>
      <c r="BD220" s="68"/>
      <c r="BE220" s="68"/>
      <c r="BF220" s="68"/>
      <c r="BG220" s="68"/>
      <c r="BH220" s="68"/>
      <c r="BI220" s="68"/>
      <c r="BJ220" s="68"/>
      <c r="BK220" s="69"/>
      <c r="BL220" s="67"/>
      <c r="BM220" s="67"/>
    </row>
    <row r="221" spans="18:93" ht="18" customHeight="1">
      <c r="R221" s="63"/>
      <c r="S221" s="64"/>
      <c r="Y221" s="532"/>
      <c r="Z221" s="532"/>
      <c r="AA221" s="532"/>
      <c r="AD221" s="174"/>
      <c r="AE221" s="64"/>
      <c r="AK221" s="531"/>
      <c r="AL221" s="531"/>
      <c r="AM221" s="531"/>
      <c r="AO221" s="68"/>
      <c r="AP221" s="76"/>
      <c r="AQ221" s="77"/>
      <c r="AR221" s="68"/>
      <c r="AS221" s="68"/>
      <c r="AT221" s="68"/>
      <c r="AU221" s="68"/>
      <c r="AV221" s="68"/>
      <c r="AW221" s="533"/>
      <c r="AX221" s="533"/>
      <c r="AY221" s="533"/>
      <c r="AZ221" s="67"/>
      <c r="BA221" s="68"/>
      <c r="BB221" s="76"/>
      <c r="BC221" s="77"/>
      <c r="BD221" s="68"/>
      <c r="BE221" s="68"/>
      <c r="BF221" s="68"/>
      <c r="BG221" s="68"/>
      <c r="BH221" s="68"/>
      <c r="BI221" s="533"/>
      <c r="BJ221" s="533"/>
      <c r="BK221" s="533"/>
      <c r="BL221" s="67"/>
      <c r="BM221" s="67"/>
      <c r="BO221" s="531"/>
      <c r="BP221" s="531"/>
      <c r="BQ221" s="531"/>
      <c r="BT221" s="63"/>
      <c r="BU221" s="64"/>
      <c r="CA221" s="531"/>
      <c r="CB221" s="531"/>
      <c r="CC221" s="531"/>
      <c r="CF221" s="63"/>
      <c r="CG221" s="64"/>
      <c r="CM221" s="531"/>
      <c r="CN221" s="531"/>
      <c r="CO221" s="531"/>
    </row>
    <row r="222" spans="18:93" ht="18" customHeight="1">
      <c r="R222" s="63"/>
      <c r="V222" s="170"/>
      <c r="W222" s="170"/>
      <c r="X222" s="170"/>
      <c r="Y222" s="170"/>
      <c r="AD222" s="174"/>
      <c r="AG222" s="56"/>
      <c r="AH222" s="56"/>
      <c r="AI222" s="56"/>
      <c r="AJ222" s="56"/>
      <c r="AK222" s="56"/>
      <c r="AO222" s="68"/>
      <c r="AP222" s="76"/>
      <c r="AQ222" s="67"/>
      <c r="AR222" s="68"/>
      <c r="AS222" s="69"/>
      <c r="AT222" s="69"/>
      <c r="AU222" s="69"/>
      <c r="AV222" s="69"/>
      <c r="AW222" s="69"/>
      <c r="AX222" s="68"/>
      <c r="AY222" s="69"/>
      <c r="AZ222" s="67"/>
      <c r="BA222" s="69"/>
      <c r="BB222" s="76"/>
      <c r="BC222" s="67"/>
      <c r="BD222" s="68"/>
      <c r="BE222" s="69"/>
      <c r="BF222" s="69"/>
      <c r="BG222" s="69"/>
      <c r="BH222" s="69"/>
      <c r="BI222" s="69"/>
      <c r="BJ222" s="68"/>
      <c r="BK222" s="69"/>
      <c r="BL222" s="67"/>
      <c r="BM222" s="67"/>
      <c r="BN222" s="56"/>
      <c r="BO222" s="56"/>
      <c r="BT222" s="63"/>
      <c r="BW222" s="56"/>
      <c r="BX222" s="56"/>
      <c r="BY222" s="56"/>
      <c r="BZ222" s="56"/>
      <c r="CA222" s="56"/>
      <c r="CF222" s="63"/>
      <c r="CI222" s="56"/>
      <c r="CJ222" s="56"/>
      <c r="CK222" s="56"/>
      <c r="CL222" s="56"/>
      <c r="CM222" s="56"/>
    </row>
    <row r="223" spans="18:93" ht="18" customHeight="1">
      <c r="R223" s="63"/>
      <c r="V223" s="170"/>
      <c r="W223" s="170"/>
      <c r="X223" s="170"/>
      <c r="Y223" s="170"/>
      <c r="AD223" s="174"/>
      <c r="AG223" s="56"/>
      <c r="AH223" s="56"/>
      <c r="AI223" s="56"/>
      <c r="AJ223" s="56"/>
      <c r="AK223" s="56"/>
      <c r="AO223" s="68"/>
      <c r="AP223" s="76"/>
      <c r="AQ223" s="67"/>
      <c r="AR223" s="68"/>
      <c r="AS223" s="69"/>
      <c r="AT223" s="69"/>
      <c r="AU223" s="69"/>
      <c r="AV223" s="69"/>
      <c r="AW223" s="69"/>
      <c r="AX223" s="68"/>
      <c r="AY223" s="69"/>
      <c r="AZ223" s="67"/>
      <c r="BA223" s="69"/>
      <c r="BB223" s="76"/>
      <c r="BC223" s="67"/>
      <c r="BD223" s="68"/>
      <c r="BE223" s="69"/>
      <c r="BF223" s="69"/>
      <c r="BG223" s="69"/>
      <c r="BH223" s="69"/>
      <c r="BI223" s="69"/>
      <c r="BJ223" s="68"/>
      <c r="BK223" s="69"/>
      <c r="BL223" s="67"/>
      <c r="BM223" s="67"/>
      <c r="BN223" s="56"/>
      <c r="BO223" s="56"/>
      <c r="BT223" s="63"/>
      <c r="BW223" s="56"/>
      <c r="BX223" s="56"/>
      <c r="BY223" s="56"/>
      <c r="BZ223" s="56"/>
      <c r="CA223" s="56"/>
      <c r="CF223" s="63"/>
      <c r="CI223" s="56"/>
      <c r="CJ223" s="56"/>
      <c r="CK223" s="56"/>
      <c r="CL223" s="56"/>
      <c r="CM223" s="56"/>
    </row>
    <row r="224" spans="18:93" ht="18" customHeight="1">
      <c r="R224" s="63"/>
      <c r="V224" s="170"/>
      <c r="W224" s="170"/>
      <c r="X224" s="170"/>
      <c r="Y224" s="170"/>
      <c r="AD224" s="174"/>
      <c r="AG224" s="56"/>
      <c r="AH224" s="56"/>
      <c r="AI224" s="56"/>
      <c r="AJ224" s="56"/>
      <c r="AK224" s="56"/>
      <c r="AO224" s="68"/>
      <c r="AP224" s="76"/>
      <c r="AQ224" s="67"/>
      <c r="AR224" s="68"/>
      <c r="AS224" s="69"/>
      <c r="AT224" s="69"/>
      <c r="AU224" s="69"/>
      <c r="AV224" s="69"/>
      <c r="AW224" s="69"/>
      <c r="AX224" s="68"/>
      <c r="AY224" s="69"/>
      <c r="AZ224" s="67"/>
      <c r="BA224" s="69"/>
      <c r="BB224" s="76"/>
      <c r="BC224" s="67"/>
      <c r="BD224" s="68"/>
      <c r="BE224" s="69"/>
      <c r="BF224" s="69"/>
      <c r="BG224" s="69"/>
      <c r="BH224" s="69"/>
      <c r="BI224" s="69"/>
      <c r="BJ224" s="68"/>
      <c r="BK224" s="69"/>
      <c r="BL224" s="67"/>
      <c r="BM224" s="67"/>
      <c r="BN224" s="56"/>
      <c r="BO224" s="56"/>
      <c r="BT224" s="63"/>
      <c r="BW224" s="56"/>
      <c r="BX224" s="56"/>
      <c r="BY224" s="56"/>
      <c r="BZ224" s="56"/>
      <c r="CA224" s="56"/>
      <c r="CF224" s="63"/>
      <c r="CI224" s="56"/>
      <c r="CJ224" s="56"/>
      <c r="CK224" s="56"/>
      <c r="CL224" s="56"/>
      <c r="CM224" s="56"/>
    </row>
    <row r="225" spans="18:93" ht="18" customHeight="1">
      <c r="R225" s="63"/>
      <c r="V225" s="170"/>
      <c r="W225" s="170"/>
      <c r="X225" s="170"/>
      <c r="Y225" s="170"/>
      <c r="AD225" s="174"/>
      <c r="AG225" s="56"/>
      <c r="AH225" s="56"/>
      <c r="AI225" s="56"/>
      <c r="AJ225" s="56"/>
      <c r="AK225" s="56"/>
      <c r="AO225" s="68"/>
      <c r="AP225" s="76"/>
      <c r="AQ225" s="67"/>
      <c r="AR225" s="68"/>
      <c r="AS225" s="69"/>
      <c r="AT225" s="69"/>
      <c r="AU225" s="69"/>
      <c r="AV225" s="69"/>
      <c r="AW225" s="69"/>
      <c r="AX225" s="68"/>
      <c r="AY225" s="69"/>
      <c r="AZ225" s="67"/>
      <c r="BA225" s="69"/>
      <c r="BB225" s="76"/>
      <c r="BC225" s="67"/>
      <c r="BD225" s="68"/>
      <c r="BE225" s="69"/>
      <c r="BF225" s="69"/>
      <c r="BG225" s="69"/>
      <c r="BH225" s="69"/>
      <c r="BI225" s="69"/>
      <c r="BJ225" s="68"/>
      <c r="BK225" s="69"/>
      <c r="BL225" s="67"/>
      <c r="BM225" s="67"/>
      <c r="BN225" s="56"/>
      <c r="BO225" s="56"/>
      <c r="BT225" s="63"/>
      <c r="BW225" s="56"/>
      <c r="BX225" s="56"/>
      <c r="BY225" s="56"/>
      <c r="BZ225" s="56"/>
      <c r="CA225" s="56"/>
      <c r="CF225" s="63"/>
      <c r="CI225" s="56"/>
      <c r="CJ225" s="56"/>
      <c r="CK225" s="56"/>
      <c r="CL225" s="56"/>
      <c r="CM225" s="56"/>
    </row>
    <row r="226" spans="18:93" ht="18" customHeight="1">
      <c r="AO226" s="68"/>
      <c r="AP226" s="67"/>
      <c r="AQ226" s="67"/>
      <c r="AR226" s="68"/>
      <c r="AS226" s="68"/>
      <c r="AT226" s="68"/>
      <c r="AU226" s="68"/>
      <c r="AV226" s="68"/>
      <c r="AW226" s="68"/>
      <c r="AX226" s="68"/>
      <c r="AY226" s="69"/>
      <c r="AZ226" s="67"/>
      <c r="BA226" s="68"/>
      <c r="BB226" s="67"/>
      <c r="BC226" s="67"/>
      <c r="BD226" s="68"/>
      <c r="BE226" s="68"/>
      <c r="BF226" s="68"/>
      <c r="BG226" s="68"/>
      <c r="BH226" s="68"/>
      <c r="BI226" s="68"/>
      <c r="BJ226" s="68"/>
      <c r="BK226" s="69"/>
      <c r="BL226" s="67"/>
      <c r="BM226" s="67"/>
    </row>
    <row r="227" spans="18:93" ht="18" customHeight="1">
      <c r="R227" s="63"/>
      <c r="S227" s="64"/>
      <c r="Y227" s="532"/>
      <c r="Z227" s="532"/>
      <c r="AA227" s="532"/>
      <c r="AD227" s="174"/>
      <c r="AE227" s="64"/>
      <c r="AK227" s="531"/>
      <c r="AL227" s="531"/>
      <c r="AM227" s="531"/>
      <c r="AO227" s="68"/>
      <c r="AP227" s="76"/>
      <c r="AQ227" s="77"/>
      <c r="AR227" s="68"/>
      <c r="AS227" s="68"/>
      <c r="AT227" s="68"/>
      <c r="AU227" s="68"/>
      <c r="AV227" s="68"/>
      <c r="AW227" s="533"/>
      <c r="AX227" s="533"/>
      <c r="AY227" s="533"/>
      <c r="AZ227" s="67"/>
      <c r="BA227" s="68"/>
      <c r="BB227" s="76"/>
      <c r="BC227" s="77"/>
      <c r="BD227" s="68"/>
      <c r="BE227" s="68"/>
      <c r="BF227" s="68"/>
      <c r="BG227" s="68"/>
      <c r="BH227" s="68"/>
      <c r="BI227" s="533"/>
      <c r="BJ227" s="533"/>
      <c r="BK227" s="533"/>
      <c r="BL227" s="67"/>
      <c r="BM227" s="67"/>
      <c r="BO227" s="531"/>
      <c r="BP227" s="531"/>
      <c r="BQ227" s="531"/>
      <c r="BT227" s="63"/>
      <c r="BU227" s="64"/>
      <c r="CA227" s="531"/>
      <c r="CB227" s="531"/>
      <c r="CC227" s="531"/>
      <c r="CF227" s="63"/>
      <c r="CG227" s="64"/>
      <c r="CM227" s="531"/>
      <c r="CN227" s="531"/>
      <c r="CO227" s="531"/>
    </row>
    <row r="228" spans="18:93" ht="18" customHeight="1">
      <c r="R228" s="63"/>
      <c r="V228" s="170"/>
      <c r="W228" s="170"/>
      <c r="X228" s="170"/>
      <c r="Y228" s="170"/>
      <c r="AD228" s="174"/>
      <c r="AG228" s="56"/>
      <c r="AH228" s="56"/>
      <c r="AI228" s="56"/>
      <c r="AJ228" s="56"/>
      <c r="AK228" s="56"/>
      <c r="AO228" s="68"/>
      <c r="AP228" s="76"/>
      <c r="AQ228" s="67"/>
      <c r="AR228" s="68"/>
      <c r="AS228" s="69"/>
      <c r="AT228" s="69"/>
      <c r="AU228" s="69"/>
      <c r="AV228" s="69"/>
      <c r="AW228" s="69"/>
      <c r="AX228" s="68"/>
      <c r="AY228" s="69"/>
      <c r="AZ228" s="67"/>
      <c r="BA228" s="69"/>
      <c r="BB228" s="76"/>
      <c r="BC228" s="67"/>
      <c r="BD228" s="68"/>
      <c r="BE228" s="69"/>
      <c r="BF228" s="69"/>
      <c r="BG228" s="69"/>
      <c r="BH228" s="69"/>
      <c r="BI228" s="69"/>
      <c r="BJ228" s="68"/>
      <c r="BK228" s="69"/>
      <c r="BL228" s="67"/>
      <c r="BM228" s="67"/>
      <c r="BN228" s="56"/>
      <c r="BO228" s="56"/>
      <c r="BT228" s="63"/>
      <c r="BW228" s="56"/>
      <c r="BX228" s="56"/>
      <c r="BY228" s="56"/>
      <c r="BZ228" s="56"/>
      <c r="CA228" s="56"/>
      <c r="CF228" s="63"/>
      <c r="CI228" s="56"/>
      <c r="CJ228" s="56"/>
      <c r="CK228" s="56"/>
      <c r="CL228" s="56"/>
      <c r="CM228" s="56"/>
    </row>
    <row r="229" spans="18:93" ht="18" customHeight="1">
      <c r="R229" s="63"/>
      <c r="V229" s="170"/>
      <c r="W229" s="170"/>
      <c r="X229" s="170"/>
      <c r="Y229" s="170"/>
      <c r="AD229" s="174"/>
      <c r="AG229" s="56"/>
      <c r="AH229" s="56"/>
      <c r="AI229" s="56"/>
      <c r="AJ229" s="56"/>
      <c r="AK229" s="56"/>
      <c r="AO229" s="68"/>
      <c r="AP229" s="76"/>
      <c r="AQ229" s="67"/>
      <c r="AR229" s="68"/>
      <c r="AS229" s="69"/>
      <c r="AT229" s="69"/>
      <c r="AU229" s="69"/>
      <c r="AV229" s="69"/>
      <c r="AW229" s="69"/>
      <c r="AX229" s="68"/>
      <c r="AY229" s="69"/>
      <c r="AZ229" s="67"/>
      <c r="BA229" s="69"/>
      <c r="BB229" s="76"/>
      <c r="BC229" s="67"/>
      <c r="BD229" s="68"/>
      <c r="BE229" s="69"/>
      <c r="BF229" s="69"/>
      <c r="BG229" s="69"/>
      <c r="BH229" s="69"/>
      <c r="BI229" s="69"/>
      <c r="BJ229" s="68"/>
      <c r="BK229" s="69"/>
      <c r="BL229" s="67"/>
      <c r="BM229" s="67"/>
      <c r="BN229" s="56"/>
      <c r="BO229" s="56"/>
      <c r="BT229" s="63"/>
      <c r="BW229" s="56"/>
      <c r="BX229" s="56"/>
      <c r="BY229" s="56"/>
      <c r="BZ229" s="56"/>
      <c r="CA229" s="56"/>
      <c r="CF229" s="63"/>
      <c r="CI229" s="56"/>
      <c r="CJ229" s="56"/>
      <c r="CK229" s="56"/>
      <c r="CL229" s="56"/>
      <c r="CM229" s="56"/>
    </row>
    <row r="230" spans="18:93" ht="18" customHeight="1">
      <c r="R230" s="63"/>
      <c r="V230" s="170"/>
      <c r="W230" s="170"/>
      <c r="X230" s="170"/>
      <c r="Y230" s="170"/>
      <c r="AD230" s="174"/>
      <c r="AG230" s="56"/>
      <c r="AH230" s="56"/>
      <c r="AI230" s="56"/>
      <c r="AJ230" s="56"/>
      <c r="AK230" s="56"/>
      <c r="AO230" s="68"/>
      <c r="AP230" s="76"/>
      <c r="AQ230" s="67"/>
      <c r="AR230" s="68"/>
      <c r="AS230" s="69"/>
      <c r="AT230" s="69"/>
      <c r="AU230" s="69"/>
      <c r="AV230" s="69"/>
      <c r="AW230" s="69"/>
      <c r="AX230" s="68"/>
      <c r="AY230" s="69"/>
      <c r="AZ230" s="67"/>
      <c r="BA230" s="69"/>
      <c r="BB230" s="76"/>
      <c r="BC230" s="67"/>
      <c r="BD230" s="68"/>
      <c r="BE230" s="69"/>
      <c r="BF230" s="69"/>
      <c r="BG230" s="69"/>
      <c r="BH230" s="69"/>
      <c r="BI230" s="69"/>
      <c r="BJ230" s="68"/>
      <c r="BK230" s="69"/>
      <c r="BL230" s="67"/>
      <c r="BM230" s="67"/>
      <c r="BN230" s="56"/>
      <c r="BO230" s="56"/>
      <c r="BT230" s="63"/>
      <c r="BW230" s="56"/>
      <c r="BX230" s="56"/>
      <c r="BY230" s="56"/>
      <c r="BZ230" s="56"/>
      <c r="CA230" s="56"/>
      <c r="CF230" s="63"/>
      <c r="CI230" s="56"/>
      <c r="CJ230" s="56"/>
      <c r="CK230" s="56"/>
      <c r="CL230" s="56"/>
      <c r="CM230" s="56"/>
    </row>
    <row r="231" spans="18:93" ht="18" customHeight="1">
      <c r="R231" s="63"/>
      <c r="V231" s="170"/>
      <c r="W231" s="170"/>
      <c r="X231" s="170"/>
      <c r="Y231" s="170"/>
      <c r="AD231" s="174"/>
      <c r="AG231" s="56"/>
      <c r="AH231" s="56"/>
      <c r="AI231" s="56"/>
      <c r="AJ231" s="56"/>
      <c r="AK231" s="56"/>
      <c r="AO231" s="68"/>
      <c r="AP231" s="76"/>
      <c r="AQ231" s="67"/>
      <c r="AR231" s="68"/>
      <c r="AS231" s="69"/>
      <c r="AT231" s="69"/>
      <c r="AU231" s="69"/>
      <c r="AV231" s="69"/>
      <c r="AW231" s="69"/>
      <c r="AX231" s="68"/>
      <c r="AY231" s="69"/>
      <c r="AZ231" s="67"/>
      <c r="BA231" s="69"/>
      <c r="BB231" s="76"/>
      <c r="BC231" s="67"/>
      <c r="BD231" s="68"/>
      <c r="BE231" s="69"/>
      <c r="BF231" s="69"/>
      <c r="BG231" s="69"/>
      <c r="BH231" s="69"/>
      <c r="BI231" s="69"/>
      <c r="BJ231" s="68"/>
      <c r="BK231" s="69"/>
      <c r="BL231" s="67"/>
      <c r="BM231" s="67"/>
      <c r="BN231" s="56"/>
      <c r="BO231" s="56"/>
      <c r="BT231" s="63"/>
      <c r="BW231" s="56"/>
      <c r="BX231" s="56"/>
      <c r="BY231" s="56"/>
      <c r="BZ231" s="56"/>
      <c r="CA231" s="56"/>
      <c r="CF231" s="63"/>
      <c r="CI231" s="56"/>
      <c r="CJ231" s="56"/>
      <c r="CK231" s="56"/>
      <c r="CL231" s="56"/>
      <c r="CM231" s="56"/>
    </row>
    <row r="232" spans="18:93" ht="18" customHeight="1">
      <c r="AO232" s="68"/>
      <c r="AP232" s="67"/>
      <c r="AQ232" s="67"/>
      <c r="AR232" s="68"/>
      <c r="AS232" s="68"/>
      <c r="AT232" s="68"/>
      <c r="AU232" s="68"/>
      <c r="AV232" s="68"/>
      <c r="AW232" s="68"/>
      <c r="AX232" s="68"/>
      <c r="AY232" s="69"/>
      <c r="AZ232" s="67"/>
      <c r="BA232" s="68"/>
      <c r="BB232" s="67"/>
      <c r="BC232" s="67"/>
      <c r="BD232" s="68"/>
      <c r="BE232" s="68"/>
      <c r="BF232" s="68"/>
      <c r="BG232" s="68"/>
      <c r="BH232" s="68"/>
      <c r="BI232" s="68"/>
      <c r="BJ232" s="68"/>
      <c r="BK232" s="69"/>
      <c r="BL232" s="67"/>
      <c r="BM232" s="67"/>
    </row>
    <row r="233" spans="18:93" ht="18" customHeight="1">
      <c r="R233" s="63"/>
      <c r="S233" s="64"/>
      <c r="Y233" s="532"/>
      <c r="Z233" s="532"/>
      <c r="AA233" s="532"/>
      <c r="AD233" s="174"/>
      <c r="AE233" s="64"/>
      <c r="AK233" s="531"/>
      <c r="AL233" s="531"/>
      <c r="AM233" s="531"/>
      <c r="AO233" s="68"/>
      <c r="AP233" s="76"/>
      <c r="AQ233" s="77"/>
      <c r="AR233" s="68"/>
      <c r="AS233" s="68"/>
      <c r="AT233" s="68"/>
      <c r="AU233" s="68"/>
      <c r="AV233" s="68"/>
      <c r="AW233" s="533"/>
      <c r="AX233" s="533"/>
      <c r="AY233" s="533"/>
      <c r="AZ233" s="67"/>
      <c r="BA233" s="68"/>
      <c r="BB233" s="76"/>
      <c r="BC233" s="77"/>
      <c r="BD233" s="68"/>
      <c r="BE233" s="68"/>
      <c r="BF233" s="68"/>
      <c r="BG233" s="68"/>
      <c r="BH233" s="68"/>
      <c r="BI233" s="533"/>
      <c r="BJ233" s="533"/>
      <c r="BK233" s="533"/>
      <c r="BL233" s="67"/>
      <c r="BM233" s="67"/>
      <c r="BO233" s="531"/>
      <c r="BP233" s="531"/>
      <c r="BQ233" s="531"/>
      <c r="BT233" s="63"/>
      <c r="BU233" s="64"/>
      <c r="CA233" s="531"/>
      <c r="CB233" s="531"/>
      <c r="CC233" s="531"/>
      <c r="CF233" s="63"/>
      <c r="CG233" s="64"/>
      <c r="CM233" s="531"/>
      <c r="CN233" s="531"/>
      <c r="CO233" s="531"/>
    </row>
    <row r="234" spans="18:93" ht="18" customHeight="1">
      <c r="R234" s="63"/>
      <c r="V234" s="170"/>
      <c r="W234" s="170"/>
      <c r="X234" s="170"/>
      <c r="Y234" s="170"/>
      <c r="AD234" s="174"/>
      <c r="AG234" s="56"/>
      <c r="AH234" s="56"/>
      <c r="AI234" s="56"/>
      <c r="AJ234" s="56"/>
      <c r="AK234" s="56"/>
      <c r="AO234" s="68"/>
      <c r="AP234" s="76"/>
      <c r="AQ234" s="67"/>
      <c r="AR234" s="68"/>
      <c r="AS234" s="69"/>
      <c r="AT234" s="69"/>
      <c r="AU234" s="69"/>
      <c r="AV234" s="69"/>
      <c r="AW234" s="69"/>
      <c r="AX234" s="68"/>
      <c r="AY234" s="69"/>
      <c r="AZ234" s="67"/>
      <c r="BA234" s="69"/>
      <c r="BB234" s="76"/>
      <c r="BC234" s="67"/>
      <c r="BD234" s="68"/>
      <c r="BE234" s="69"/>
      <c r="BF234" s="69"/>
      <c r="BG234" s="69"/>
      <c r="BH234" s="69"/>
      <c r="BI234" s="69"/>
      <c r="BJ234" s="68"/>
      <c r="BK234" s="69"/>
      <c r="BL234" s="67"/>
      <c r="BM234" s="67"/>
      <c r="BN234" s="56"/>
      <c r="BO234" s="56"/>
      <c r="BT234" s="63"/>
      <c r="BW234" s="56"/>
      <c r="BX234" s="56"/>
      <c r="BY234" s="56"/>
      <c r="BZ234" s="56"/>
      <c r="CA234" s="56"/>
      <c r="CF234" s="63"/>
      <c r="CI234" s="56"/>
      <c r="CJ234" s="56"/>
      <c r="CK234" s="56"/>
      <c r="CL234" s="56"/>
      <c r="CM234" s="56"/>
    </row>
    <row r="235" spans="18:93" ht="18" customHeight="1">
      <c r="R235" s="63"/>
      <c r="V235" s="170"/>
      <c r="W235" s="170"/>
      <c r="X235" s="170"/>
      <c r="Y235" s="170"/>
      <c r="AD235" s="174"/>
      <c r="AG235" s="56"/>
      <c r="AH235" s="56"/>
      <c r="AI235" s="56"/>
      <c r="AJ235" s="56"/>
      <c r="AK235" s="56"/>
      <c r="AO235" s="68"/>
      <c r="AP235" s="76"/>
      <c r="AQ235" s="67"/>
      <c r="AR235" s="68"/>
      <c r="AS235" s="69"/>
      <c r="AT235" s="69"/>
      <c r="AU235" s="69"/>
      <c r="AV235" s="69"/>
      <c r="AW235" s="69"/>
      <c r="AX235" s="68"/>
      <c r="AY235" s="69"/>
      <c r="AZ235" s="67"/>
      <c r="BA235" s="69"/>
      <c r="BB235" s="76"/>
      <c r="BC235" s="67"/>
      <c r="BD235" s="68"/>
      <c r="BE235" s="69"/>
      <c r="BF235" s="69"/>
      <c r="BG235" s="69"/>
      <c r="BH235" s="69"/>
      <c r="BI235" s="69"/>
      <c r="BJ235" s="68"/>
      <c r="BK235" s="69"/>
      <c r="BL235" s="67"/>
      <c r="BM235" s="67"/>
      <c r="BN235" s="56"/>
      <c r="BO235" s="56"/>
      <c r="BT235" s="63"/>
      <c r="BW235" s="56"/>
      <c r="BX235" s="56"/>
      <c r="BY235" s="56"/>
      <c r="BZ235" s="56"/>
      <c r="CA235" s="56"/>
      <c r="CF235" s="63"/>
      <c r="CI235" s="56"/>
      <c r="CJ235" s="56"/>
      <c r="CK235" s="56"/>
      <c r="CL235" s="56"/>
      <c r="CM235" s="56"/>
    </row>
    <row r="236" spans="18:93" ht="18" customHeight="1">
      <c r="R236" s="63"/>
      <c r="V236" s="170"/>
      <c r="W236" s="170"/>
      <c r="X236" s="170"/>
      <c r="Y236" s="170"/>
      <c r="AD236" s="174"/>
      <c r="AG236" s="56"/>
      <c r="AH236" s="56"/>
      <c r="AI236" s="56"/>
      <c r="AJ236" s="56"/>
      <c r="AK236" s="56"/>
      <c r="AO236" s="68"/>
      <c r="AP236" s="76"/>
      <c r="AQ236" s="67"/>
      <c r="AR236" s="68"/>
      <c r="AS236" s="69"/>
      <c r="AT236" s="69"/>
      <c r="AU236" s="69"/>
      <c r="AV236" s="69"/>
      <c r="AW236" s="69"/>
      <c r="AX236" s="68"/>
      <c r="AY236" s="69"/>
      <c r="AZ236" s="67"/>
      <c r="BA236" s="69"/>
      <c r="BB236" s="76"/>
      <c r="BC236" s="67"/>
      <c r="BD236" s="68"/>
      <c r="BE236" s="69"/>
      <c r="BF236" s="69"/>
      <c r="BG236" s="69"/>
      <c r="BH236" s="69"/>
      <c r="BI236" s="69"/>
      <c r="BJ236" s="68"/>
      <c r="BK236" s="69"/>
      <c r="BL236" s="67"/>
      <c r="BM236" s="67"/>
      <c r="BN236" s="56"/>
      <c r="BO236" s="56"/>
      <c r="BT236" s="63"/>
      <c r="BW236" s="56"/>
      <c r="BX236" s="56"/>
      <c r="BY236" s="56"/>
      <c r="BZ236" s="56"/>
      <c r="CA236" s="56"/>
      <c r="CF236" s="63"/>
      <c r="CI236" s="56"/>
      <c r="CJ236" s="56"/>
      <c r="CK236" s="56"/>
      <c r="CL236" s="56"/>
      <c r="CM236" s="56"/>
    </row>
    <row r="237" spans="18:93" ht="18" customHeight="1">
      <c r="R237" s="63"/>
      <c r="V237" s="170"/>
      <c r="W237" s="170"/>
      <c r="X237" s="170"/>
      <c r="Y237" s="170"/>
      <c r="AD237" s="174"/>
      <c r="AG237" s="56"/>
      <c r="AH237" s="56"/>
      <c r="AI237" s="56"/>
      <c r="AJ237" s="56"/>
      <c r="AK237" s="56"/>
      <c r="AO237" s="68"/>
      <c r="AP237" s="76"/>
      <c r="AQ237" s="67"/>
      <c r="AR237" s="68"/>
      <c r="AS237" s="69"/>
      <c r="AT237" s="69"/>
      <c r="AU237" s="69"/>
      <c r="AV237" s="69"/>
      <c r="AW237" s="69"/>
      <c r="AX237" s="68"/>
      <c r="AY237" s="69"/>
      <c r="AZ237" s="67"/>
      <c r="BA237" s="69"/>
      <c r="BB237" s="76"/>
      <c r="BC237" s="67"/>
      <c r="BD237" s="68"/>
      <c r="BE237" s="69"/>
      <c r="BF237" s="69"/>
      <c r="BG237" s="69"/>
      <c r="BH237" s="69"/>
      <c r="BI237" s="69"/>
      <c r="BJ237" s="68"/>
      <c r="BK237" s="69"/>
      <c r="BL237" s="67"/>
      <c r="BM237" s="67"/>
      <c r="BN237" s="56"/>
      <c r="BO237" s="56"/>
      <c r="BT237" s="63"/>
      <c r="BW237" s="56"/>
      <c r="BX237" s="56"/>
      <c r="BY237" s="56"/>
      <c r="BZ237" s="56"/>
      <c r="CA237" s="56"/>
      <c r="CF237" s="63"/>
      <c r="CI237" s="56"/>
      <c r="CJ237" s="56"/>
      <c r="CK237" s="56"/>
      <c r="CL237" s="56"/>
      <c r="CM237" s="56"/>
    </row>
    <row r="238" spans="18:93" ht="18" customHeight="1">
      <c r="AO238" s="68"/>
      <c r="AP238" s="67"/>
      <c r="AQ238" s="67"/>
      <c r="AR238" s="68"/>
      <c r="AS238" s="68"/>
      <c r="AT238" s="68"/>
      <c r="AU238" s="68"/>
      <c r="AV238" s="68"/>
      <c r="AW238" s="68"/>
      <c r="AX238" s="68"/>
      <c r="AY238" s="69"/>
      <c r="AZ238" s="67"/>
      <c r="BA238" s="68"/>
      <c r="BB238" s="67"/>
      <c r="BC238" s="67"/>
      <c r="BD238" s="68"/>
      <c r="BE238" s="68"/>
      <c r="BF238" s="68"/>
      <c r="BG238" s="68"/>
      <c r="BH238" s="68"/>
      <c r="BI238" s="68"/>
      <c r="BJ238" s="68"/>
      <c r="BK238" s="69"/>
      <c r="BL238" s="67"/>
      <c r="BM238" s="67"/>
    </row>
    <row r="239" spans="18:93" ht="18" customHeight="1">
      <c r="R239" s="63"/>
      <c r="S239" s="64"/>
      <c r="Y239" s="532"/>
      <c r="Z239" s="532"/>
      <c r="AA239" s="532"/>
      <c r="AD239" s="174"/>
      <c r="AE239" s="64"/>
      <c r="AK239" s="531"/>
      <c r="AL239" s="531"/>
      <c r="AM239" s="531"/>
      <c r="AO239" s="68"/>
      <c r="AP239" s="76"/>
      <c r="AQ239" s="77"/>
      <c r="AR239" s="68"/>
      <c r="AS239" s="68"/>
      <c r="AT239" s="68"/>
      <c r="AU239" s="68"/>
      <c r="AV239" s="68"/>
      <c r="AW239" s="533"/>
      <c r="AX239" s="533"/>
      <c r="AY239" s="533"/>
      <c r="AZ239" s="67"/>
      <c r="BA239" s="68"/>
      <c r="BB239" s="76"/>
      <c r="BC239" s="77"/>
      <c r="BD239" s="68"/>
      <c r="BE239" s="68"/>
      <c r="BF239" s="68"/>
      <c r="BG239" s="68"/>
      <c r="BH239" s="68"/>
      <c r="BI239" s="533"/>
      <c r="BJ239" s="533"/>
      <c r="BK239" s="533"/>
      <c r="BL239" s="67"/>
      <c r="BM239" s="67"/>
      <c r="BO239" s="531"/>
      <c r="BP239" s="531"/>
      <c r="BQ239" s="531"/>
      <c r="BT239" s="63"/>
      <c r="BU239" s="64"/>
      <c r="CA239" s="531"/>
      <c r="CB239" s="531"/>
      <c r="CC239" s="531"/>
      <c r="CF239" s="63"/>
      <c r="CG239" s="64"/>
      <c r="CM239" s="531"/>
      <c r="CN239" s="531"/>
      <c r="CO239" s="531"/>
    </row>
    <row r="240" spans="18:93" ht="18" customHeight="1">
      <c r="R240" s="63"/>
      <c r="V240" s="170"/>
      <c r="W240" s="170"/>
      <c r="X240" s="170"/>
      <c r="Y240" s="170"/>
      <c r="AD240" s="174"/>
      <c r="AG240" s="56"/>
      <c r="AH240" s="56"/>
      <c r="AI240" s="56"/>
      <c r="AJ240" s="56"/>
      <c r="AK240" s="56"/>
      <c r="AO240" s="68"/>
      <c r="AP240" s="76"/>
      <c r="AQ240" s="67"/>
      <c r="AR240" s="68"/>
      <c r="AS240" s="69"/>
      <c r="AT240" s="69"/>
      <c r="AU240" s="69"/>
      <c r="AV240" s="69"/>
      <c r="AW240" s="69"/>
      <c r="AX240" s="68"/>
      <c r="AY240" s="69"/>
      <c r="AZ240" s="67"/>
      <c r="BA240" s="69"/>
      <c r="BB240" s="76"/>
      <c r="BC240" s="67"/>
      <c r="BD240" s="68"/>
      <c r="BE240" s="69"/>
      <c r="BF240" s="69"/>
      <c r="BG240" s="69"/>
      <c r="BH240" s="69"/>
      <c r="BI240" s="69"/>
      <c r="BJ240" s="68"/>
      <c r="BK240" s="69"/>
      <c r="BL240" s="67"/>
      <c r="BM240" s="67"/>
      <c r="BN240" s="56"/>
      <c r="BO240" s="56"/>
      <c r="BT240" s="63"/>
      <c r="BW240" s="56"/>
      <c r="BX240" s="56"/>
      <c r="BY240" s="56"/>
      <c r="BZ240" s="56"/>
      <c r="CA240" s="56"/>
      <c r="CF240" s="63"/>
      <c r="CI240" s="56"/>
      <c r="CJ240" s="56"/>
      <c r="CK240" s="56"/>
      <c r="CL240" s="56"/>
      <c r="CM240" s="56"/>
    </row>
    <row r="241" spans="18:93" ht="18" customHeight="1">
      <c r="R241" s="63"/>
      <c r="V241" s="170"/>
      <c r="W241" s="170"/>
      <c r="X241" s="170"/>
      <c r="Y241" s="170"/>
      <c r="AD241" s="174"/>
      <c r="AG241" s="56"/>
      <c r="AH241" s="56"/>
      <c r="AI241" s="56"/>
      <c r="AJ241" s="56"/>
      <c r="AK241" s="56"/>
      <c r="AO241" s="68"/>
      <c r="AP241" s="76"/>
      <c r="AQ241" s="67"/>
      <c r="AR241" s="68"/>
      <c r="AS241" s="69"/>
      <c r="AT241" s="69"/>
      <c r="AU241" s="69"/>
      <c r="AV241" s="69"/>
      <c r="AW241" s="69"/>
      <c r="AX241" s="68"/>
      <c r="AY241" s="69"/>
      <c r="AZ241" s="67"/>
      <c r="BA241" s="69"/>
      <c r="BB241" s="76"/>
      <c r="BC241" s="67"/>
      <c r="BD241" s="68"/>
      <c r="BE241" s="69"/>
      <c r="BF241" s="69"/>
      <c r="BG241" s="69"/>
      <c r="BH241" s="69"/>
      <c r="BI241" s="69"/>
      <c r="BJ241" s="68"/>
      <c r="BK241" s="69"/>
      <c r="BL241" s="67"/>
      <c r="BM241" s="67"/>
      <c r="BN241" s="56"/>
      <c r="BO241" s="56"/>
      <c r="BT241" s="63"/>
      <c r="BW241" s="56"/>
      <c r="BX241" s="56"/>
      <c r="BY241" s="56"/>
      <c r="BZ241" s="56"/>
      <c r="CA241" s="56"/>
      <c r="CF241" s="63"/>
      <c r="CI241" s="56"/>
      <c r="CJ241" s="56"/>
      <c r="CK241" s="56"/>
      <c r="CL241" s="56"/>
      <c r="CM241" s="56"/>
    </row>
    <row r="242" spans="18:93" ht="18" customHeight="1">
      <c r="R242" s="63"/>
      <c r="V242" s="170"/>
      <c r="W242" s="170"/>
      <c r="X242" s="170"/>
      <c r="Y242" s="170"/>
      <c r="AD242" s="174"/>
      <c r="AG242" s="56"/>
      <c r="AH242" s="56"/>
      <c r="AI242" s="56"/>
      <c r="AJ242" s="56"/>
      <c r="AK242" s="56"/>
      <c r="AO242" s="68"/>
      <c r="AP242" s="76"/>
      <c r="AQ242" s="67"/>
      <c r="AR242" s="68"/>
      <c r="AS242" s="69"/>
      <c r="AT242" s="69"/>
      <c r="AU242" s="69"/>
      <c r="AV242" s="69"/>
      <c r="AW242" s="69"/>
      <c r="AX242" s="68"/>
      <c r="AY242" s="69"/>
      <c r="AZ242" s="67"/>
      <c r="BA242" s="69"/>
      <c r="BB242" s="76"/>
      <c r="BC242" s="67"/>
      <c r="BD242" s="68"/>
      <c r="BE242" s="69"/>
      <c r="BF242" s="69"/>
      <c r="BG242" s="69"/>
      <c r="BH242" s="69"/>
      <c r="BI242" s="69"/>
      <c r="BJ242" s="68"/>
      <c r="BK242" s="69"/>
      <c r="BL242" s="67"/>
      <c r="BM242" s="67"/>
      <c r="BN242" s="56"/>
      <c r="BO242" s="56"/>
      <c r="BT242" s="63"/>
      <c r="BW242" s="56"/>
      <c r="BX242" s="56"/>
      <c r="BY242" s="56"/>
      <c r="BZ242" s="56"/>
      <c r="CA242" s="56"/>
      <c r="CF242" s="63"/>
      <c r="CI242" s="56"/>
      <c r="CJ242" s="56"/>
      <c r="CK242" s="56"/>
      <c r="CL242" s="56"/>
      <c r="CM242" s="56"/>
    </row>
    <row r="243" spans="18:93" ht="18" customHeight="1">
      <c r="R243" s="63"/>
      <c r="V243" s="170"/>
      <c r="W243" s="170"/>
      <c r="X243" s="170"/>
      <c r="Y243" s="170"/>
      <c r="AD243" s="174"/>
      <c r="AG243" s="56"/>
      <c r="AH243" s="56"/>
      <c r="AI243" s="56"/>
      <c r="AJ243" s="56"/>
      <c r="AK243" s="56"/>
      <c r="AO243" s="68"/>
      <c r="AP243" s="76"/>
      <c r="AQ243" s="67"/>
      <c r="AR243" s="68"/>
      <c r="AS243" s="69"/>
      <c r="AT243" s="69"/>
      <c r="AU243" s="69"/>
      <c r="AV243" s="69"/>
      <c r="AW243" s="69"/>
      <c r="AX243" s="68"/>
      <c r="AY243" s="69"/>
      <c r="AZ243" s="67"/>
      <c r="BA243" s="69"/>
      <c r="BB243" s="76"/>
      <c r="BC243" s="67"/>
      <c r="BD243" s="68"/>
      <c r="BE243" s="69"/>
      <c r="BF243" s="69"/>
      <c r="BG243" s="69"/>
      <c r="BH243" s="69"/>
      <c r="BI243" s="69"/>
      <c r="BJ243" s="68"/>
      <c r="BK243" s="69"/>
      <c r="BL243" s="67"/>
      <c r="BM243" s="67"/>
      <c r="BN243" s="56"/>
      <c r="BO243" s="56"/>
      <c r="BT243" s="63"/>
      <c r="BW243" s="56"/>
      <c r="BX243" s="56"/>
      <c r="BY243" s="56"/>
      <c r="BZ243" s="56"/>
      <c r="CA243" s="56"/>
      <c r="CF243" s="63"/>
      <c r="CI243" s="56"/>
      <c r="CJ243" s="56"/>
      <c r="CK243" s="56"/>
      <c r="CL243" s="56"/>
      <c r="CM243" s="56"/>
    </row>
    <row r="244" spans="18:93" ht="18" customHeight="1">
      <c r="AO244" s="68"/>
      <c r="AP244" s="67"/>
      <c r="AQ244" s="67"/>
      <c r="AR244" s="68"/>
      <c r="AS244" s="68"/>
      <c r="AT244" s="68"/>
      <c r="AU244" s="68"/>
      <c r="AV244" s="68"/>
      <c r="AW244" s="68"/>
      <c r="AX244" s="68"/>
      <c r="AY244" s="69"/>
      <c r="AZ244" s="67"/>
      <c r="BA244" s="68"/>
      <c r="BB244" s="67"/>
      <c r="BC244" s="67"/>
      <c r="BD244" s="68"/>
      <c r="BE244" s="68"/>
      <c r="BF244" s="68"/>
      <c r="BG244" s="68"/>
      <c r="BH244" s="68"/>
      <c r="BI244" s="68"/>
      <c r="BJ244" s="68"/>
      <c r="BK244" s="69"/>
      <c r="BL244" s="67"/>
      <c r="BM244" s="67"/>
    </row>
    <row r="245" spans="18:93" ht="18" customHeight="1">
      <c r="R245" s="63"/>
      <c r="S245" s="64"/>
      <c r="Y245" s="532"/>
      <c r="Z245" s="532"/>
      <c r="AA245" s="532"/>
      <c r="AD245" s="174"/>
      <c r="AE245" s="64"/>
      <c r="AK245" s="531"/>
      <c r="AL245" s="531"/>
      <c r="AM245" s="531"/>
      <c r="AO245" s="68"/>
      <c r="AP245" s="76"/>
      <c r="AQ245" s="77"/>
      <c r="AR245" s="68"/>
      <c r="AS245" s="68"/>
      <c r="AT245" s="68"/>
      <c r="AU245" s="68"/>
      <c r="AV245" s="68"/>
      <c r="AW245" s="533"/>
      <c r="AX245" s="533"/>
      <c r="AY245" s="533"/>
      <c r="AZ245" s="67"/>
      <c r="BA245" s="68"/>
      <c r="BB245" s="76"/>
      <c r="BC245" s="77"/>
      <c r="BD245" s="68"/>
      <c r="BE245" s="68"/>
      <c r="BF245" s="68"/>
      <c r="BG245" s="68"/>
      <c r="BH245" s="68"/>
      <c r="BI245" s="533"/>
      <c r="BJ245" s="533"/>
      <c r="BK245" s="533"/>
      <c r="BL245" s="67"/>
      <c r="BM245" s="67"/>
      <c r="BO245" s="531"/>
      <c r="BP245" s="531"/>
      <c r="BQ245" s="531"/>
      <c r="BT245" s="63"/>
      <c r="BU245" s="64"/>
      <c r="CA245" s="531"/>
      <c r="CB245" s="531"/>
      <c r="CC245" s="531"/>
      <c r="CF245" s="63"/>
      <c r="CG245" s="64"/>
      <c r="CM245" s="531"/>
      <c r="CN245" s="531"/>
      <c r="CO245" s="531"/>
    </row>
    <row r="246" spans="18:93" ht="18" customHeight="1">
      <c r="R246" s="63"/>
      <c r="V246" s="170"/>
      <c r="W246" s="170"/>
      <c r="X246" s="170"/>
      <c r="Y246" s="170"/>
      <c r="AD246" s="174"/>
      <c r="AG246" s="56"/>
      <c r="AH246" s="56"/>
      <c r="AI246" s="56"/>
      <c r="AJ246" s="56"/>
      <c r="AK246" s="56"/>
      <c r="AO246" s="68"/>
      <c r="AP246" s="76"/>
      <c r="AQ246" s="67"/>
      <c r="AR246" s="68"/>
      <c r="AS246" s="69"/>
      <c r="AT246" s="69"/>
      <c r="AU246" s="69"/>
      <c r="AV246" s="69"/>
      <c r="AW246" s="69"/>
      <c r="AX246" s="68"/>
      <c r="AY246" s="69"/>
      <c r="AZ246" s="67"/>
      <c r="BA246" s="69"/>
      <c r="BB246" s="76"/>
      <c r="BC246" s="67"/>
      <c r="BD246" s="68"/>
      <c r="BE246" s="69"/>
      <c r="BF246" s="69"/>
      <c r="BG246" s="69"/>
      <c r="BH246" s="69"/>
      <c r="BI246" s="69"/>
      <c r="BJ246" s="68"/>
      <c r="BK246" s="69"/>
      <c r="BL246" s="67"/>
      <c r="BM246" s="67"/>
      <c r="BN246" s="56"/>
      <c r="BO246" s="56"/>
      <c r="BT246" s="63"/>
      <c r="BW246" s="56"/>
      <c r="BX246" s="56"/>
      <c r="BY246" s="56"/>
      <c r="BZ246" s="56"/>
      <c r="CA246" s="56"/>
      <c r="CF246" s="63"/>
      <c r="CI246" s="56"/>
      <c r="CJ246" s="56"/>
      <c r="CK246" s="56"/>
      <c r="CL246" s="56"/>
      <c r="CM246" s="56"/>
    </row>
    <row r="247" spans="18:93" ht="18" customHeight="1">
      <c r="R247" s="63"/>
      <c r="V247" s="170"/>
      <c r="W247" s="170"/>
      <c r="X247" s="170"/>
      <c r="Y247" s="170"/>
      <c r="AD247" s="174"/>
      <c r="AG247" s="56"/>
      <c r="AH247" s="56"/>
      <c r="AI247" s="56"/>
      <c r="AJ247" s="56"/>
      <c r="AK247" s="56"/>
      <c r="AO247" s="68"/>
      <c r="AP247" s="76"/>
      <c r="AQ247" s="67"/>
      <c r="AR247" s="68"/>
      <c r="AS247" s="69"/>
      <c r="AT247" s="69"/>
      <c r="AU247" s="69"/>
      <c r="AV247" s="69"/>
      <c r="AW247" s="69"/>
      <c r="AX247" s="68"/>
      <c r="AY247" s="69"/>
      <c r="AZ247" s="67"/>
      <c r="BA247" s="69"/>
      <c r="BB247" s="76"/>
      <c r="BC247" s="67"/>
      <c r="BD247" s="68"/>
      <c r="BE247" s="69"/>
      <c r="BF247" s="69"/>
      <c r="BG247" s="69"/>
      <c r="BH247" s="69"/>
      <c r="BI247" s="69"/>
      <c r="BJ247" s="68"/>
      <c r="BK247" s="69"/>
      <c r="BL247" s="67"/>
      <c r="BM247" s="67"/>
      <c r="BN247" s="56"/>
      <c r="BO247" s="56"/>
      <c r="BT247" s="63"/>
      <c r="BW247" s="56"/>
      <c r="BX247" s="56"/>
      <c r="BY247" s="56"/>
      <c r="BZ247" s="56"/>
      <c r="CA247" s="56"/>
      <c r="CF247" s="63"/>
      <c r="CI247" s="56"/>
      <c r="CJ247" s="56"/>
      <c r="CK247" s="56"/>
      <c r="CL247" s="56"/>
      <c r="CM247" s="56"/>
    </row>
    <row r="248" spans="18:93" ht="18" customHeight="1">
      <c r="R248" s="63"/>
      <c r="V248" s="170"/>
      <c r="W248" s="170"/>
      <c r="X248" s="170"/>
      <c r="Y248" s="170"/>
      <c r="AD248" s="174"/>
      <c r="AG248" s="56"/>
      <c r="AH248" s="56"/>
      <c r="AI248" s="56"/>
      <c r="AJ248" s="56"/>
      <c r="AK248" s="56"/>
      <c r="AO248" s="68"/>
      <c r="AP248" s="76"/>
      <c r="AQ248" s="67"/>
      <c r="AR248" s="68"/>
      <c r="AS248" s="69"/>
      <c r="AT248" s="69"/>
      <c r="AU248" s="69"/>
      <c r="AV248" s="69"/>
      <c r="AW248" s="69"/>
      <c r="AX248" s="68"/>
      <c r="AY248" s="69"/>
      <c r="AZ248" s="67"/>
      <c r="BA248" s="69"/>
      <c r="BB248" s="76"/>
      <c r="BC248" s="67"/>
      <c r="BD248" s="68"/>
      <c r="BE248" s="69"/>
      <c r="BF248" s="69"/>
      <c r="BG248" s="69"/>
      <c r="BH248" s="69"/>
      <c r="BI248" s="69"/>
      <c r="BJ248" s="68"/>
      <c r="BK248" s="69"/>
      <c r="BL248" s="67"/>
      <c r="BM248" s="67"/>
      <c r="BN248" s="56"/>
      <c r="BO248" s="56"/>
      <c r="BT248" s="63"/>
      <c r="BW248" s="56"/>
      <c r="BX248" s="56"/>
      <c r="BY248" s="56"/>
      <c r="BZ248" s="56"/>
      <c r="CA248" s="56"/>
      <c r="CF248" s="63"/>
      <c r="CI248" s="56"/>
      <c r="CJ248" s="56"/>
      <c r="CK248" s="56"/>
      <c r="CL248" s="56"/>
      <c r="CM248" s="56"/>
    </row>
    <row r="249" spans="18:93" ht="18" customHeight="1">
      <c r="R249" s="63"/>
      <c r="V249" s="170"/>
      <c r="W249" s="170"/>
      <c r="X249" s="170"/>
      <c r="Y249" s="170"/>
      <c r="AD249" s="174"/>
      <c r="AG249" s="56"/>
      <c r="AH249" s="56"/>
      <c r="AI249" s="56"/>
      <c r="AJ249" s="56"/>
      <c r="AK249" s="56"/>
      <c r="AO249" s="68"/>
      <c r="AP249" s="76"/>
      <c r="AQ249" s="67"/>
      <c r="AR249" s="68"/>
      <c r="AS249" s="69"/>
      <c r="AT249" s="69"/>
      <c r="AU249" s="69"/>
      <c r="AV249" s="69"/>
      <c r="AW249" s="69"/>
      <c r="AX249" s="68"/>
      <c r="AY249" s="69"/>
      <c r="AZ249" s="67"/>
      <c r="BA249" s="69"/>
      <c r="BB249" s="76"/>
      <c r="BC249" s="67"/>
      <c r="BD249" s="68"/>
      <c r="BE249" s="69"/>
      <c r="BF249" s="69"/>
      <c r="BG249" s="69"/>
      <c r="BH249" s="69"/>
      <c r="BI249" s="69"/>
      <c r="BJ249" s="68"/>
      <c r="BK249" s="69"/>
      <c r="BL249" s="67"/>
      <c r="BM249" s="67"/>
      <c r="BN249" s="56"/>
      <c r="BO249" s="56"/>
      <c r="BT249" s="63"/>
      <c r="BW249" s="56"/>
      <c r="BX249" s="56"/>
      <c r="BY249" s="56"/>
      <c r="BZ249" s="56"/>
      <c r="CA249" s="56"/>
      <c r="CF249" s="63"/>
      <c r="CI249" s="56"/>
      <c r="CJ249" s="56"/>
      <c r="CK249" s="56"/>
      <c r="CL249" s="56"/>
      <c r="CM249" s="56"/>
    </row>
    <row r="250" spans="18:93" ht="18" customHeight="1">
      <c r="AO250" s="68"/>
      <c r="AP250" s="67"/>
      <c r="AQ250" s="67"/>
      <c r="AR250" s="68"/>
      <c r="AS250" s="68"/>
      <c r="AT250" s="68"/>
      <c r="AU250" s="68"/>
      <c r="AV250" s="68"/>
      <c r="AW250" s="68"/>
      <c r="AX250" s="68"/>
      <c r="AY250" s="69"/>
      <c r="AZ250" s="67"/>
      <c r="BA250" s="68"/>
      <c r="BB250" s="67"/>
      <c r="BC250" s="67"/>
      <c r="BD250" s="68"/>
      <c r="BE250" s="68"/>
      <c r="BF250" s="68"/>
      <c r="BG250" s="68"/>
      <c r="BH250" s="68"/>
      <c r="BI250" s="68"/>
      <c r="BJ250" s="68"/>
      <c r="BK250" s="69"/>
      <c r="BL250" s="67"/>
      <c r="BM250" s="67"/>
    </row>
    <row r="251" spans="18:93" ht="18" customHeight="1">
      <c r="R251" s="63"/>
      <c r="S251" s="64"/>
      <c r="Y251" s="532"/>
      <c r="Z251" s="532"/>
      <c r="AA251" s="532"/>
      <c r="AD251" s="174"/>
      <c r="AE251" s="64"/>
      <c r="AK251" s="531"/>
      <c r="AL251" s="531"/>
      <c r="AM251" s="531"/>
      <c r="AO251" s="68"/>
      <c r="AP251" s="76"/>
      <c r="AQ251" s="77"/>
      <c r="AR251" s="68"/>
      <c r="AS251" s="68"/>
      <c r="AT251" s="68"/>
      <c r="AU251" s="68"/>
      <c r="AV251" s="68"/>
      <c r="AW251" s="533"/>
      <c r="AX251" s="533"/>
      <c r="AY251" s="533"/>
      <c r="AZ251" s="67"/>
      <c r="BA251" s="68"/>
      <c r="BB251" s="76"/>
      <c r="BC251" s="77"/>
      <c r="BD251" s="68"/>
      <c r="BE251" s="68"/>
      <c r="BF251" s="68"/>
      <c r="BG251" s="68"/>
      <c r="BH251" s="68"/>
      <c r="BI251" s="533"/>
      <c r="BJ251" s="533"/>
      <c r="BK251" s="533"/>
      <c r="BL251" s="67"/>
      <c r="BM251" s="67"/>
      <c r="BO251" s="531"/>
      <c r="BP251" s="531"/>
      <c r="BQ251" s="531"/>
      <c r="BT251" s="63"/>
      <c r="BU251" s="64"/>
      <c r="CA251" s="531"/>
      <c r="CB251" s="531"/>
      <c r="CC251" s="531"/>
      <c r="CF251" s="63"/>
      <c r="CG251" s="64"/>
      <c r="CM251" s="531"/>
      <c r="CN251" s="531"/>
      <c r="CO251" s="531"/>
    </row>
    <row r="252" spans="18:93" ht="18" customHeight="1">
      <c r="R252" s="63"/>
      <c r="V252" s="170"/>
      <c r="W252" s="170"/>
      <c r="X252" s="170"/>
      <c r="Y252" s="170"/>
      <c r="AD252" s="174"/>
      <c r="AG252" s="56"/>
      <c r="AH252" s="56"/>
      <c r="AI252" s="56"/>
      <c r="AJ252" s="56"/>
      <c r="AK252" s="56"/>
      <c r="AO252" s="68"/>
      <c r="AP252" s="76"/>
      <c r="AQ252" s="67"/>
      <c r="AR252" s="68"/>
      <c r="AS252" s="69"/>
      <c r="AT252" s="69"/>
      <c r="AU252" s="69"/>
      <c r="AV252" s="69"/>
      <c r="AW252" s="69"/>
      <c r="AX252" s="68"/>
      <c r="AY252" s="69"/>
      <c r="AZ252" s="67"/>
      <c r="BA252" s="69"/>
      <c r="BB252" s="76"/>
      <c r="BC252" s="67"/>
      <c r="BD252" s="68"/>
      <c r="BE252" s="69"/>
      <c r="BF252" s="69"/>
      <c r="BG252" s="69"/>
      <c r="BH252" s="69"/>
      <c r="BI252" s="69"/>
      <c r="BJ252" s="68"/>
      <c r="BK252" s="69"/>
      <c r="BL252" s="67"/>
      <c r="BM252" s="67"/>
      <c r="BN252" s="56"/>
      <c r="BO252" s="56"/>
      <c r="BT252" s="63"/>
      <c r="BW252" s="56"/>
      <c r="BX252" s="56"/>
      <c r="BY252" s="56"/>
      <c r="BZ252" s="56"/>
      <c r="CA252" s="56"/>
      <c r="CF252" s="63"/>
      <c r="CI252" s="56"/>
      <c r="CJ252" s="56"/>
      <c r="CK252" s="56"/>
      <c r="CL252" s="56"/>
      <c r="CM252" s="56"/>
    </row>
    <row r="253" spans="18:93" ht="18" customHeight="1">
      <c r="R253" s="63"/>
      <c r="V253" s="170"/>
      <c r="W253" s="170"/>
      <c r="X253" s="170"/>
      <c r="Y253" s="170"/>
      <c r="AD253" s="174"/>
      <c r="AG253" s="56"/>
      <c r="AH253" s="56"/>
      <c r="AI253" s="56"/>
      <c r="AJ253" s="56"/>
      <c r="AK253" s="56"/>
      <c r="AO253" s="68"/>
      <c r="AP253" s="76"/>
      <c r="AQ253" s="67"/>
      <c r="AR253" s="68"/>
      <c r="AS253" s="69"/>
      <c r="AT253" s="69"/>
      <c r="AU253" s="69"/>
      <c r="AV253" s="69"/>
      <c r="AW253" s="69"/>
      <c r="AX253" s="68"/>
      <c r="AY253" s="69"/>
      <c r="AZ253" s="67"/>
      <c r="BA253" s="69"/>
      <c r="BB253" s="76"/>
      <c r="BC253" s="67"/>
      <c r="BD253" s="68"/>
      <c r="BE253" s="69"/>
      <c r="BF253" s="69"/>
      <c r="BG253" s="69"/>
      <c r="BH253" s="69"/>
      <c r="BI253" s="69"/>
      <c r="BJ253" s="68"/>
      <c r="BK253" s="69"/>
      <c r="BL253" s="67"/>
      <c r="BM253" s="67"/>
      <c r="BN253" s="56"/>
      <c r="BO253" s="56"/>
      <c r="BT253" s="63"/>
      <c r="BW253" s="56"/>
      <c r="BX253" s="56"/>
      <c r="BY253" s="56"/>
      <c r="BZ253" s="56"/>
      <c r="CA253" s="56"/>
      <c r="CF253" s="63"/>
      <c r="CI253" s="56"/>
      <c r="CJ253" s="56"/>
      <c r="CK253" s="56"/>
      <c r="CL253" s="56"/>
      <c r="CM253" s="56"/>
    </row>
    <row r="254" spans="18:93" ht="18" customHeight="1">
      <c r="R254" s="63"/>
      <c r="V254" s="170"/>
      <c r="W254" s="170"/>
      <c r="X254" s="170"/>
      <c r="Y254" s="170"/>
      <c r="AD254" s="174"/>
      <c r="AG254" s="56"/>
      <c r="AH254" s="56"/>
      <c r="AI254" s="56"/>
      <c r="AJ254" s="56"/>
      <c r="AK254" s="56"/>
      <c r="AO254" s="68"/>
      <c r="AP254" s="76"/>
      <c r="AQ254" s="67"/>
      <c r="AR254" s="68"/>
      <c r="AS254" s="69"/>
      <c r="AT254" s="69"/>
      <c r="AU254" s="69"/>
      <c r="AV254" s="69"/>
      <c r="AW254" s="69"/>
      <c r="AX254" s="68"/>
      <c r="AY254" s="69"/>
      <c r="AZ254" s="67"/>
      <c r="BA254" s="69"/>
      <c r="BB254" s="76"/>
      <c r="BC254" s="67"/>
      <c r="BD254" s="68"/>
      <c r="BE254" s="69"/>
      <c r="BF254" s="69"/>
      <c r="BG254" s="69"/>
      <c r="BH254" s="69"/>
      <c r="BI254" s="69"/>
      <c r="BJ254" s="68"/>
      <c r="BK254" s="69"/>
      <c r="BL254" s="67"/>
      <c r="BM254" s="67"/>
      <c r="BN254" s="56"/>
      <c r="BO254" s="56"/>
      <c r="BT254" s="63"/>
      <c r="BW254" s="56"/>
      <c r="BX254" s="56"/>
      <c r="BY254" s="56"/>
      <c r="BZ254" s="56"/>
      <c r="CA254" s="56"/>
      <c r="CF254" s="63"/>
      <c r="CI254" s="56"/>
      <c r="CJ254" s="56"/>
      <c r="CK254" s="56"/>
      <c r="CL254" s="56"/>
      <c r="CM254" s="56"/>
    </row>
    <row r="255" spans="18:93" ht="18" customHeight="1">
      <c r="R255" s="63"/>
      <c r="V255" s="170"/>
      <c r="W255" s="170"/>
      <c r="X255" s="170"/>
      <c r="Y255" s="170"/>
      <c r="AD255" s="174"/>
      <c r="AG255" s="56"/>
      <c r="AH255" s="56"/>
      <c r="AI255" s="56"/>
      <c r="AJ255" s="56"/>
      <c r="AK255" s="56"/>
      <c r="AO255" s="68"/>
      <c r="AP255" s="76"/>
      <c r="AQ255" s="67"/>
      <c r="AR255" s="68"/>
      <c r="AS255" s="69"/>
      <c r="AT255" s="69"/>
      <c r="AU255" s="69"/>
      <c r="AV255" s="69"/>
      <c r="AW255" s="69"/>
      <c r="AX255" s="68"/>
      <c r="AY255" s="69"/>
      <c r="AZ255" s="67"/>
      <c r="BA255" s="69"/>
      <c r="BB255" s="76"/>
      <c r="BC255" s="67"/>
      <c r="BD255" s="68"/>
      <c r="BE255" s="69"/>
      <c r="BF255" s="69"/>
      <c r="BG255" s="69"/>
      <c r="BH255" s="69"/>
      <c r="BI255" s="69"/>
      <c r="BJ255" s="68"/>
      <c r="BK255" s="69"/>
      <c r="BL255" s="67"/>
      <c r="BM255" s="67"/>
      <c r="BN255" s="56"/>
      <c r="BO255" s="56"/>
      <c r="BT255" s="63"/>
      <c r="BW255" s="56"/>
      <c r="BX255" s="56"/>
      <c r="BY255" s="56"/>
      <c r="BZ255" s="56"/>
      <c r="CA255" s="56"/>
      <c r="CF255" s="63"/>
      <c r="CI255" s="56"/>
      <c r="CJ255" s="56"/>
      <c r="CK255" s="56"/>
      <c r="CL255" s="56"/>
      <c r="CM255" s="56"/>
    </row>
    <row r="256" spans="18:93" ht="18" customHeight="1">
      <c r="AO256" s="68"/>
      <c r="AP256" s="67"/>
      <c r="AQ256" s="67"/>
      <c r="AR256" s="68"/>
      <c r="AS256" s="68"/>
      <c r="AT256" s="68"/>
      <c r="AU256" s="68"/>
      <c r="AV256" s="68"/>
      <c r="AW256" s="68"/>
      <c r="AX256" s="68"/>
      <c r="AY256" s="69"/>
      <c r="AZ256" s="67"/>
      <c r="BA256" s="68"/>
      <c r="BB256" s="67"/>
      <c r="BC256" s="67"/>
      <c r="BD256" s="68"/>
      <c r="BE256" s="68"/>
      <c r="BF256" s="68"/>
      <c r="BG256" s="68"/>
      <c r="BH256" s="68"/>
      <c r="BI256" s="68"/>
      <c r="BJ256" s="68"/>
      <c r="BK256" s="69"/>
      <c r="BL256" s="67"/>
      <c r="BM256" s="67"/>
    </row>
    <row r="257" spans="18:93" ht="18" customHeight="1">
      <c r="R257" s="63"/>
      <c r="S257" s="64"/>
      <c r="Y257" s="532"/>
      <c r="Z257" s="532"/>
      <c r="AA257" s="532"/>
      <c r="AD257" s="174"/>
      <c r="AE257" s="64"/>
      <c r="AK257" s="531"/>
      <c r="AL257" s="531"/>
      <c r="AM257" s="531"/>
      <c r="AO257" s="68"/>
      <c r="AP257" s="76"/>
      <c r="AQ257" s="77"/>
      <c r="AR257" s="68"/>
      <c r="AS257" s="68"/>
      <c r="AT257" s="68"/>
      <c r="AU257" s="68"/>
      <c r="AV257" s="68"/>
      <c r="AW257" s="533"/>
      <c r="AX257" s="533"/>
      <c r="AY257" s="533"/>
      <c r="AZ257" s="67"/>
      <c r="BA257" s="68"/>
      <c r="BB257" s="76"/>
      <c r="BC257" s="77"/>
      <c r="BD257" s="68"/>
      <c r="BE257" s="68"/>
      <c r="BF257" s="68"/>
      <c r="BG257" s="68"/>
      <c r="BH257" s="68"/>
      <c r="BI257" s="533"/>
      <c r="BJ257" s="533"/>
      <c r="BK257" s="533"/>
      <c r="BL257" s="67"/>
      <c r="BM257" s="67"/>
      <c r="BO257" s="531"/>
      <c r="BP257" s="531"/>
      <c r="BQ257" s="531"/>
      <c r="BT257" s="63"/>
      <c r="BU257" s="64"/>
      <c r="CA257" s="531"/>
      <c r="CB257" s="531"/>
      <c r="CC257" s="531"/>
      <c r="CF257" s="63"/>
      <c r="CG257" s="64"/>
      <c r="CM257" s="531"/>
      <c r="CN257" s="531"/>
      <c r="CO257" s="531"/>
    </row>
    <row r="258" spans="18:93" ht="18" customHeight="1">
      <c r="R258" s="63"/>
      <c r="V258" s="170"/>
      <c r="W258" s="170"/>
      <c r="X258" s="170"/>
      <c r="Y258" s="170"/>
      <c r="AD258" s="174"/>
      <c r="AG258" s="56"/>
      <c r="AH258" s="56"/>
      <c r="AI258" s="56"/>
      <c r="AJ258" s="56"/>
      <c r="AK258" s="56"/>
      <c r="AO258" s="68"/>
      <c r="AP258" s="76"/>
      <c r="AQ258" s="67"/>
      <c r="AR258" s="68"/>
      <c r="AS258" s="69"/>
      <c r="AT258" s="69"/>
      <c r="AU258" s="69"/>
      <c r="AV258" s="69"/>
      <c r="AW258" s="69"/>
      <c r="AX258" s="68"/>
      <c r="AY258" s="69"/>
      <c r="AZ258" s="67"/>
      <c r="BA258" s="69"/>
      <c r="BB258" s="76"/>
      <c r="BC258" s="67"/>
      <c r="BD258" s="68"/>
      <c r="BE258" s="69"/>
      <c r="BF258" s="69"/>
      <c r="BG258" s="69"/>
      <c r="BH258" s="69"/>
      <c r="BI258" s="69"/>
      <c r="BJ258" s="68"/>
      <c r="BK258" s="69"/>
      <c r="BL258" s="67"/>
      <c r="BM258" s="67"/>
      <c r="BN258" s="56"/>
      <c r="BO258" s="56"/>
      <c r="BT258" s="63"/>
      <c r="BW258" s="56"/>
      <c r="BX258" s="56"/>
      <c r="BY258" s="56"/>
      <c r="BZ258" s="56"/>
      <c r="CA258" s="56"/>
      <c r="CF258" s="63"/>
      <c r="CI258" s="56"/>
      <c r="CJ258" s="56"/>
      <c r="CK258" s="56"/>
      <c r="CL258" s="56"/>
      <c r="CM258" s="56"/>
    </row>
    <row r="259" spans="18:93" ht="18" customHeight="1">
      <c r="R259" s="63"/>
      <c r="V259" s="170"/>
      <c r="W259" s="170"/>
      <c r="X259" s="170"/>
      <c r="Y259" s="170"/>
      <c r="AD259" s="174"/>
      <c r="AG259" s="56"/>
      <c r="AH259" s="56"/>
      <c r="AI259" s="56"/>
      <c r="AJ259" s="56"/>
      <c r="AK259" s="56"/>
      <c r="AO259" s="68"/>
      <c r="AP259" s="76"/>
      <c r="AQ259" s="67"/>
      <c r="AR259" s="68"/>
      <c r="AS259" s="69"/>
      <c r="AT259" s="69"/>
      <c r="AU259" s="69"/>
      <c r="AV259" s="69"/>
      <c r="AW259" s="69"/>
      <c r="AX259" s="68"/>
      <c r="AY259" s="69"/>
      <c r="AZ259" s="67"/>
      <c r="BA259" s="69"/>
      <c r="BB259" s="76"/>
      <c r="BC259" s="67"/>
      <c r="BD259" s="68"/>
      <c r="BE259" s="69"/>
      <c r="BF259" s="69"/>
      <c r="BG259" s="69"/>
      <c r="BH259" s="69"/>
      <c r="BI259" s="69"/>
      <c r="BJ259" s="68"/>
      <c r="BK259" s="69"/>
      <c r="BL259" s="67"/>
      <c r="BM259" s="67"/>
      <c r="BN259" s="56"/>
      <c r="BO259" s="56"/>
      <c r="BT259" s="63"/>
      <c r="BW259" s="56"/>
      <c r="BX259" s="56"/>
      <c r="BY259" s="56"/>
      <c r="BZ259" s="56"/>
      <c r="CA259" s="56"/>
      <c r="CF259" s="63"/>
      <c r="CI259" s="56"/>
      <c r="CJ259" s="56"/>
      <c r="CK259" s="56"/>
      <c r="CL259" s="56"/>
      <c r="CM259" s="56"/>
    </row>
    <row r="260" spans="18:93" ht="18" customHeight="1">
      <c r="R260" s="63"/>
      <c r="V260" s="170"/>
      <c r="W260" s="170"/>
      <c r="X260" s="170"/>
      <c r="Y260" s="170"/>
      <c r="AD260" s="174"/>
      <c r="AG260" s="56"/>
      <c r="AH260" s="56"/>
      <c r="AI260" s="56"/>
      <c r="AJ260" s="56"/>
      <c r="AK260" s="56"/>
      <c r="AO260" s="68"/>
      <c r="AP260" s="76"/>
      <c r="AQ260" s="67"/>
      <c r="AR260" s="68"/>
      <c r="AS260" s="69"/>
      <c r="AT260" s="69"/>
      <c r="AU260" s="69"/>
      <c r="AV260" s="69"/>
      <c r="AW260" s="69"/>
      <c r="AX260" s="68"/>
      <c r="AY260" s="69"/>
      <c r="AZ260" s="67"/>
      <c r="BA260" s="69"/>
      <c r="BB260" s="76"/>
      <c r="BC260" s="67"/>
      <c r="BD260" s="68"/>
      <c r="BE260" s="69"/>
      <c r="BF260" s="69"/>
      <c r="BG260" s="69"/>
      <c r="BH260" s="69"/>
      <c r="BI260" s="69"/>
      <c r="BJ260" s="68"/>
      <c r="BK260" s="69"/>
      <c r="BL260" s="67"/>
      <c r="BM260" s="67"/>
      <c r="BN260" s="56"/>
      <c r="BO260" s="56"/>
      <c r="BT260" s="63"/>
      <c r="BW260" s="56"/>
      <c r="BX260" s="56"/>
      <c r="BY260" s="56"/>
      <c r="BZ260" s="56"/>
      <c r="CA260" s="56"/>
      <c r="CF260" s="63"/>
      <c r="CI260" s="56"/>
      <c r="CJ260" s="56"/>
      <c r="CK260" s="56"/>
      <c r="CL260" s="56"/>
      <c r="CM260" s="56"/>
    </row>
    <row r="261" spans="18:93" ht="18" customHeight="1">
      <c r="R261" s="63"/>
      <c r="V261" s="170"/>
      <c r="W261" s="170"/>
      <c r="X261" s="170"/>
      <c r="Y261" s="170"/>
      <c r="AD261" s="174"/>
      <c r="AG261" s="56"/>
      <c r="AH261" s="56"/>
      <c r="AI261" s="56"/>
      <c r="AJ261" s="56"/>
      <c r="AK261" s="56"/>
      <c r="AO261" s="68"/>
      <c r="AP261" s="76"/>
      <c r="AQ261" s="67"/>
      <c r="AR261" s="68"/>
      <c r="AS261" s="69"/>
      <c r="AT261" s="69"/>
      <c r="AU261" s="69"/>
      <c r="AV261" s="69"/>
      <c r="AW261" s="69"/>
      <c r="AX261" s="68"/>
      <c r="AY261" s="69"/>
      <c r="AZ261" s="67"/>
      <c r="BA261" s="69"/>
      <c r="BB261" s="76"/>
      <c r="BC261" s="67"/>
      <c r="BD261" s="68"/>
      <c r="BE261" s="69"/>
      <c r="BF261" s="69"/>
      <c r="BG261" s="69"/>
      <c r="BH261" s="69"/>
      <c r="BI261" s="69"/>
      <c r="BJ261" s="68"/>
      <c r="BK261" s="69"/>
      <c r="BL261" s="67"/>
      <c r="BM261" s="67"/>
      <c r="BN261" s="56"/>
      <c r="BO261" s="56"/>
      <c r="BT261" s="63"/>
      <c r="BW261" s="56"/>
      <c r="BX261" s="56"/>
      <c r="BY261" s="56"/>
      <c r="BZ261" s="56"/>
      <c r="CA261" s="56"/>
      <c r="CF261" s="63"/>
      <c r="CI261" s="56"/>
      <c r="CJ261" s="56"/>
      <c r="CK261" s="56"/>
      <c r="CL261" s="56"/>
      <c r="CM261" s="56"/>
    </row>
    <row r="262" spans="18:93" ht="18" customHeight="1">
      <c r="AO262" s="68"/>
      <c r="AP262" s="67"/>
      <c r="AQ262" s="67"/>
      <c r="AR262" s="68"/>
      <c r="AS262" s="68"/>
      <c r="AT262" s="68"/>
      <c r="AU262" s="68"/>
      <c r="AV262" s="68"/>
      <c r="AW262" s="68"/>
      <c r="AX262" s="68"/>
      <c r="AY262" s="69"/>
      <c r="AZ262" s="67"/>
      <c r="BA262" s="68"/>
      <c r="BB262" s="67"/>
      <c r="BC262" s="67"/>
      <c r="BD262" s="68"/>
      <c r="BE262" s="68"/>
      <c r="BF262" s="68"/>
      <c r="BG262" s="68"/>
      <c r="BH262" s="68"/>
      <c r="BI262" s="68"/>
      <c r="BJ262" s="68"/>
      <c r="BK262" s="69"/>
      <c r="BL262" s="67"/>
      <c r="BM262" s="67"/>
    </row>
    <row r="263" spans="18:93" ht="18" customHeight="1">
      <c r="R263" s="63"/>
      <c r="S263" s="64"/>
      <c r="Y263" s="532"/>
      <c r="Z263" s="532"/>
      <c r="AA263" s="532"/>
      <c r="AD263" s="174"/>
      <c r="AE263" s="64"/>
      <c r="AK263" s="531"/>
      <c r="AL263" s="531"/>
      <c r="AM263" s="531"/>
      <c r="AO263" s="68"/>
      <c r="AP263" s="76"/>
      <c r="AQ263" s="77"/>
      <c r="AR263" s="68"/>
      <c r="AS263" s="68"/>
      <c r="AT263" s="68"/>
      <c r="AU263" s="68"/>
      <c r="AV263" s="68"/>
      <c r="AW263" s="533"/>
      <c r="AX263" s="533"/>
      <c r="AY263" s="533"/>
      <c r="AZ263" s="67"/>
      <c r="BA263" s="68"/>
      <c r="BB263" s="76"/>
      <c r="BC263" s="77"/>
      <c r="BD263" s="68"/>
      <c r="BE263" s="68"/>
      <c r="BF263" s="68"/>
      <c r="BG263" s="68"/>
      <c r="BH263" s="68"/>
      <c r="BI263" s="533"/>
      <c r="BJ263" s="533"/>
      <c r="BK263" s="533"/>
      <c r="BL263" s="67"/>
      <c r="BM263" s="67"/>
      <c r="BO263" s="531"/>
      <c r="BP263" s="531"/>
      <c r="BQ263" s="531"/>
      <c r="BT263" s="63"/>
      <c r="BU263" s="64"/>
      <c r="CA263" s="531"/>
      <c r="CB263" s="531"/>
      <c r="CC263" s="531"/>
      <c r="CF263" s="63"/>
      <c r="CG263" s="64"/>
      <c r="CM263" s="531"/>
      <c r="CN263" s="531"/>
      <c r="CO263" s="531"/>
    </row>
    <row r="264" spans="18:93" ht="18" customHeight="1">
      <c r="R264" s="63"/>
      <c r="V264" s="170"/>
      <c r="W264" s="170"/>
      <c r="X264" s="170"/>
      <c r="Y264" s="170"/>
      <c r="AD264" s="174"/>
      <c r="AG264" s="56"/>
      <c r="AH264" s="56"/>
      <c r="AI264" s="56"/>
      <c r="AJ264" s="56"/>
      <c r="AK264" s="56"/>
      <c r="AO264" s="68"/>
      <c r="AP264" s="76"/>
      <c r="AQ264" s="67"/>
      <c r="AR264" s="68"/>
      <c r="AS264" s="69"/>
      <c r="AT264" s="69"/>
      <c r="AU264" s="69"/>
      <c r="AV264" s="69"/>
      <c r="AW264" s="69"/>
      <c r="AX264" s="68"/>
      <c r="AY264" s="69"/>
      <c r="AZ264" s="67"/>
      <c r="BA264" s="69"/>
      <c r="BB264" s="76"/>
      <c r="BC264" s="67"/>
      <c r="BD264" s="68"/>
      <c r="BE264" s="69"/>
      <c r="BF264" s="69"/>
      <c r="BG264" s="69"/>
      <c r="BH264" s="69"/>
      <c r="BI264" s="69"/>
      <c r="BJ264" s="68"/>
      <c r="BK264" s="69"/>
      <c r="BL264" s="67"/>
      <c r="BM264" s="67"/>
      <c r="BN264" s="56"/>
      <c r="BO264" s="56"/>
      <c r="BT264" s="63"/>
      <c r="BW264" s="56"/>
      <c r="BX264" s="56"/>
      <c r="BY264" s="56"/>
      <c r="BZ264" s="56"/>
      <c r="CA264" s="56"/>
      <c r="CF264" s="63"/>
      <c r="CI264" s="56"/>
      <c r="CJ264" s="56"/>
      <c r="CK264" s="56"/>
      <c r="CL264" s="56"/>
      <c r="CM264" s="56"/>
    </row>
    <row r="265" spans="18:93" ht="18" customHeight="1">
      <c r="R265" s="63"/>
      <c r="V265" s="170"/>
      <c r="W265" s="170"/>
      <c r="X265" s="170"/>
      <c r="Y265" s="170"/>
      <c r="AD265" s="174"/>
      <c r="AG265" s="56"/>
      <c r="AH265" s="56"/>
      <c r="AI265" s="56"/>
      <c r="AJ265" s="56"/>
      <c r="AK265" s="56"/>
      <c r="AO265" s="68"/>
      <c r="AP265" s="76"/>
      <c r="AQ265" s="67"/>
      <c r="AR265" s="68"/>
      <c r="AS265" s="69"/>
      <c r="AT265" s="69"/>
      <c r="AU265" s="69"/>
      <c r="AV265" s="69"/>
      <c r="AW265" s="69"/>
      <c r="AX265" s="68"/>
      <c r="AY265" s="69"/>
      <c r="AZ265" s="67"/>
      <c r="BA265" s="69"/>
      <c r="BB265" s="76"/>
      <c r="BC265" s="67"/>
      <c r="BD265" s="68"/>
      <c r="BE265" s="69"/>
      <c r="BF265" s="69"/>
      <c r="BG265" s="69"/>
      <c r="BH265" s="69"/>
      <c r="BI265" s="69"/>
      <c r="BJ265" s="68"/>
      <c r="BK265" s="69"/>
      <c r="BL265" s="67"/>
      <c r="BM265" s="67"/>
      <c r="BN265" s="56"/>
      <c r="BO265" s="56"/>
      <c r="BT265" s="63"/>
      <c r="BW265" s="56"/>
      <c r="BX265" s="56"/>
      <c r="BY265" s="56"/>
      <c r="BZ265" s="56"/>
      <c r="CA265" s="56"/>
      <c r="CF265" s="63"/>
      <c r="CI265" s="56"/>
      <c r="CJ265" s="56"/>
      <c r="CK265" s="56"/>
      <c r="CL265" s="56"/>
      <c r="CM265" s="56"/>
    </row>
    <row r="266" spans="18:93" ht="18" customHeight="1">
      <c r="R266" s="63"/>
      <c r="V266" s="170"/>
      <c r="W266" s="170"/>
      <c r="X266" s="170"/>
      <c r="Y266" s="170"/>
      <c r="AD266" s="174"/>
      <c r="AG266" s="56"/>
      <c r="AH266" s="56"/>
      <c r="AI266" s="56"/>
      <c r="AJ266" s="56"/>
      <c r="AK266" s="56"/>
      <c r="AO266" s="68"/>
      <c r="AP266" s="76"/>
      <c r="AQ266" s="67"/>
      <c r="AR266" s="68"/>
      <c r="AS266" s="69"/>
      <c r="AT266" s="69"/>
      <c r="AU266" s="69"/>
      <c r="AV266" s="69"/>
      <c r="AW266" s="69"/>
      <c r="AX266" s="68"/>
      <c r="AY266" s="69"/>
      <c r="AZ266" s="67"/>
      <c r="BA266" s="69"/>
      <c r="BB266" s="76"/>
      <c r="BC266" s="67"/>
      <c r="BD266" s="68"/>
      <c r="BE266" s="69"/>
      <c r="BF266" s="69"/>
      <c r="BG266" s="69"/>
      <c r="BH266" s="69"/>
      <c r="BI266" s="69"/>
      <c r="BJ266" s="68"/>
      <c r="BK266" s="69"/>
      <c r="BL266" s="67"/>
      <c r="BM266" s="67"/>
      <c r="BN266" s="56"/>
      <c r="BO266" s="56"/>
      <c r="BT266" s="63"/>
      <c r="BW266" s="56"/>
      <c r="BX266" s="56"/>
      <c r="BY266" s="56"/>
      <c r="BZ266" s="56"/>
      <c r="CA266" s="56"/>
      <c r="CF266" s="63"/>
      <c r="CI266" s="56"/>
      <c r="CJ266" s="56"/>
      <c r="CK266" s="56"/>
      <c r="CL266" s="56"/>
      <c r="CM266" s="56"/>
    </row>
    <row r="267" spans="18:93" ht="18" customHeight="1">
      <c r="R267" s="63"/>
      <c r="V267" s="170"/>
      <c r="W267" s="170"/>
      <c r="X267" s="170"/>
      <c r="Y267" s="170"/>
      <c r="AD267" s="174"/>
      <c r="AG267" s="56"/>
      <c r="AH267" s="56"/>
      <c r="AI267" s="56"/>
      <c r="AJ267" s="56"/>
      <c r="AK267" s="56"/>
      <c r="AO267" s="68"/>
      <c r="AP267" s="76"/>
      <c r="AQ267" s="67"/>
      <c r="AR267" s="68"/>
      <c r="AS267" s="69"/>
      <c r="AT267" s="69"/>
      <c r="AU267" s="69"/>
      <c r="AV267" s="69"/>
      <c r="AW267" s="69"/>
      <c r="AX267" s="68"/>
      <c r="AY267" s="69"/>
      <c r="AZ267" s="67"/>
      <c r="BA267" s="69"/>
      <c r="BB267" s="76"/>
      <c r="BC267" s="67"/>
      <c r="BD267" s="68"/>
      <c r="BE267" s="69"/>
      <c r="BF267" s="69"/>
      <c r="BG267" s="69"/>
      <c r="BH267" s="69"/>
      <c r="BI267" s="69"/>
      <c r="BJ267" s="68"/>
      <c r="BK267" s="69"/>
      <c r="BL267" s="67"/>
      <c r="BM267" s="67"/>
      <c r="BN267" s="56"/>
      <c r="BO267" s="56"/>
      <c r="BT267" s="63"/>
      <c r="BW267" s="56"/>
      <c r="BX267" s="56"/>
      <c r="BY267" s="56"/>
      <c r="BZ267" s="56"/>
      <c r="CA267" s="56"/>
      <c r="CF267" s="63"/>
      <c r="CI267" s="56"/>
      <c r="CJ267" s="56"/>
      <c r="CK267" s="56"/>
      <c r="CL267" s="56"/>
      <c r="CM267" s="56"/>
    </row>
    <row r="268" spans="18:93" ht="18" customHeight="1">
      <c r="AO268" s="68"/>
      <c r="AP268" s="67"/>
      <c r="AQ268" s="67"/>
      <c r="AR268" s="68"/>
      <c r="AS268" s="68"/>
      <c r="AT268" s="68"/>
      <c r="AU268" s="68"/>
      <c r="AV268" s="68"/>
      <c r="AW268" s="68"/>
      <c r="AX268" s="68"/>
      <c r="AY268" s="69"/>
      <c r="AZ268" s="67"/>
      <c r="BA268" s="68"/>
      <c r="BB268" s="67"/>
      <c r="BC268" s="67"/>
      <c r="BD268" s="68"/>
      <c r="BE268" s="68"/>
      <c r="BF268" s="68"/>
      <c r="BG268" s="68"/>
      <c r="BH268" s="68"/>
      <c r="BI268" s="68"/>
      <c r="BJ268" s="68"/>
      <c r="BK268" s="69"/>
      <c r="BL268" s="67"/>
      <c r="BM268" s="67"/>
    </row>
    <row r="269" spans="18:93" ht="18" customHeight="1">
      <c r="R269" s="63"/>
      <c r="S269" s="64"/>
      <c r="Y269" s="532"/>
      <c r="Z269" s="532"/>
      <c r="AA269" s="532"/>
      <c r="AD269" s="174"/>
      <c r="AE269" s="64"/>
      <c r="AK269" s="531"/>
      <c r="AL269" s="531"/>
      <c r="AM269" s="531"/>
      <c r="AO269" s="68"/>
      <c r="AP269" s="76"/>
      <c r="AQ269" s="77"/>
      <c r="AR269" s="68"/>
      <c r="AS269" s="68"/>
      <c r="AT269" s="68"/>
      <c r="AU269" s="68"/>
      <c r="AV269" s="68"/>
      <c r="AW269" s="533"/>
      <c r="AX269" s="533"/>
      <c r="AY269" s="533"/>
      <c r="AZ269" s="67"/>
      <c r="BA269" s="68"/>
      <c r="BB269" s="76"/>
      <c r="BC269" s="77"/>
      <c r="BD269" s="68"/>
      <c r="BE269" s="68"/>
      <c r="BF269" s="68"/>
      <c r="BG269" s="68"/>
      <c r="BH269" s="68"/>
      <c r="BI269" s="533"/>
      <c r="BJ269" s="533"/>
      <c r="BK269" s="533"/>
      <c r="BL269" s="67"/>
      <c r="BM269" s="67"/>
      <c r="BO269" s="531"/>
      <c r="BP269" s="531"/>
      <c r="BQ269" s="531"/>
      <c r="BT269" s="63"/>
      <c r="BU269" s="64"/>
      <c r="CA269" s="531"/>
      <c r="CB269" s="531"/>
      <c r="CC269" s="531"/>
      <c r="CF269" s="63"/>
      <c r="CG269" s="64"/>
      <c r="CM269" s="531"/>
      <c r="CN269" s="531"/>
      <c r="CO269" s="531"/>
    </row>
    <row r="270" spans="18:93" ht="18" customHeight="1">
      <c r="R270" s="63"/>
      <c r="V270" s="170"/>
      <c r="W270" s="170"/>
      <c r="X270" s="170"/>
      <c r="Y270" s="170"/>
      <c r="AD270" s="174"/>
      <c r="AG270" s="56"/>
      <c r="AH270" s="56"/>
      <c r="AI270" s="56"/>
      <c r="AJ270" s="56"/>
      <c r="AK270" s="56"/>
      <c r="AO270" s="68"/>
      <c r="AP270" s="76"/>
      <c r="AQ270" s="67"/>
      <c r="AR270" s="68"/>
      <c r="AS270" s="69"/>
      <c r="AT270" s="69"/>
      <c r="AU270" s="69"/>
      <c r="AV270" s="69"/>
      <c r="AW270" s="69"/>
      <c r="AX270" s="68"/>
      <c r="AY270" s="69"/>
      <c r="AZ270" s="67"/>
      <c r="BA270" s="69"/>
      <c r="BB270" s="76"/>
      <c r="BC270" s="67"/>
      <c r="BD270" s="68"/>
      <c r="BE270" s="69"/>
      <c r="BF270" s="69"/>
      <c r="BG270" s="69"/>
      <c r="BH270" s="69"/>
      <c r="BI270" s="69"/>
      <c r="BJ270" s="68"/>
      <c r="BK270" s="69"/>
      <c r="BL270" s="67"/>
      <c r="BM270" s="67"/>
      <c r="BN270" s="56"/>
      <c r="BO270" s="56"/>
      <c r="BT270" s="63"/>
      <c r="BW270" s="56"/>
      <c r="BX270" s="56"/>
      <c r="BY270" s="56"/>
      <c r="BZ270" s="56"/>
      <c r="CA270" s="56"/>
      <c r="CF270" s="63"/>
      <c r="CI270" s="56"/>
      <c r="CJ270" s="56"/>
      <c r="CK270" s="56"/>
      <c r="CL270" s="56"/>
      <c r="CM270" s="56"/>
    </row>
    <row r="271" spans="18:93" ht="18" customHeight="1">
      <c r="R271" s="63"/>
      <c r="V271" s="170"/>
      <c r="W271" s="170"/>
      <c r="X271" s="170"/>
      <c r="Y271" s="170"/>
      <c r="AD271" s="174"/>
      <c r="AG271" s="56"/>
      <c r="AH271" s="56"/>
      <c r="AI271" s="56"/>
      <c r="AJ271" s="56"/>
      <c r="AK271" s="56"/>
      <c r="AO271" s="68"/>
      <c r="AP271" s="76"/>
      <c r="AQ271" s="67"/>
      <c r="AR271" s="68"/>
      <c r="AS271" s="69"/>
      <c r="AT271" s="69"/>
      <c r="AU271" s="69"/>
      <c r="AV271" s="69"/>
      <c r="AW271" s="69"/>
      <c r="AX271" s="68"/>
      <c r="AY271" s="69"/>
      <c r="AZ271" s="67"/>
      <c r="BA271" s="69"/>
      <c r="BB271" s="76"/>
      <c r="BC271" s="67"/>
      <c r="BD271" s="68"/>
      <c r="BE271" s="69"/>
      <c r="BF271" s="69"/>
      <c r="BG271" s="69"/>
      <c r="BH271" s="69"/>
      <c r="BI271" s="69"/>
      <c r="BJ271" s="68"/>
      <c r="BK271" s="69"/>
      <c r="BL271" s="67"/>
      <c r="BM271" s="67"/>
      <c r="BN271" s="56"/>
      <c r="BO271" s="56"/>
      <c r="BT271" s="63"/>
      <c r="BW271" s="56"/>
      <c r="BX271" s="56"/>
      <c r="BY271" s="56"/>
      <c r="BZ271" s="56"/>
      <c r="CA271" s="56"/>
      <c r="CF271" s="63"/>
      <c r="CI271" s="56"/>
      <c r="CJ271" s="56"/>
      <c r="CK271" s="56"/>
      <c r="CL271" s="56"/>
      <c r="CM271" s="56"/>
    </row>
    <row r="272" spans="18:93" ht="18" customHeight="1">
      <c r="R272" s="63"/>
      <c r="V272" s="170"/>
      <c r="W272" s="170"/>
      <c r="X272" s="170"/>
      <c r="Y272" s="170"/>
      <c r="AD272" s="174"/>
      <c r="AG272" s="56"/>
      <c r="AH272" s="56"/>
      <c r="AI272" s="56"/>
      <c r="AJ272" s="56"/>
      <c r="AK272" s="56"/>
      <c r="AO272" s="68"/>
      <c r="AP272" s="76"/>
      <c r="AQ272" s="67"/>
      <c r="AR272" s="68"/>
      <c r="AS272" s="69"/>
      <c r="AT272" s="69"/>
      <c r="AU272" s="69"/>
      <c r="AV272" s="69"/>
      <c r="AW272" s="69"/>
      <c r="AX272" s="68"/>
      <c r="AY272" s="69"/>
      <c r="AZ272" s="67"/>
      <c r="BA272" s="69"/>
      <c r="BB272" s="76"/>
      <c r="BC272" s="67"/>
      <c r="BD272" s="68"/>
      <c r="BE272" s="69"/>
      <c r="BF272" s="69"/>
      <c r="BG272" s="69"/>
      <c r="BH272" s="69"/>
      <c r="BI272" s="69"/>
      <c r="BJ272" s="68"/>
      <c r="BK272" s="69"/>
      <c r="BL272" s="67"/>
      <c r="BM272" s="67"/>
      <c r="BN272" s="56"/>
      <c r="BO272" s="56"/>
      <c r="BT272" s="63"/>
      <c r="BW272" s="56"/>
      <c r="BX272" s="56"/>
      <c r="BY272" s="56"/>
      <c r="BZ272" s="56"/>
      <c r="CA272" s="56"/>
      <c r="CF272" s="63"/>
      <c r="CI272" s="56"/>
      <c r="CJ272" s="56"/>
      <c r="CK272" s="56"/>
      <c r="CL272" s="56"/>
      <c r="CM272" s="56"/>
    </row>
    <row r="273" spans="18:93" ht="18" customHeight="1">
      <c r="R273" s="63"/>
      <c r="V273" s="170"/>
      <c r="W273" s="170"/>
      <c r="X273" s="170"/>
      <c r="Y273" s="170"/>
      <c r="AD273" s="174"/>
      <c r="AG273" s="56"/>
      <c r="AH273" s="56"/>
      <c r="AI273" s="56"/>
      <c r="AJ273" s="56"/>
      <c r="AK273" s="56"/>
      <c r="AO273" s="68"/>
      <c r="AP273" s="76"/>
      <c r="AQ273" s="67"/>
      <c r="AR273" s="68"/>
      <c r="AS273" s="69"/>
      <c r="AT273" s="69"/>
      <c r="AU273" s="69"/>
      <c r="AV273" s="69"/>
      <c r="AW273" s="69"/>
      <c r="AX273" s="68"/>
      <c r="AY273" s="69"/>
      <c r="AZ273" s="67"/>
      <c r="BA273" s="69"/>
      <c r="BB273" s="76"/>
      <c r="BC273" s="67"/>
      <c r="BD273" s="68"/>
      <c r="BE273" s="69"/>
      <c r="BF273" s="69"/>
      <c r="BG273" s="69"/>
      <c r="BH273" s="69"/>
      <c r="BI273" s="69"/>
      <c r="BJ273" s="68"/>
      <c r="BK273" s="69"/>
      <c r="BL273" s="67"/>
      <c r="BM273" s="67"/>
      <c r="BN273" s="56"/>
      <c r="BO273" s="56"/>
      <c r="BT273" s="63"/>
      <c r="BW273" s="56"/>
      <c r="BX273" s="56"/>
      <c r="BY273" s="56"/>
      <c r="BZ273" s="56"/>
      <c r="CA273" s="56"/>
      <c r="CF273" s="63"/>
      <c r="CI273" s="56"/>
      <c r="CJ273" s="56"/>
      <c r="CK273" s="56"/>
      <c r="CL273" s="56"/>
      <c r="CM273" s="56"/>
    </row>
    <row r="274" spans="18:93" ht="18" customHeight="1">
      <c r="AO274" s="68"/>
      <c r="AP274" s="67"/>
      <c r="AQ274" s="67"/>
      <c r="AR274" s="68"/>
      <c r="AS274" s="68"/>
      <c r="AT274" s="68"/>
      <c r="AU274" s="68"/>
      <c r="AV274" s="68"/>
      <c r="AW274" s="68"/>
      <c r="AX274" s="68"/>
      <c r="AY274" s="69"/>
      <c r="AZ274" s="67"/>
      <c r="BA274" s="68"/>
      <c r="BB274" s="67"/>
      <c r="BC274" s="67"/>
      <c r="BD274" s="68"/>
      <c r="BE274" s="68"/>
      <c r="BF274" s="68"/>
      <c r="BG274" s="68"/>
      <c r="BH274" s="68"/>
      <c r="BI274" s="68"/>
      <c r="BJ274" s="68"/>
      <c r="BK274" s="69"/>
      <c r="BL274" s="67"/>
      <c r="BM274" s="67"/>
    </row>
    <row r="275" spans="18:93" ht="18" customHeight="1">
      <c r="R275" s="63"/>
      <c r="S275" s="64"/>
      <c r="Y275" s="532"/>
      <c r="Z275" s="532"/>
      <c r="AA275" s="532"/>
      <c r="AD275" s="174"/>
      <c r="AE275" s="64"/>
      <c r="AK275" s="531"/>
      <c r="AL275" s="531"/>
      <c r="AM275" s="531"/>
      <c r="AO275" s="68"/>
      <c r="AP275" s="76"/>
      <c r="AQ275" s="77"/>
      <c r="AR275" s="68"/>
      <c r="AS275" s="68"/>
      <c r="AT275" s="68"/>
      <c r="AU275" s="68"/>
      <c r="AV275" s="68"/>
      <c r="AW275" s="533"/>
      <c r="AX275" s="533"/>
      <c r="AY275" s="533"/>
      <c r="AZ275" s="67"/>
      <c r="BA275" s="68"/>
      <c r="BB275" s="76"/>
      <c r="BC275" s="77"/>
      <c r="BD275" s="68"/>
      <c r="BE275" s="68"/>
      <c r="BF275" s="68"/>
      <c r="BG275" s="68"/>
      <c r="BH275" s="68"/>
      <c r="BI275" s="533"/>
      <c r="BJ275" s="533"/>
      <c r="BK275" s="533"/>
      <c r="BL275" s="67"/>
      <c r="BM275" s="67"/>
      <c r="BO275" s="531"/>
      <c r="BP275" s="531"/>
      <c r="BQ275" s="531"/>
      <c r="BT275" s="63"/>
      <c r="BU275" s="64"/>
      <c r="CA275" s="531"/>
      <c r="CB275" s="531"/>
      <c r="CC275" s="531"/>
      <c r="CF275" s="63"/>
      <c r="CG275" s="64"/>
      <c r="CM275" s="531"/>
      <c r="CN275" s="531"/>
      <c r="CO275" s="531"/>
    </row>
    <row r="276" spans="18:93" ht="18" customHeight="1">
      <c r="R276" s="63"/>
      <c r="V276" s="170"/>
      <c r="W276" s="170"/>
      <c r="X276" s="170"/>
      <c r="Y276" s="170"/>
      <c r="AD276" s="174"/>
      <c r="AG276" s="56"/>
      <c r="AH276" s="56"/>
      <c r="AI276" s="56"/>
      <c r="AJ276" s="56"/>
      <c r="AK276" s="56"/>
      <c r="AO276" s="68"/>
      <c r="AP276" s="76"/>
      <c r="AQ276" s="67"/>
      <c r="AR276" s="68"/>
      <c r="AS276" s="69"/>
      <c r="AT276" s="69"/>
      <c r="AU276" s="69"/>
      <c r="AV276" s="69"/>
      <c r="AW276" s="69"/>
      <c r="AX276" s="68"/>
      <c r="AY276" s="69"/>
      <c r="AZ276" s="67"/>
      <c r="BA276" s="69"/>
      <c r="BB276" s="76"/>
      <c r="BC276" s="67"/>
      <c r="BD276" s="68"/>
      <c r="BE276" s="69"/>
      <c r="BF276" s="69"/>
      <c r="BG276" s="69"/>
      <c r="BH276" s="69"/>
      <c r="BI276" s="69"/>
      <c r="BJ276" s="68"/>
      <c r="BK276" s="69"/>
      <c r="BL276" s="67"/>
      <c r="BM276" s="67"/>
      <c r="BN276" s="56"/>
      <c r="BO276" s="56"/>
      <c r="BT276" s="63"/>
      <c r="BW276" s="56"/>
      <c r="BX276" s="56"/>
      <c r="BY276" s="56"/>
      <c r="BZ276" s="56"/>
      <c r="CA276" s="56"/>
      <c r="CF276" s="63"/>
      <c r="CI276" s="56"/>
      <c r="CJ276" s="56"/>
      <c r="CK276" s="56"/>
      <c r="CL276" s="56"/>
      <c r="CM276" s="56"/>
    </row>
    <row r="277" spans="18:93" ht="18" customHeight="1">
      <c r="R277" s="63"/>
      <c r="V277" s="170"/>
      <c r="W277" s="170"/>
      <c r="X277" s="170"/>
      <c r="Y277" s="170"/>
      <c r="AD277" s="174"/>
      <c r="AG277" s="56"/>
      <c r="AH277" s="56"/>
      <c r="AI277" s="56"/>
      <c r="AJ277" s="56"/>
      <c r="AK277" s="56"/>
      <c r="AO277" s="68"/>
      <c r="AP277" s="76"/>
      <c r="AQ277" s="67"/>
      <c r="AR277" s="68"/>
      <c r="AS277" s="69"/>
      <c r="AT277" s="69"/>
      <c r="AU277" s="69"/>
      <c r="AV277" s="69"/>
      <c r="AW277" s="69"/>
      <c r="AX277" s="68"/>
      <c r="AY277" s="69"/>
      <c r="AZ277" s="67"/>
      <c r="BA277" s="69"/>
      <c r="BB277" s="76"/>
      <c r="BC277" s="67"/>
      <c r="BD277" s="68"/>
      <c r="BE277" s="69"/>
      <c r="BF277" s="69"/>
      <c r="BG277" s="69"/>
      <c r="BH277" s="69"/>
      <c r="BI277" s="69"/>
      <c r="BJ277" s="68"/>
      <c r="BK277" s="69"/>
      <c r="BL277" s="67"/>
      <c r="BM277" s="67"/>
      <c r="BN277" s="56"/>
      <c r="BO277" s="56"/>
      <c r="BT277" s="63"/>
      <c r="BW277" s="56"/>
      <c r="BX277" s="56"/>
      <c r="BY277" s="56"/>
      <c r="BZ277" s="56"/>
      <c r="CA277" s="56"/>
      <c r="CF277" s="63"/>
      <c r="CI277" s="56"/>
      <c r="CJ277" s="56"/>
      <c r="CK277" s="56"/>
      <c r="CL277" s="56"/>
      <c r="CM277" s="56"/>
    </row>
    <row r="278" spans="18:93" ht="18" customHeight="1">
      <c r="R278" s="63"/>
      <c r="V278" s="170"/>
      <c r="W278" s="170"/>
      <c r="X278" s="170"/>
      <c r="Y278" s="170"/>
      <c r="AD278" s="174"/>
      <c r="AG278" s="56"/>
      <c r="AH278" s="56"/>
      <c r="AI278" s="56"/>
      <c r="AJ278" s="56"/>
      <c r="AK278" s="56"/>
      <c r="AO278" s="68"/>
      <c r="AP278" s="76"/>
      <c r="AQ278" s="67"/>
      <c r="AR278" s="68"/>
      <c r="AS278" s="69"/>
      <c r="AT278" s="69"/>
      <c r="AU278" s="69"/>
      <c r="AV278" s="69"/>
      <c r="AW278" s="69"/>
      <c r="AX278" s="68"/>
      <c r="AY278" s="69"/>
      <c r="AZ278" s="67"/>
      <c r="BA278" s="69"/>
      <c r="BB278" s="76"/>
      <c r="BC278" s="67"/>
      <c r="BD278" s="68"/>
      <c r="BE278" s="69"/>
      <c r="BF278" s="69"/>
      <c r="BG278" s="69"/>
      <c r="BH278" s="69"/>
      <c r="BI278" s="69"/>
      <c r="BJ278" s="68"/>
      <c r="BK278" s="69"/>
      <c r="BL278" s="67"/>
      <c r="BM278" s="67"/>
      <c r="BN278" s="56"/>
      <c r="BO278" s="56"/>
      <c r="BT278" s="63"/>
      <c r="BW278" s="56"/>
      <c r="BX278" s="56"/>
      <c r="BY278" s="56"/>
      <c r="BZ278" s="56"/>
      <c r="CA278" s="56"/>
      <c r="CF278" s="63"/>
      <c r="CI278" s="56"/>
      <c r="CJ278" s="56"/>
      <c r="CK278" s="56"/>
      <c r="CL278" s="56"/>
      <c r="CM278" s="56"/>
    </row>
    <row r="279" spans="18:93" ht="18" customHeight="1">
      <c r="R279" s="63"/>
      <c r="V279" s="170"/>
      <c r="W279" s="170"/>
      <c r="X279" s="170"/>
      <c r="Y279" s="170"/>
      <c r="AD279" s="174"/>
      <c r="AG279" s="56"/>
      <c r="AH279" s="56"/>
      <c r="AI279" s="56"/>
      <c r="AJ279" s="56"/>
      <c r="AK279" s="56"/>
      <c r="AO279" s="68"/>
      <c r="AP279" s="76"/>
      <c r="AQ279" s="67"/>
      <c r="AR279" s="68"/>
      <c r="AS279" s="69"/>
      <c r="AT279" s="69"/>
      <c r="AU279" s="69"/>
      <c r="AV279" s="69"/>
      <c r="AW279" s="69"/>
      <c r="AX279" s="68"/>
      <c r="AY279" s="69"/>
      <c r="AZ279" s="67"/>
      <c r="BA279" s="69"/>
      <c r="BB279" s="76"/>
      <c r="BC279" s="67"/>
      <c r="BD279" s="68"/>
      <c r="BE279" s="69"/>
      <c r="BF279" s="69"/>
      <c r="BG279" s="69"/>
      <c r="BH279" s="69"/>
      <c r="BI279" s="69"/>
      <c r="BJ279" s="68"/>
      <c r="BK279" s="69"/>
      <c r="BL279" s="67"/>
      <c r="BM279" s="67"/>
      <c r="BN279" s="56"/>
      <c r="BO279" s="56"/>
      <c r="BT279" s="63"/>
      <c r="BW279" s="56"/>
      <c r="BX279" s="56"/>
      <c r="BY279" s="56"/>
      <c r="BZ279" s="56"/>
      <c r="CA279" s="56"/>
      <c r="CF279" s="63"/>
      <c r="CI279" s="56"/>
      <c r="CJ279" s="56"/>
      <c r="CK279" s="56"/>
      <c r="CL279" s="56"/>
      <c r="CM279" s="56"/>
    </row>
    <row r="280" spans="18:93" ht="18" customHeight="1">
      <c r="AO280" s="68"/>
      <c r="AP280" s="67"/>
      <c r="AQ280" s="67"/>
      <c r="AR280" s="68"/>
      <c r="AS280" s="68"/>
      <c r="AT280" s="68"/>
      <c r="AU280" s="68"/>
      <c r="AV280" s="68"/>
      <c r="AW280" s="68"/>
      <c r="AX280" s="68"/>
      <c r="AY280" s="69"/>
      <c r="AZ280" s="67"/>
      <c r="BA280" s="68"/>
      <c r="BB280" s="67"/>
      <c r="BC280" s="67"/>
      <c r="BD280" s="68"/>
      <c r="BE280" s="68"/>
      <c r="BF280" s="68"/>
      <c r="BG280" s="68"/>
      <c r="BH280" s="68"/>
      <c r="BI280" s="68"/>
      <c r="BJ280" s="68"/>
      <c r="BK280" s="69"/>
      <c r="BL280" s="67"/>
      <c r="BM280" s="67"/>
    </row>
    <row r="281" spans="18:93" ht="18" customHeight="1">
      <c r="R281" s="63"/>
      <c r="S281" s="64"/>
      <c r="Y281" s="532"/>
      <c r="Z281" s="532"/>
      <c r="AA281" s="532"/>
      <c r="AD281" s="174"/>
      <c r="AE281" s="64"/>
      <c r="AK281" s="531"/>
      <c r="AL281" s="531"/>
      <c r="AM281" s="531"/>
      <c r="AO281" s="68"/>
      <c r="AP281" s="76"/>
      <c r="AQ281" s="77"/>
      <c r="AR281" s="68"/>
      <c r="AS281" s="68"/>
      <c r="AT281" s="68"/>
      <c r="AU281" s="68"/>
      <c r="AV281" s="68"/>
      <c r="AW281" s="533"/>
      <c r="AX281" s="533"/>
      <c r="AY281" s="533"/>
      <c r="AZ281" s="67"/>
      <c r="BA281" s="68"/>
      <c r="BB281" s="76"/>
      <c r="BC281" s="77"/>
      <c r="BD281" s="68"/>
      <c r="BE281" s="68"/>
      <c r="BF281" s="68"/>
      <c r="BG281" s="68"/>
      <c r="BH281" s="68"/>
      <c r="BI281" s="533"/>
      <c r="BJ281" s="533"/>
      <c r="BK281" s="533"/>
      <c r="BL281" s="67"/>
      <c r="BM281" s="67"/>
      <c r="BO281" s="531"/>
      <c r="BP281" s="531"/>
      <c r="BQ281" s="531"/>
      <c r="BT281" s="63"/>
      <c r="BU281" s="64"/>
      <c r="CA281" s="531"/>
      <c r="CB281" s="531"/>
      <c r="CC281" s="531"/>
      <c r="CF281" s="63"/>
      <c r="CG281" s="64"/>
      <c r="CM281" s="531"/>
      <c r="CN281" s="531"/>
      <c r="CO281" s="531"/>
    </row>
    <row r="282" spans="18:93" ht="18" customHeight="1">
      <c r="R282" s="63"/>
      <c r="V282" s="170"/>
      <c r="W282" s="170"/>
      <c r="X282" s="170"/>
      <c r="Y282" s="170"/>
      <c r="AD282" s="174"/>
      <c r="AG282" s="56"/>
      <c r="AH282" s="56"/>
      <c r="AI282" s="56"/>
      <c r="AJ282" s="56"/>
      <c r="AK282" s="56"/>
      <c r="AO282" s="68"/>
      <c r="AP282" s="76"/>
      <c r="AQ282" s="67"/>
      <c r="AR282" s="68"/>
      <c r="AS282" s="69"/>
      <c r="AT282" s="69"/>
      <c r="AU282" s="69"/>
      <c r="AV282" s="69"/>
      <c r="AW282" s="69"/>
      <c r="AX282" s="68"/>
      <c r="AY282" s="69"/>
      <c r="AZ282" s="67"/>
      <c r="BA282" s="69"/>
      <c r="BB282" s="76"/>
      <c r="BC282" s="67"/>
      <c r="BD282" s="68"/>
      <c r="BE282" s="69"/>
      <c r="BF282" s="69"/>
      <c r="BG282" s="69"/>
      <c r="BH282" s="69"/>
      <c r="BI282" s="69"/>
      <c r="BJ282" s="68"/>
      <c r="BK282" s="69"/>
      <c r="BL282" s="67"/>
      <c r="BM282" s="67"/>
      <c r="BN282" s="56"/>
      <c r="BO282" s="56"/>
      <c r="BT282" s="63"/>
      <c r="BW282" s="56"/>
      <c r="BX282" s="56"/>
      <c r="BY282" s="56"/>
      <c r="BZ282" s="56"/>
      <c r="CA282" s="56"/>
      <c r="CF282" s="63"/>
      <c r="CI282" s="56"/>
      <c r="CJ282" s="56"/>
      <c r="CK282" s="56"/>
      <c r="CL282" s="56"/>
      <c r="CM282" s="56"/>
    </row>
    <row r="283" spans="18:93" ht="18" customHeight="1">
      <c r="R283" s="63"/>
      <c r="V283" s="170"/>
      <c r="W283" s="170"/>
      <c r="X283" s="170"/>
      <c r="Y283" s="170"/>
      <c r="AD283" s="174"/>
      <c r="AG283" s="56"/>
      <c r="AH283" s="56"/>
      <c r="AI283" s="56"/>
      <c r="AJ283" s="56"/>
      <c r="AK283" s="56"/>
      <c r="AO283" s="68"/>
      <c r="AP283" s="76"/>
      <c r="AQ283" s="67"/>
      <c r="AR283" s="68"/>
      <c r="AS283" s="69"/>
      <c r="AT283" s="69"/>
      <c r="AU283" s="69"/>
      <c r="AV283" s="69"/>
      <c r="AW283" s="69"/>
      <c r="AX283" s="68"/>
      <c r="AY283" s="69"/>
      <c r="AZ283" s="67"/>
      <c r="BA283" s="69"/>
      <c r="BB283" s="76"/>
      <c r="BC283" s="67"/>
      <c r="BD283" s="68"/>
      <c r="BE283" s="69"/>
      <c r="BF283" s="69"/>
      <c r="BG283" s="69"/>
      <c r="BH283" s="69"/>
      <c r="BI283" s="69"/>
      <c r="BJ283" s="68"/>
      <c r="BK283" s="69"/>
      <c r="BL283" s="67"/>
      <c r="BM283" s="67"/>
      <c r="BN283" s="56"/>
      <c r="BO283" s="56"/>
      <c r="BT283" s="63"/>
      <c r="BW283" s="56"/>
      <c r="BX283" s="56"/>
      <c r="BY283" s="56"/>
      <c r="BZ283" s="56"/>
      <c r="CA283" s="56"/>
      <c r="CF283" s="63"/>
      <c r="CI283" s="56"/>
      <c r="CJ283" s="56"/>
      <c r="CK283" s="56"/>
      <c r="CL283" s="56"/>
      <c r="CM283" s="56"/>
    </row>
    <row r="284" spans="18:93" ht="18" customHeight="1">
      <c r="R284" s="63"/>
      <c r="V284" s="170"/>
      <c r="W284" s="170"/>
      <c r="X284" s="170"/>
      <c r="Y284" s="170"/>
      <c r="AD284" s="174"/>
      <c r="AG284" s="56"/>
      <c r="AH284" s="56"/>
      <c r="AI284" s="56"/>
      <c r="AJ284" s="56"/>
      <c r="AK284" s="56"/>
      <c r="AO284" s="68"/>
      <c r="AP284" s="76"/>
      <c r="AQ284" s="67"/>
      <c r="AR284" s="68"/>
      <c r="AS284" s="69"/>
      <c r="AT284" s="69"/>
      <c r="AU284" s="69"/>
      <c r="AV284" s="69"/>
      <c r="AW284" s="69"/>
      <c r="AX284" s="68"/>
      <c r="AY284" s="69"/>
      <c r="AZ284" s="67"/>
      <c r="BA284" s="69"/>
      <c r="BB284" s="76"/>
      <c r="BC284" s="67"/>
      <c r="BD284" s="68"/>
      <c r="BE284" s="69"/>
      <c r="BF284" s="69"/>
      <c r="BG284" s="69"/>
      <c r="BH284" s="69"/>
      <c r="BI284" s="69"/>
      <c r="BJ284" s="68"/>
      <c r="BK284" s="69"/>
      <c r="BL284" s="67"/>
      <c r="BM284" s="67"/>
      <c r="BN284" s="56"/>
      <c r="BO284" s="56"/>
      <c r="BT284" s="63"/>
      <c r="BW284" s="56"/>
      <c r="BX284" s="56"/>
      <c r="BY284" s="56"/>
      <c r="BZ284" s="56"/>
      <c r="CA284" s="56"/>
      <c r="CF284" s="63"/>
      <c r="CI284" s="56"/>
      <c r="CJ284" s="56"/>
      <c r="CK284" s="56"/>
      <c r="CL284" s="56"/>
      <c r="CM284" s="56"/>
    </row>
    <row r="285" spans="18:93" ht="18" customHeight="1">
      <c r="R285" s="63"/>
      <c r="V285" s="170"/>
      <c r="W285" s="170"/>
      <c r="X285" s="170"/>
      <c r="Y285" s="170"/>
      <c r="AD285" s="174"/>
      <c r="AG285" s="56"/>
      <c r="AH285" s="56"/>
      <c r="AI285" s="56"/>
      <c r="AJ285" s="56"/>
      <c r="AK285" s="56"/>
      <c r="AO285" s="68"/>
      <c r="AP285" s="76"/>
      <c r="AQ285" s="67"/>
      <c r="AR285" s="68"/>
      <c r="AS285" s="69"/>
      <c r="AT285" s="69"/>
      <c r="AU285" s="69"/>
      <c r="AV285" s="69"/>
      <c r="AW285" s="69"/>
      <c r="AX285" s="68"/>
      <c r="AY285" s="69"/>
      <c r="AZ285" s="67"/>
      <c r="BA285" s="69"/>
      <c r="BB285" s="76"/>
      <c r="BC285" s="67"/>
      <c r="BD285" s="68"/>
      <c r="BE285" s="69"/>
      <c r="BF285" s="69"/>
      <c r="BG285" s="69"/>
      <c r="BH285" s="69"/>
      <c r="BI285" s="69"/>
      <c r="BJ285" s="68"/>
      <c r="BK285" s="69"/>
      <c r="BL285" s="67"/>
      <c r="BM285" s="67"/>
      <c r="BN285" s="56"/>
      <c r="BO285" s="56"/>
      <c r="BT285" s="63"/>
      <c r="BW285" s="56"/>
      <c r="BX285" s="56"/>
      <c r="BY285" s="56"/>
      <c r="BZ285" s="56"/>
      <c r="CA285" s="56"/>
      <c r="CF285" s="63"/>
      <c r="CI285" s="56"/>
      <c r="CJ285" s="56"/>
      <c r="CK285" s="56"/>
      <c r="CL285" s="56"/>
      <c r="CM285" s="56"/>
    </row>
    <row r="286" spans="18:93" ht="18" customHeight="1">
      <c r="AO286" s="68"/>
      <c r="AP286" s="67"/>
      <c r="AQ286" s="67"/>
      <c r="AR286" s="68"/>
      <c r="AS286" s="68"/>
      <c r="AT286" s="68"/>
      <c r="AU286" s="68"/>
      <c r="AV286" s="68"/>
      <c r="AW286" s="68"/>
      <c r="AX286" s="68"/>
      <c r="AY286" s="69"/>
      <c r="AZ286" s="67"/>
      <c r="BA286" s="68"/>
      <c r="BB286" s="67"/>
      <c r="BC286" s="67"/>
      <c r="BD286" s="68"/>
      <c r="BE286" s="68"/>
      <c r="BF286" s="68"/>
      <c r="BG286" s="68"/>
      <c r="BH286" s="68"/>
      <c r="BI286" s="68"/>
      <c r="BJ286" s="68"/>
      <c r="BK286" s="69"/>
      <c r="BL286" s="67"/>
      <c r="BM286" s="67"/>
    </row>
    <row r="287" spans="18:93" ht="18" customHeight="1">
      <c r="R287" s="63"/>
      <c r="S287" s="64"/>
      <c r="Y287" s="532"/>
      <c r="Z287" s="532"/>
      <c r="AA287" s="532"/>
      <c r="AD287" s="174"/>
      <c r="AE287" s="64"/>
      <c r="AK287" s="531"/>
      <c r="AL287" s="531"/>
      <c r="AM287" s="531"/>
      <c r="AO287" s="68"/>
      <c r="AP287" s="76"/>
      <c r="AQ287" s="77"/>
      <c r="AR287" s="68"/>
      <c r="AS287" s="68"/>
      <c r="AT287" s="68"/>
      <c r="AU287" s="68"/>
      <c r="AV287" s="68"/>
      <c r="AW287" s="533"/>
      <c r="AX287" s="533"/>
      <c r="AY287" s="533"/>
      <c r="AZ287" s="67"/>
      <c r="BA287" s="68"/>
      <c r="BB287" s="76"/>
      <c r="BC287" s="77"/>
      <c r="BD287" s="68"/>
      <c r="BE287" s="68"/>
      <c r="BF287" s="68"/>
      <c r="BG287" s="68"/>
      <c r="BH287" s="68"/>
      <c r="BI287" s="533"/>
      <c r="BJ287" s="533"/>
      <c r="BK287" s="533"/>
      <c r="BL287" s="67"/>
      <c r="BM287" s="67"/>
      <c r="BO287" s="531"/>
      <c r="BP287" s="531"/>
      <c r="BQ287" s="531"/>
      <c r="BT287" s="63"/>
      <c r="BU287" s="64"/>
      <c r="CA287" s="531"/>
      <c r="CB287" s="531"/>
      <c r="CC287" s="531"/>
      <c r="CF287" s="63"/>
      <c r="CG287" s="64"/>
      <c r="CM287" s="531"/>
      <c r="CN287" s="531"/>
      <c r="CO287" s="531"/>
    </row>
    <row r="288" spans="18:93" ht="18" customHeight="1">
      <c r="R288" s="63"/>
      <c r="V288" s="170"/>
      <c r="W288" s="170"/>
      <c r="X288" s="170"/>
      <c r="Y288" s="170"/>
      <c r="AD288" s="174"/>
      <c r="AG288" s="56"/>
      <c r="AH288" s="56"/>
      <c r="AI288" s="56"/>
      <c r="AJ288" s="56"/>
      <c r="AK288" s="56"/>
      <c r="AO288" s="68"/>
      <c r="AP288" s="76"/>
      <c r="AQ288" s="67"/>
      <c r="AR288" s="68"/>
      <c r="AS288" s="69"/>
      <c r="AT288" s="69"/>
      <c r="AU288" s="69"/>
      <c r="AV288" s="69"/>
      <c r="AW288" s="69"/>
      <c r="AX288" s="68"/>
      <c r="AY288" s="69"/>
      <c r="AZ288" s="67"/>
      <c r="BA288" s="69"/>
      <c r="BB288" s="76"/>
      <c r="BC288" s="67"/>
      <c r="BD288" s="68"/>
      <c r="BE288" s="69"/>
      <c r="BF288" s="69"/>
      <c r="BG288" s="69"/>
      <c r="BH288" s="69"/>
      <c r="BI288" s="69"/>
      <c r="BJ288" s="68"/>
      <c r="BK288" s="69"/>
      <c r="BL288" s="67"/>
      <c r="BM288" s="67"/>
      <c r="BN288" s="56"/>
      <c r="BO288" s="56"/>
      <c r="BT288" s="63"/>
      <c r="BW288" s="56"/>
      <c r="BX288" s="56"/>
      <c r="BY288" s="56"/>
      <c r="BZ288" s="56"/>
      <c r="CA288" s="56"/>
      <c r="CF288" s="63"/>
      <c r="CI288" s="56"/>
      <c r="CJ288" s="56"/>
      <c r="CK288" s="56"/>
      <c r="CL288" s="56"/>
      <c r="CM288" s="56"/>
    </row>
    <row r="289" spans="18:93" ht="18" customHeight="1">
      <c r="R289" s="63"/>
      <c r="V289" s="170"/>
      <c r="W289" s="170"/>
      <c r="X289" s="170"/>
      <c r="Y289" s="170"/>
      <c r="AD289" s="174"/>
      <c r="AG289" s="56"/>
      <c r="AH289" s="56"/>
      <c r="AI289" s="56"/>
      <c r="AJ289" s="56"/>
      <c r="AK289" s="56"/>
      <c r="AO289" s="68"/>
      <c r="AP289" s="76"/>
      <c r="AQ289" s="67"/>
      <c r="AR289" s="68"/>
      <c r="AS289" s="69"/>
      <c r="AT289" s="69"/>
      <c r="AU289" s="69"/>
      <c r="AV289" s="69"/>
      <c r="AW289" s="69"/>
      <c r="AX289" s="68"/>
      <c r="AY289" s="69"/>
      <c r="AZ289" s="67"/>
      <c r="BA289" s="69"/>
      <c r="BB289" s="76"/>
      <c r="BC289" s="67"/>
      <c r="BD289" s="68"/>
      <c r="BE289" s="69"/>
      <c r="BF289" s="69"/>
      <c r="BG289" s="69"/>
      <c r="BH289" s="69"/>
      <c r="BI289" s="69"/>
      <c r="BJ289" s="68"/>
      <c r="BK289" s="69"/>
      <c r="BL289" s="67"/>
      <c r="BM289" s="67"/>
      <c r="BN289" s="56"/>
      <c r="BO289" s="56"/>
      <c r="BT289" s="63"/>
      <c r="BW289" s="56"/>
      <c r="BX289" s="56"/>
      <c r="BY289" s="56"/>
      <c r="BZ289" s="56"/>
      <c r="CA289" s="56"/>
      <c r="CF289" s="63"/>
      <c r="CI289" s="56"/>
      <c r="CJ289" s="56"/>
      <c r="CK289" s="56"/>
      <c r="CL289" s="56"/>
      <c r="CM289" s="56"/>
    </row>
    <row r="290" spans="18:93" ht="18" customHeight="1">
      <c r="R290" s="63"/>
      <c r="V290" s="170"/>
      <c r="W290" s="170"/>
      <c r="X290" s="170"/>
      <c r="Y290" s="170"/>
      <c r="AD290" s="174"/>
      <c r="AG290" s="56"/>
      <c r="AH290" s="56"/>
      <c r="AI290" s="56"/>
      <c r="AJ290" s="56"/>
      <c r="AK290" s="56"/>
      <c r="AO290" s="68"/>
      <c r="AP290" s="76"/>
      <c r="AQ290" s="67"/>
      <c r="AR290" s="68"/>
      <c r="AS290" s="69"/>
      <c r="AT290" s="69"/>
      <c r="AU290" s="69"/>
      <c r="AV290" s="69"/>
      <c r="AW290" s="69"/>
      <c r="AX290" s="68"/>
      <c r="AY290" s="69"/>
      <c r="AZ290" s="67"/>
      <c r="BA290" s="69"/>
      <c r="BB290" s="76"/>
      <c r="BC290" s="67"/>
      <c r="BD290" s="68"/>
      <c r="BE290" s="69"/>
      <c r="BF290" s="69"/>
      <c r="BG290" s="69"/>
      <c r="BH290" s="69"/>
      <c r="BI290" s="69"/>
      <c r="BJ290" s="68"/>
      <c r="BK290" s="69"/>
      <c r="BL290" s="67"/>
      <c r="BM290" s="67"/>
      <c r="BN290" s="56"/>
      <c r="BO290" s="56"/>
      <c r="BT290" s="63"/>
      <c r="BW290" s="56"/>
      <c r="BX290" s="56"/>
      <c r="BY290" s="56"/>
      <c r="BZ290" s="56"/>
      <c r="CA290" s="56"/>
      <c r="CF290" s="63"/>
      <c r="CI290" s="56"/>
      <c r="CJ290" s="56"/>
      <c r="CK290" s="56"/>
      <c r="CL290" s="56"/>
      <c r="CM290" s="56"/>
    </row>
    <row r="291" spans="18:93" ht="18" customHeight="1">
      <c r="R291" s="63"/>
      <c r="V291" s="170"/>
      <c r="W291" s="170"/>
      <c r="X291" s="170"/>
      <c r="Y291" s="170"/>
      <c r="AD291" s="174"/>
      <c r="AG291" s="56"/>
      <c r="AH291" s="56"/>
      <c r="AI291" s="56"/>
      <c r="AJ291" s="56"/>
      <c r="AK291" s="56"/>
      <c r="AO291" s="68"/>
      <c r="AP291" s="76"/>
      <c r="AQ291" s="67"/>
      <c r="AR291" s="68"/>
      <c r="AS291" s="69"/>
      <c r="AT291" s="69"/>
      <c r="AU291" s="69"/>
      <c r="AV291" s="69"/>
      <c r="AW291" s="69"/>
      <c r="AX291" s="68"/>
      <c r="AY291" s="69"/>
      <c r="AZ291" s="67"/>
      <c r="BA291" s="69"/>
      <c r="BB291" s="76"/>
      <c r="BC291" s="67"/>
      <c r="BD291" s="68"/>
      <c r="BE291" s="69"/>
      <c r="BF291" s="69"/>
      <c r="BG291" s="69"/>
      <c r="BH291" s="69"/>
      <c r="BI291" s="69"/>
      <c r="BJ291" s="68"/>
      <c r="BK291" s="69"/>
      <c r="BL291" s="67"/>
      <c r="BM291" s="67"/>
      <c r="BN291" s="56"/>
      <c r="BO291" s="56"/>
      <c r="BT291" s="63"/>
      <c r="BW291" s="56"/>
      <c r="BX291" s="56"/>
      <c r="BY291" s="56"/>
      <c r="BZ291" s="56"/>
      <c r="CA291" s="56"/>
      <c r="CF291" s="63"/>
      <c r="CI291" s="56"/>
      <c r="CJ291" s="56"/>
      <c r="CK291" s="56"/>
      <c r="CL291" s="56"/>
      <c r="CM291" s="56"/>
    </row>
    <row r="292" spans="18:93" ht="18" customHeight="1">
      <c r="AO292" s="68"/>
      <c r="AP292" s="67"/>
      <c r="AQ292" s="67"/>
      <c r="AR292" s="68"/>
      <c r="AS292" s="68"/>
      <c r="AT292" s="68"/>
      <c r="AU292" s="68"/>
      <c r="AV292" s="68"/>
      <c r="AW292" s="68"/>
      <c r="AX292" s="68"/>
      <c r="AY292" s="69"/>
      <c r="AZ292" s="67"/>
      <c r="BA292" s="68"/>
      <c r="BB292" s="67"/>
      <c r="BC292" s="67"/>
      <c r="BD292" s="68"/>
      <c r="BE292" s="68"/>
      <c r="BF292" s="68"/>
      <c r="BG292" s="68"/>
      <c r="BH292" s="68"/>
      <c r="BI292" s="68"/>
      <c r="BJ292" s="68"/>
      <c r="BK292" s="69"/>
      <c r="BL292" s="67"/>
      <c r="BM292" s="67"/>
    </row>
    <row r="293" spans="18:93" ht="18" customHeight="1">
      <c r="R293" s="63"/>
      <c r="S293" s="64"/>
      <c r="Y293" s="532"/>
      <c r="Z293" s="532"/>
      <c r="AA293" s="532"/>
      <c r="AD293" s="174"/>
      <c r="AE293" s="64"/>
      <c r="AK293" s="531"/>
      <c r="AL293" s="531"/>
      <c r="AM293" s="531"/>
      <c r="AO293" s="68"/>
      <c r="AP293" s="76"/>
      <c r="AQ293" s="77"/>
      <c r="AR293" s="68"/>
      <c r="AS293" s="68"/>
      <c r="AT293" s="68"/>
      <c r="AU293" s="68"/>
      <c r="AV293" s="68"/>
      <c r="AW293" s="533"/>
      <c r="AX293" s="533"/>
      <c r="AY293" s="533"/>
      <c r="AZ293" s="67"/>
      <c r="BA293" s="68"/>
      <c r="BB293" s="76"/>
      <c r="BC293" s="77"/>
      <c r="BD293" s="68"/>
      <c r="BE293" s="68"/>
      <c r="BF293" s="68"/>
      <c r="BG293" s="68"/>
      <c r="BH293" s="68"/>
      <c r="BI293" s="533"/>
      <c r="BJ293" s="533"/>
      <c r="BK293" s="533"/>
      <c r="BL293" s="67"/>
      <c r="BM293" s="67"/>
      <c r="BO293" s="531"/>
      <c r="BP293" s="531"/>
      <c r="BQ293" s="531"/>
      <c r="BT293" s="63"/>
      <c r="BU293" s="64"/>
      <c r="CA293" s="531"/>
      <c r="CB293" s="531"/>
      <c r="CC293" s="531"/>
      <c r="CF293" s="63"/>
      <c r="CG293" s="64"/>
      <c r="CM293" s="531"/>
      <c r="CN293" s="531"/>
      <c r="CO293" s="531"/>
    </row>
    <row r="294" spans="18:93" ht="18" customHeight="1">
      <c r="R294" s="63"/>
      <c r="V294" s="170"/>
      <c r="W294" s="170"/>
      <c r="X294" s="170"/>
      <c r="Y294" s="170"/>
      <c r="AD294" s="174"/>
      <c r="AG294" s="56"/>
      <c r="AH294" s="56"/>
      <c r="AI294" s="56"/>
      <c r="AJ294" s="56"/>
      <c r="AK294" s="56"/>
      <c r="AO294" s="68"/>
      <c r="AP294" s="76"/>
      <c r="AQ294" s="67"/>
      <c r="AR294" s="68"/>
      <c r="AS294" s="69"/>
      <c r="AT294" s="69"/>
      <c r="AU294" s="69"/>
      <c r="AV294" s="69"/>
      <c r="AW294" s="69"/>
      <c r="AX294" s="68"/>
      <c r="AY294" s="69"/>
      <c r="AZ294" s="67"/>
      <c r="BA294" s="69"/>
      <c r="BB294" s="76"/>
      <c r="BC294" s="67"/>
      <c r="BD294" s="68"/>
      <c r="BE294" s="69"/>
      <c r="BF294" s="69"/>
      <c r="BG294" s="69"/>
      <c r="BH294" s="69"/>
      <c r="BI294" s="69"/>
      <c r="BJ294" s="68"/>
      <c r="BK294" s="69"/>
      <c r="BL294" s="67"/>
      <c r="BM294" s="67"/>
      <c r="BN294" s="56"/>
      <c r="BO294" s="56"/>
      <c r="BT294" s="63"/>
      <c r="BW294" s="56"/>
      <c r="BX294" s="56"/>
      <c r="BY294" s="56"/>
      <c r="BZ294" s="56"/>
      <c r="CA294" s="56"/>
      <c r="CF294" s="63"/>
      <c r="CI294" s="56"/>
      <c r="CJ294" s="56"/>
      <c r="CK294" s="56"/>
      <c r="CL294" s="56"/>
      <c r="CM294" s="56"/>
    </row>
    <row r="295" spans="18:93" ht="18" customHeight="1">
      <c r="R295" s="63"/>
      <c r="V295" s="170"/>
      <c r="W295" s="170"/>
      <c r="X295" s="170"/>
      <c r="Y295" s="170"/>
      <c r="AD295" s="174"/>
      <c r="AG295" s="56"/>
      <c r="AH295" s="56"/>
      <c r="AI295" s="56"/>
      <c r="AJ295" s="56"/>
      <c r="AK295" s="56"/>
      <c r="AO295" s="68"/>
      <c r="AP295" s="76"/>
      <c r="AQ295" s="67"/>
      <c r="AR295" s="68"/>
      <c r="AS295" s="69"/>
      <c r="AT295" s="69"/>
      <c r="AU295" s="69"/>
      <c r="AV295" s="69"/>
      <c r="AW295" s="69"/>
      <c r="AX295" s="68"/>
      <c r="AY295" s="69"/>
      <c r="AZ295" s="67"/>
      <c r="BA295" s="69"/>
      <c r="BB295" s="76"/>
      <c r="BC295" s="67"/>
      <c r="BD295" s="68"/>
      <c r="BE295" s="69"/>
      <c r="BF295" s="69"/>
      <c r="BG295" s="69"/>
      <c r="BH295" s="69"/>
      <c r="BI295" s="69"/>
      <c r="BJ295" s="68"/>
      <c r="BK295" s="69"/>
      <c r="BL295" s="67"/>
      <c r="BM295" s="67"/>
      <c r="BN295" s="56"/>
      <c r="BO295" s="56"/>
      <c r="BT295" s="63"/>
      <c r="BW295" s="56"/>
      <c r="BX295" s="56"/>
      <c r="BY295" s="56"/>
      <c r="BZ295" s="56"/>
      <c r="CA295" s="56"/>
      <c r="CF295" s="63"/>
      <c r="CI295" s="56"/>
      <c r="CJ295" s="56"/>
      <c r="CK295" s="56"/>
      <c r="CL295" s="56"/>
      <c r="CM295" s="56"/>
    </row>
    <row r="296" spans="18:93" ht="18" customHeight="1">
      <c r="R296" s="63"/>
      <c r="V296" s="170"/>
      <c r="W296" s="170"/>
      <c r="X296" s="170"/>
      <c r="Y296" s="170"/>
      <c r="AD296" s="174"/>
      <c r="AG296" s="56"/>
      <c r="AH296" s="56"/>
      <c r="AI296" s="56"/>
      <c r="AJ296" s="56"/>
      <c r="AK296" s="56"/>
      <c r="AO296" s="68"/>
      <c r="AP296" s="76"/>
      <c r="AQ296" s="67"/>
      <c r="AR296" s="68"/>
      <c r="AS296" s="69"/>
      <c r="AT296" s="69"/>
      <c r="AU296" s="69"/>
      <c r="AV296" s="69"/>
      <c r="AW296" s="69"/>
      <c r="AX296" s="68"/>
      <c r="AY296" s="69"/>
      <c r="AZ296" s="67"/>
      <c r="BA296" s="69"/>
      <c r="BB296" s="76"/>
      <c r="BC296" s="67"/>
      <c r="BD296" s="68"/>
      <c r="BE296" s="69"/>
      <c r="BF296" s="69"/>
      <c r="BG296" s="69"/>
      <c r="BH296" s="69"/>
      <c r="BI296" s="69"/>
      <c r="BJ296" s="68"/>
      <c r="BK296" s="69"/>
      <c r="BL296" s="67"/>
      <c r="BM296" s="67"/>
      <c r="BN296" s="56"/>
      <c r="BO296" s="56"/>
      <c r="BT296" s="63"/>
      <c r="BW296" s="56"/>
      <c r="BX296" s="56"/>
      <c r="BY296" s="56"/>
      <c r="BZ296" s="56"/>
      <c r="CA296" s="56"/>
      <c r="CF296" s="63"/>
      <c r="CI296" s="56"/>
      <c r="CJ296" s="56"/>
      <c r="CK296" s="56"/>
      <c r="CL296" s="56"/>
      <c r="CM296" s="56"/>
    </row>
    <row r="297" spans="18:93" ht="18" customHeight="1">
      <c r="R297" s="63"/>
      <c r="V297" s="170"/>
      <c r="W297" s="170"/>
      <c r="X297" s="170"/>
      <c r="Y297" s="170"/>
      <c r="AD297" s="174"/>
      <c r="AG297" s="56"/>
      <c r="AH297" s="56"/>
      <c r="AI297" s="56"/>
      <c r="AJ297" s="56"/>
      <c r="AK297" s="56"/>
      <c r="AO297" s="68"/>
      <c r="AP297" s="76"/>
      <c r="AQ297" s="67"/>
      <c r="AR297" s="68"/>
      <c r="AS297" s="69"/>
      <c r="AT297" s="69"/>
      <c r="AU297" s="69"/>
      <c r="AV297" s="69"/>
      <c r="AW297" s="69"/>
      <c r="AX297" s="68"/>
      <c r="AY297" s="69"/>
      <c r="AZ297" s="67"/>
      <c r="BA297" s="69"/>
      <c r="BB297" s="76"/>
      <c r="BC297" s="67"/>
      <c r="BD297" s="68"/>
      <c r="BE297" s="69"/>
      <c r="BF297" s="69"/>
      <c r="BG297" s="69"/>
      <c r="BH297" s="69"/>
      <c r="BI297" s="69"/>
      <c r="BJ297" s="68"/>
      <c r="BK297" s="69"/>
      <c r="BL297" s="67"/>
      <c r="BM297" s="67"/>
      <c r="BN297" s="56"/>
      <c r="BO297" s="56"/>
      <c r="BT297" s="63"/>
      <c r="BW297" s="56"/>
      <c r="BX297" s="56"/>
      <c r="BY297" s="56"/>
      <c r="BZ297" s="56"/>
      <c r="CA297" s="56"/>
      <c r="CF297" s="63"/>
      <c r="CI297" s="56"/>
      <c r="CJ297" s="56"/>
      <c r="CK297" s="56"/>
      <c r="CL297" s="56"/>
      <c r="CM297" s="56"/>
    </row>
    <row r="298" spans="18:93" ht="18" customHeight="1">
      <c r="AO298" s="68"/>
      <c r="AP298" s="67"/>
      <c r="AQ298" s="67"/>
      <c r="AR298" s="68"/>
      <c r="AS298" s="68"/>
      <c r="AT298" s="68"/>
      <c r="AU298" s="68"/>
      <c r="AV298" s="68"/>
      <c r="AW298" s="68"/>
      <c r="AX298" s="68"/>
      <c r="AY298" s="69"/>
      <c r="AZ298" s="67"/>
      <c r="BA298" s="68"/>
      <c r="BB298" s="67"/>
      <c r="BC298" s="67"/>
      <c r="BD298" s="68"/>
      <c r="BE298" s="68"/>
      <c r="BF298" s="68"/>
      <c r="BG298" s="68"/>
      <c r="BH298" s="68"/>
      <c r="BI298" s="68"/>
      <c r="BJ298" s="68"/>
      <c r="BK298" s="69"/>
      <c r="BL298" s="67"/>
      <c r="BM298" s="67"/>
    </row>
    <row r="299" spans="18:93" ht="18" customHeight="1">
      <c r="R299" s="63"/>
      <c r="S299" s="64"/>
      <c r="Y299" s="532"/>
      <c r="Z299" s="532"/>
      <c r="AA299" s="532"/>
      <c r="AD299" s="174"/>
      <c r="AE299" s="64"/>
      <c r="AK299" s="531"/>
      <c r="AL299" s="531"/>
      <c r="AM299" s="531"/>
      <c r="AO299" s="68"/>
      <c r="AP299" s="76"/>
      <c r="AQ299" s="77"/>
      <c r="AR299" s="68"/>
      <c r="AS299" s="68"/>
      <c r="AT299" s="68"/>
      <c r="AU299" s="68"/>
      <c r="AV299" s="68"/>
      <c r="AW299" s="533"/>
      <c r="AX299" s="533"/>
      <c r="AY299" s="533"/>
      <c r="AZ299" s="67"/>
      <c r="BA299" s="68"/>
      <c r="BB299" s="76"/>
      <c r="BC299" s="77"/>
      <c r="BD299" s="68"/>
      <c r="BE299" s="68"/>
      <c r="BF299" s="68"/>
      <c r="BG299" s="68"/>
      <c r="BH299" s="68"/>
      <c r="BI299" s="533"/>
      <c r="BJ299" s="533"/>
      <c r="BK299" s="533"/>
      <c r="BL299" s="67"/>
      <c r="BM299" s="67"/>
      <c r="BO299" s="531"/>
      <c r="BP299" s="531"/>
      <c r="BQ299" s="531"/>
      <c r="BT299" s="63"/>
      <c r="BU299" s="64"/>
      <c r="CA299" s="531"/>
      <c r="CB299" s="531"/>
      <c r="CC299" s="531"/>
      <c r="CF299" s="63"/>
      <c r="CG299" s="64"/>
      <c r="CM299" s="531"/>
      <c r="CN299" s="531"/>
      <c r="CO299" s="531"/>
    </row>
    <row r="300" spans="18:93" ht="18" customHeight="1">
      <c r="R300" s="63"/>
      <c r="V300" s="170"/>
      <c r="W300" s="170"/>
      <c r="X300" s="170"/>
      <c r="Y300" s="170"/>
      <c r="AD300" s="174"/>
      <c r="AG300" s="56"/>
      <c r="AH300" s="56"/>
      <c r="AI300" s="56"/>
      <c r="AJ300" s="56"/>
      <c r="AK300" s="56"/>
      <c r="AO300" s="68"/>
      <c r="AP300" s="76"/>
      <c r="AQ300" s="67"/>
      <c r="AR300" s="68"/>
      <c r="AS300" s="69"/>
      <c r="AT300" s="69"/>
      <c r="AU300" s="69"/>
      <c r="AV300" s="69"/>
      <c r="AW300" s="69"/>
      <c r="AX300" s="68"/>
      <c r="AY300" s="69"/>
      <c r="AZ300" s="67"/>
      <c r="BA300" s="69"/>
      <c r="BB300" s="76"/>
      <c r="BC300" s="67"/>
      <c r="BD300" s="68"/>
      <c r="BE300" s="69"/>
      <c r="BF300" s="69"/>
      <c r="BG300" s="69"/>
      <c r="BH300" s="69"/>
      <c r="BI300" s="69"/>
      <c r="BJ300" s="68"/>
      <c r="BK300" s="69"/>
      <c r="BL300" s="67"/>
      <c r="BM300" s="67"/>
      <c r="BN300" s="56"/>
      <c r="BO300" s="56"/>
      <c r="BT300" s="63"/>
      <c r="BW300" s="56"/>
      <c r="BX300" s="56"/>
      <c r="BY300" s="56"/>
      <c r="BZ300" s="56"/>
      <c r="CA300" s="56"/>
      <c r="CF300" s="63"/>
      <c r="CI300" s="56"/>
      <c r="CJ300" s="56"/>
      <c r="CK300" s="56"/>
      <c r="CL300" s="56"/>
      <c r="CM300" s="56"/>
    </row>
    <row r="301" spans="18:93" ht="18" customHeight="1">
      <c r="R301" s="63"/>
      <c r="V301" s="170"/>
      <c r="W301" s="170"/>
      <c r="X301" s="170"/>
      <c r="Y301" s="170"/>
      <c r="AD301" s="174"/>
      <c r="AG301" s="56"/>
      <c r="AH301" s="56"/>
      <c r="AI301" s="56"/>
      <c r="AJ301" s="56"/>
      <c r="AK301" s="56"/>
      <c r="AO301" s="68"/>
      <c r="AP301" s="76"/>
      <c r="AQ301" s="67"/>
      <c r="AR301" s="68"/>
      <c r="AS301" s="69"/>
      <c r="AT301" s="69"/>
      <c r="AU301" s="69"/>
      <c r="AV301" s="69"/>
      <c r="AW301" s="69"/>
      <c r="AX301" s="68"/>
      <c r="AY301" s="69"/>
      <c r="AZ301" s="67"/>
      <c r="BA301" s="69"/>
      <c r="BB301" s="76"/>
      <c r="BC301" s="67"/>
      <c r="BD301" s="68"/>
      <c r="BE301" s="69"/>
      <c r="BF301" s="69"/>
      <c r="BG301" s="69"/>
      <c r="BH301" s="69"/>
      <c r="BI301" s="69"/>
      <c r="BJ301" s="68"/>
      <c r="BK301" s="69"/>
      <c r="BL301" s="67"/>
      <c r="BM301" s="67"/>
      <c r="BN301" s="56"/>
      <c r="BO301" s="56"/>
      <c r="BT301" s="63"/>
      <c r="BW301" s="56"/>
      <c r="BX301" s="56"/>
      <c r="BY301" s="56"/>
      <c r="BZ301" s="56"/>
      <c r="CA301" s="56"/>
      <c r="CF301" s="63"/>
      <c r="CI301" s="56"/>
      <c r="CJ301" s="56"/>
      <c r="CK301" s="56"/>
      <c r="CL301" s="56"/>
      <c r="CM301" s="56"/>
    </row>
    <row r="302" spans="18:93" ht="18" customHeight="1">
      <c r="R302" s="63"/>
      <c r="V302" s="170"/>
      <c r="W302" s="170"/>
      <c r="X302" s="170"/>
      <c r="Y302" s="170"/>
      <c r="AD302" s="174"/>
      <c r="AG302" s="56"/>
      <c r="AH302" s="56"/>
      <c r="AI302" s="56"/>
      <c r="AJ302" s="56"/>
      <c r="AK302" s="56"/>
      <c r="AO302" s="68"/>
      <c r="AP302" s="76"/>
      <c r="AQ302" s="67"/>
      <c r="AR302" s="68"/>
      <c r="AS302" s="69"/>
      <c r="AT302" s="69"/>
      <c r="AU302" s="69"/>
      <c r="AV302" s="69"/>
      <c r="AW302" s="69"/>
      <c r="AX302" s="68"/>
      <c r="AY302" s="69"/>
      <c r="AZ302" s="67"/>
      <c r="BA302" s="69"/>
      <c r="BB302" s="76"/>
      <c r="BC302" s="67"/>
      <c r="BD302" s="68"/>
      <c r="BE302" s="69"/>
      <c r="BF302" s="69"/>
      <c r="BG302" s="69"/>
      <c r="BH302" s="69"/>
      <c r="BI302" s="69"/>
      <c r="BJ302" s="68"/>
      <c r="BK302" s="69"/>
      <c r="BL302" s="67"/>
      <c r="BM302" s="67"/>
      <c r="BN302" s="56"/>
      <c r="BO302" s="56"/>
      <c r="BT302" s="63"/>
      <c r="BW302" s="56"/>
      <c r="BX302" s="56"/>
      <c r="BY302" s="56"/>
      <c r="BZ302" s="56"/>
      <c r="CA302" s="56"/>
      <c r="CF302" s="63"/>
      <c r="CI302" s="56"/>
      <c r="CJ302" s="56"/>
      <c r="CK302" s="56"/>
      <c r="CL302" s="56"/>
      <c r="CM302" s="56"/>
    </row>
    <row r="303" spans="18:93" ht="18" customHeight="1">
      <c r="R303" s="63"/>
      <c r="V303" s="170"/>
      <c r="W303" s="170"/>
      <c r="X303" s="170"/>
      <c r="Y303" s="170"/>
      <c r="AD303" s="174"/>
      <c r="AG303" s="56"/>
      <c r="AH303" s="56"/>
      <c r="AI303" s="56"/>
      <c r="AJ303" s="56"/>
      <c r="AK303" s="56"/>
      <c r="AO303" s="68"/>
      <c r="AP303" s="76"/>
      <c r="AQ303" s="67"/>
      <c r="AR303" s="68"/>
      <c r="AS303" s="69"/>
      <c r="AT303" s="69"/>
      <c r="AU303" s="69"/>
      <c r="AV303" s="69"/>
      <c r="AW303" s="69"/>
      <c r="AX303" s="68"/>
      <c r="AY303" s="69"/>
      <c r="AZ303" s="67"/>
      <c r="BA303" s="69"/>
      <c r="BB303" s="76"/>
      <c r="BC303" s="67"/>
      <c r="BD303" s="68"/>
      <c r="BE303" s="69"/>
      <c r="BF303" s="69"/>
      <c r="BG303" s="69"/>
      <c r="BH303" s="69"/>
      <c r="BI303" s="69"/>
      <c r="BJ303" s="68"/>
      <c r="BK303" s="69"/>
      <c r="BL303" s="67"/>
      <c r="BM303" s="67"/>
      <c r="BN303" s="56"/>
      <c r="BO303" s="56"/>
      <c r="BT303" s="63"/>
      <c r="BW303" s="56"/>
      <c r="BX303" s="56"/>
      <c r="BY303" s="56"/>
      <c r="BZ303" s="56"/>
      <c r="CA303" s="56"/>
      <c r="CF303" s="63"/>
      <c r="CI303" s="56"/>
      <c r="CJ303" s="56"/>
      <c r="CK303" s="56"/>
      <c r="CL303" s="56"/>
      <c r="CM303" s="56"/>
    </row>
    <row r="304" spans="18:93" ht="18" customHeight="1">
      <c r="AO304" s="68"/>
      <c r="AP304" s="67"/>
      <c r="AQ304" s="67"/>
      <c r="AR304" s="68"/>
      <c r="AS304" s="68"/>
      <c r="AT304" s="68"/>
      <c r="AU304" s="68"/>
      <c r="AV304" s="68"/>
      <c r="AW304" s="68"/>
      <c r="AX304" s="68"/>
      <c r="AY304" s="69"/>
      <c r="AZ304" s="67"/>
      <c r="BA304" s="68"/>
      <c r="BB304" s="67"/>
      <c r="BC304" s="67"/>
      <c r="BD304" s="68"/>
      <c r="BE304" s="68"/>
      <c r="BF304" s="68"/>
      <c r="BG304" s="68"/>
      <c r="BH304" s="68"/>
      <c r="BI304" s="68"/>
      <c r="BJ304" s="68"/>
      <c r="BK304" s="69"/>
      <c r="BL304" s="67"/>
      <c r="BM304" s="67"/>
    </row>
    <row r="305" spans="18:93" ht="18" customHeight="1">
      <c r="R305" s="63"/>
      <c r="S305" s="64"/>
      <c r="Y305" s="532"/>
      <c r="Z305" s="532"/>
      <c r="AA305" s="532"/>
      <c r="AD305" s="174"/>
      <c r="AE305" s="64"/>
      <c r="AK305" s="531"/>
      <c r="AL305" s="531"/>
      <c r="AM305" s="531"/>
      <c r="AO305" s="68"/>
      <c r="AP305" s="76"/>
      <c r="AQ305" s="77"/>
      <c r="AR305" s="68"/>
      <c r="AS305" s="68"/>
      <c r="AT305" s="68"/>
      <c r="AU305" s="68"/>
      <c r="AV305" s="68"/>
      <c r="AW305" s="533"/>
      <c r="AX305" s="533"/>
      <c r="AY305" s="533"/>
      <c r="AZ305" s="67"/>
      <c r="BA305" s="68"/>
      <c r="BB305" s="76"/>
      <c r="BC305" s="77"/>
      <c r="BD305" s="68"/>
      <c r="BE305" s="68"/>
      <c r="BF305" s="68"/>
      <c r="BG305" s="68"/>
      <c r="BH305" s="68"/>
      <c r="BI305" s="533"/>
      <c r="BJ305" s="533"/>
      <c r="BK305" s="533"/>
      <c r="BL305" s="67"/>
      <c r="BM305" s="67"/>
      <c r="BO305" s="531"/>
      <c r="BP305" s="531"/>
      <c r="BQ305" s="531"/>
      <c r="BT305" s="63"/>
      <c r="BU305" s="64"/>
      <c r="CA305" s="531"/>
      <c r="CB305" s="531"/>
      <c r="CC305" s="531"/>
      <c r="CF305" s="63"/>
      <c r="CG305" s="64"/>
      <c r="CM305" s="531"/>
      <c r="CN305" s="531"/>
      <c r="CO305" s="531"/>
    </row>
    <row r="306" spans="18:93" ht="18" customHeight="1">
      <c r="R306" s="63"/>
      <c r="V306" s="170"/>
      <c r="W306" s="170"/>
      <c r="X306" s="170"/>
      <c r="Y306" s="170"/>
      <c r="AD306" s="174"/>
      <c r="AG306" s="56"/>
      <c r="AH306" s="56"/>
      <c r="AI306" s="56"/>
      <c r="AJ306" s="56"/>
      <c r="AK306" s="56"/>
      <c r="AO306" s="68"/>
      <c r="AP306" s="76"/>
      <c r="AQ306" s="67"/>
      <c r="AR306" s="68"/>
      <c r="AS306" s="69"/>
      <c r="AT306" s="69"/>
      <c r="AU306" s="69"/>
      <c r="AV306" s="69"/>
      <c r="AW306" s="69"/>
      <c r="AX306" s="68"/>
      <c r="AY306" s="69"/>
      <c r="AZ306" s="67"/>
      <c r="BA306" s="69"/>
      <c r="BB306" s="76"/>
      <c r="BC306" s="67"/>
      <c r="BD306" s="68"/>
      <c r="BE306" s="69"/>
      <c r="BF306" s="69"/>
      <c r="BG306" s="69"/>
      <c r="BH306" s="69"/>
      <c r="BI306" s="69"/>
      <c r="BJ306" s="68"/>
      <c r="BK306" s="69"/>
      <c r="BL306" s="67"/>
      <c r="BM306" s="67"/>
      <c r="BN306" s="56"/>
      <c r="BO306" s="56"/>
      <c r="BT306" s="63"/>
      <c r="BW306" s="56"/>
      <c r="BX306" s="56"/>
      <c r="BY306" s="56"/>
      <c r="BZ306" s="56"/>
      <c r="CA306" s="56"/>
      <c r="CF306" s="63"/>
      <c r="CI306" s="56"/>
      <c r="CJ306" s="56"/>
      <c r="CK306" s="56"/>
      <c r="CL306" s="56"/>
      <c r="CM306" s="56"/>
    </row>
    <row r="307" spans="18:93" ht="18" customHeight="1">
      <c r="R307" s="63"/>
      <c r="V307" s="170"/>
      <c r="W307" s="170"/>
      <c r="X307" s="170"/>
      <c r="Y307" s="170"/>
      <c r="AD307" s="174"/>
      <c r="AG307" s="56"/>
      <c r="AH307" s="56"/>
      <c r="AI307" s="56"/>
      <c r="AJ307" s="56"/>
      <c r="AK307" s="56"/>
      <c r="AO307" s="68"/>
      <c r="AP307" s="76"/>
      <c r="AQ307" s="67"/>
      <c r="AR307" s="68"/>
      <c r="AS307" s="69"/>
      <c r="AT307" s="69"/>
      <c r="AU307" s="69"/>
      <c r="AV307" s="69"/>
      <c r="AW307" s="69"/>
      <c r="AX307" s="68"/>
      <c r="AY307" s="69"/>
      <c r="AZ307" s="67"/>
      <c r="BA307" s="69"/>
      <c r="BB307" s="76"/>
      <c r="BC307" s="67"/>
      <c r="BD307" s="68"/>
      <c r="BE307" s="69"/>
      <c r="BF307" s="69"/>
      <c r="BG307" s="69"/>
      <c r="BH307" s="69"/>
      <c r="BI307" s="69"/>
      <c r="BJ307" s="68"/>
      <c r="BK307" s="69"/>
      <c r="BL307" s="67"/>
      <c r="BM307" s="67"/>
      <c r="BN307" s="56"/>
      <c r="BO307" s="56"/>
      <c r="BT307" s="63"/>
      <c r="BW307" s="56"/>
      <c r="BX307" s="56"/>
      <c r="BY307" s="56"/>
      <c r="BZ307" s="56"/>
      <c r="CA307" s="56"/>
      <c r="CF307" s="63"/>
      <c r="CI307" s="56"/>
      <c r="CJ307" s="56"/>
      <c r="CK307" s="56"/>
      <c r="CL307" s="56"/>
      <c r="CM307" s="56"/>
    </row>
    <row r="308" spans="18:93" ht="18" customHeight="1">
      <c r="R308" s="63"/>
      <c r="V308" s="170"/>
      <c r="W308" s="170"/>
      <c r="X308" s="170"/>
      <c r="Y308" s="170"/>
      <c r="AD308" s="174"/>
      <c r="AG308" s="56"/>
      <c r="AH308" s="56"/>
      <c r="AI308" s="56"/>
      <c r="AJ308" s="56"/>
      <c r="AK308" s="56"/>
      <c r="AO308" s="68"/>
      <c r="AP308" s="76"/>
      <c r="AQ308" s="67"/>
      <c r="AR308" s="68"/>
      <c r="AS308" s="69"/>
      <c r="AT308" s="69"/>
      <c r="AU308" s="69"/>
      <c r="AV308" s="69"/>
      <c r="AW308" s="69"/>
      <c r="AX308" s="68"/>
      <c r="AY308" s="69"/>
      <c r="AZ308" s="67"/>
      <c r="BA308" s="69"/>
      <c r="BB308" s="76"/>
      <c r="BC308" s="67"/>
      <c r="BD308" s="68"/>
      <c r="BE308" s="69"/>
      <c r="BF308" s="69"/>
      <c r="BG308" s="69"/>
      <c r="BH308" s="69"/>
      <c r="BI308" s="69"/>
      <c r="BJ308" s="68"/>
      <c r="BK308" s="69"/>
      <c r="BL308" s="67"/>
      <c r="BM308" s="67"/>
      <c r="BN308" s="56"/>
      <c r="BO308" s="56"/>
      <c r="BT308" s="63"/>
      <c r="BW308" s="56"/>
      <c r="BX308" s="56"/>
      <c r="BY308" s="56"/>
      <c r="BZ308" s="56"/>
      <c r="CA308" s="56"/>
      <c r="CF308" s="63"/>
      <c r="CI308" s="56"/>
      <c r="CJ308" s="56"/>
      <c r="CK308" s="56"/>
      <c r="CL308" s="56"/>
      <c r="CM308" s="56"/>
    </row>
    <row r="309" spans="18:93" ht="18" customHeight="1">
      <c r="R309" s="63"/>
      <c r="V309" s="170"/>
      <c r="W309" s="170"/>
      <c r="X309" s="170"/>
      <c r="Y309" s="170"/>
      <c r="AD309" s="174"/>
      <c r="AG309" s="56"/>
      <c r="AH309" s="56"/>
      <c r="AI309" s="56"/>
      <c r="AJ309" s="56"/>
      <c r="AK309" s="56"/>
      <c r="AO309" s="68"/>
      <c r="AP309" s="76"/>
      <c r="AQ309" s="67"/>
      <c r="AR309" s="68"/>
      <c r="AS309" s="69"/>
      <c r="AT309" s="69"/>
      <c r="AU309" s="69"/>
      <c r="AV309" s="69"/>
      <c r="AW309" s="69"/>
      <c r="AX309" s="68"/>
      <c r="AY309" s="69"/>
      <c r="AZ309" s="67"/>
      <c r="BA309" s="69"/>
      <c r="BB309" s="76"/>
      <c r="BC309" s="67"/>
      <c r="BD309" s="68"/>
      <c r="BE309" s="69"/>
      <c r="BF309" s="69"/>
      <c r="BG309" s="69"/>
      <c r="BH309" s="69"/>
      <c r="BI309" s="69"/>
      <c r="BJ309" s="68"/>
      <c r="BK309" s="69"/>
      <c r="BL309" s="67"/>
      <c r="BM309" s="67"/>
      <c r="BN309" s="56"/>
      <c r="BO309" s="56"/>
      <c r="BT309" s="63"/>
      <c r="BW309" s="56"/>
      <c r="BX309" s="56"/>
      <c r="BY309" s="56"/>
      <c r="BZ309" s="56"/>
      <c r="CA309" s="56"/>
      <c r="CF309" s="63"/>
      <c r="CI309" s="56"/>
      <c r="CJ309" s="56"/>
      <c r="CK309" s="56"/>
      <c r="CL309" s="56"/>
      <c r="CM309" s="56"/>
    </row>
    <row r="310" spans="18:93" ht="18" customHeight="1">
      <c r="AO310" s="68"/>
      <c r="AP310" s="67"/>
      <c r="AQ310" s="67"/>
      <c r="AR310" s="68"/>
      <c r="AS310" s="68"/>
      <c r="AT310" s="68"/>
      <c r="AU310" s="68"/>
      <c r="AV310" s="68"/>
      <c r="AW310" s="68"/>
      <c r="AX310" s="68"/>
      <c r="AY310" s="69"/>
      <c r="AZ310" s="67"/>
      <c r="BA310" s="68"/>
      <c r="BB310" s="67"/>
      <c r="BC310" s="67"/>
      <c r="BD310" s="68"/>
      <c r="BE310" s="68"/>
      <c r="BF310" s="68"/>
      <c r="BG310" s="68"/>
      <c r="BH310" s="68"/>
      <c r="BI310" s="68"/>
      <c r="BJ310" s="68"/>
      <c r="BK310" s="69"/>
      <c r="BL310" s="67"/>
      <c r="BM310" s="67"/>
    </row>
    <row r="311" spans="18:93" ht="18" customHeight="1">
      <c r="R311" s="63"/>
      <c r="S311" s="64"/>
      <c r="Y311" s="532"/>
      <c r="Z311" s="532"/>
      <c r="AA311" s="532"/>
      <c r="AD311" s="174"/>
      <c r="AE311" s="64"/>
      <c r="AK311" s="531"/>
      <c r="AL311" s="531"/>
      <c r="AM311" s="531"/>
      <c r="AO311" s="68"/>
      <c r="AP311" s="76"/>
      <c r="AQ311" s="77"/>
      <c r="AR311" s="68"/>
      <c r="AS311" s="68"/>
      <c r="AT311" s="68"/>
      <c r="AU311" s="68"/>
      <c r="AV311" s="68"/>
      <c r="AW311" s="533"/>
      <c r="AX311" s="533"/>
      <c r="AY311" s="533"/>
      <c r="AZ311" s="67"/>
      <c r="BA311" s="68"/>
      <c r="BB311" s="76"/>
      <c r="BC311" s="77"/>
      <c r="BD311" s="68"/>
      <c r="BE311" s="68"/>
      <c r="BF311" s="68"/>
      <c r="BG311" s="68"/>
      <c r="BH311" s="68"/>
      <c r="BI311" s="533"/>
      <c r="BJ311" s="533"/>
      <c r="BK311" s="533"/>
      <c r="BL311" s="67"/>
      <c r="BM311" s="67"/>
      <c r="BO311" s="531"/>
      <c r="BP311" s="531"/>
      <c r="BQ311" s="531"/>
      <c r="BT311" s="63"/>
      <c r="BU311" s="64"/>
      <c r="CA311" s="531"/>
      <c r="CB311" s="531"/>
      <c r="CC311" s="531"/>
      <c r="CF311" s="63"/>
      <c r="CG311" s="64"/>
      <c r="CM311" s="531"/>
      <c r="CN311" s="531"/>
      <c r="CO311" s="531"/>
    </row>
    <row r="312" spans="18:93" ht="18" customHeight="1">
      <c r="R312" s="63"/>
      <c r="V312" s="170"/>
      <c r="W312" s="170"/>
      <c r="X312" s="170"/>
      <c r="Y312" s="170"/>
      <c r="AD312" s="174"/>
      <c r="AG312" s="56"/>
      <c r="AH312" s="56"/>
      <c r="AI312" s="56"/>
      <c r="AJ312" s="56"/>
      <c r="AK312" s="56"/>
      <c r="AO312" s="68"/>
      <c r="AP312" s="76"/>
      <c r="AQ312" s="67"/>
      <c r="AR312" s="68"/>
      <c r="AS312" s="69"/>
      <c r="AT312" s="69"/>
      <c r="AU312" s="69"/>
      <c r="AV312" s="69"/>
      <c r="AW312" s="69"/>
      <c r="AX312" s="68"/>
      <c r="AY312" s="69"/>
      <c r="AZ312" s="67"/>
      <c r="BA312" s="69"/>
      <c r="BB312" s="76"/>
      <c r="BC312" s="67"/>
      <c r="BD312" s="68"/>
      <c r="BE312" s="69"/>
      <c r="BF312" s="69"/>
      <c r="BG312" s="69"/>
      <c r="BH312" s="69"/>
      <c r="BI312" s="69"/>
      <c r="BJ312" s="68"/>
      <c r="BK312" s="69"/>
      <c r="BL312" s="67"/>
      <c r="BM312" s="67"/>
      <c r="BN312" s="56"/>
      <c r="BO312" s="56"/>
      <c r="BT312" s="63"/>
      <c r="BW312" s="56"/>
      <c r="BX312" s="56"/>
      <c r="BY312" s="56"/>
      <c r="BZ312" s="56"/>
      <c r="CA312" s="56"/>
      <c r="CF312" s="63"/>
      <c r="CI312" s="56"/>
      <c r="CJ312" s="56"/>
      <c r="CK312" s="56"/>
      <c r="CL312" s="56"/>
      <c r="CM312" s="56"/>
    </row>
    <row r="313" spans="18:93" ht="18" customHeight="1">
      <c r="R313" s="63"/>
      <c r="V313" s="170"/>
      <c r="W313" s="170"/>
      <c r="X313" s="170"/>
      <c r="Y313" s="170"/>
      <c r="AD313" s="174"/>
      <c r="AG313" s="56"/>
      <c r="AH313" s="56"/>
      <c r="AI313" s="56"/>
      <c r="AJ313" s="56"/>
      <c r="AK313" s="56"/>
      <c r="AO313" s="68"/>
      <c r="AP313" s="76"/>
      <c r="AQ313" s="67"/>
      <c r="AR313" s="68"/>
      <c r="AS313" s="69"/>
      <c r="AT313" s="69"/>
      <c r="AU313" s="69"/>
      <c r="AV313" s="69"/>
      <c r="AW313" s="69"/>
      <c r="AX313" s="68"/>
      <c r="AY313" s="69"/>
      <c r="AZ313" s="67"/>
      <c r="BA313" s="69"/>
      <c r="BB313" s="76"/>
      <c r="BC313" s="67"/>
      <c r="BD313" s="68"/>
      <c r="BE313" s="69"/>
      <c r="BF313" s="69"/>
      <c r="BG313" s="69"/>
      <c r="BH313" s="69"/>
      <c r="BI313" s="69"/>
      <c r="BJ313" s="68"/>
      <c r="BK313" s="69"/>
      <c r="BL313" s="67"/>
      <c r="BM313" s="67"/>
      <c r="BN313" s="56"/>
      <c r="BO313" s="56"/>
      <c r="BT313" s="63"/>
      <c r="BW313" s="56"/>
      <c r="BX313" s="56"/>
      <c r="BY313" s="56"/>
      <c r="BZ313" s="56"/>
      <c r="CA313" s="56"/>
      <c r="CF313" s="63"/>
      <c r="CI313" s="56"/>
      <c r="CJ313" s="56"/>
      <c r="CK313" s="56"/>
      <c r="CL313" s="56"/>
      <c r="CM313" s="56"/>
    </row>
    <row r="314" spans="18:93" ht="18" customHeight="1">
      <c r="R314" s="63"/>
      <c r="V314" s="170"/>
      <c r="W314" s="170"/>
      <c r="X314" s="170"/>
      <c r="Y314" s="170"/>
      <c r="AD314" s="174"/>
      <c r="AG314" s="56"/>
      <c r="AH314" s="56"/>
      <c r="AI314" s="56"/>
      <c r="AJ314" s="56"/>
      <c r="AK314" s="56"/>
      <c r="AO314" s="68"/>
      <c r="AP314" s="76"/>
      <c r="AQ314" s="67"/>
      <c r="AR314" s="68"/>
      <c r="AS314" s="69"/>
      <c r="AT314" s="69"/>
      <c r="AU314" s="69"/>
      <c r="AV314" s="69"/>
      <c r="AW314" s="69"/>
      <c r="AX314" s="68"/>
      <c r="AY314" s="69"/>
      <c r="AZ314" s="67"/>
      <c r="BA314" s="69"/>
      <c r="BB314" s="76"/>
      <c r="BC314" s="67"/>
      <c r="BD314" s="68"/>
      <c r="BE314" s="69"/>
      <c r="BF314" s="69"/>
      <c r="BG314" s="69"/>
      <c r="BH314" s="69"/>
      <c r="BI314" s="69"/>
      <c r="BJ314" s="68"/>
      <c r="BK314" s="69"/>
      <c r="BL314" s="67"/>
      <c r="BM314" s="67"/>
      <c r="BN314" s="56"/>
      <c r="BO314" s="56"/>
      <c r="BT314" s="63"/>
      <c r="BW314" s="56"/>
      <c r="BX314" s="56"/>
      <c r="BY314" s="56"/>
      <c r="BZ314" s="56"/>
      <c r="CA314" s="56"/>
      <c r="CF314" s="63"/>
      <c r="CI314" s="56"/>
      <c r="CJ314" s="56"/>
      <c r="CK314" s="56"/>
      <c r="CL314" s="56"/>
      <c r="CM314" s="56"/>
    </row>
    <row r="315" spans="18:93" ht="18" customHeight="1">
      <c r="R315" s="63"/>
      <c r="V315" s="170"/>
      <c r="W315" s="170"/>
      <c r="X315" s="170"/>
      <c r="Y315" s="170"/>
      <c r="AD315" s="174"/>
      <c r="AG315" s="56"/>
      <c r="AH315" s="56"/>
      <c r="AI315" s="56"/>
      <c r="AJ315" s="56"/>
      <c r="AK315" s="56"/>
      <c r="AO315" s="68"/>
      <c r="AP315" s="76"/>
      <c r="AQ315" s="67"/>
      <c r="AR315" s="68"/>
      <c r="AS315" s="69"/>
      <c r="AT315" s="69"/>
      <c r="AU315" s="69"/>
      <c r="AV315" s="69"/>
      <c r="AW315" s="69"/>
      <c r="AX315" s="68"/>
      <c r="AY315" s="69"/>
      <c r="AZ315" s="67"/>
      <c r="BA315" s="69"/>
      <c r="BB315" s="76"/>
      <c r="BC315" s="67"/>
      <c r="BD315" s="68"/>
      <c r="BE315" s="69"/>
      <c r="BF315" s="69"/>
      <c r="BG315" s="69"/>
      <c r="BH315" s="69"/>
      <c r="BI315" s="69"/>
      <c r="BJ315" s="68"/>
      <c r="BK315" s="69"/>
      <c r="BL315" s="67"/>
      <c r="BM315" s="67"/>
      <c r="BN315" s="56"/>
      <c r="BO315" s="56"/>
      <c r="BT315" s="63"/>
      <c r="BW315" s="56"/>
      <c r="BX315" s="56"/>
      <c r="BY315" s="56"/>
      <c r="BZ315" s="56"/>
      <c r="CA315" s="56"/>
      <c r="CF315" s="63"/>
      <c r="CI315" s="56"/>
      <c r="CJ315" s="56"/>
      <c r="CK315" s="56"/>
      <c r="CL315" s="56"/>
      <c r="CM315" s="56"/>
    </row>
    <row r="316" spans="18:93" ht="18" customHeight="1">
      <c r="AO316" s="68"/>
      <c r="AP316" s="67"/>
      <c r="AQ316" s="67"/>
      <c r="AR316" s="68"/>
      <c r="AS316" s="68"/>
      <c r="AT316" s="68"/>
      <c r="AU316" s="68"/>
      <c r="AV316" s="68"/>
      <c r="AW316" s="68"/>
      <c r="AX316" s="68"/>
      <c r="AY316" s="69"/>
      <c r="AZ316" s="67"/>
      <c r="BA316" s="68"/>
      <c r="BB316" s="67"/>
      <c r="BC316" s="67"/>
      <c r="BD316" s="68"/>
      <c r="BE316" s="68"/>
      <c r="BF316" s="68"/>
      <c r="BG316" s="68"/>
      <c r="BH316" s="68"/>
      <c r="BI316" s="68"/>
      <c r="BJ316" s="68"/>
      <c r="BK316" s="69"/>
      <c r="BL316" s="67"/>
      <c r="BM316" s="67"/>
    </row>
    <row r="317" spans="18:93" ht="18" customHeight="1">
      <c r="R317" s="63"/>
      <c r="S317" s="64"/>
      <c r="Y317" s="532"/>
      <c r="Z317" s="532"/>
      <c r="AA317" s="532"/>
      <c r="AD317" s="174"/>
      <c r="AE317" s="64"/>
      <c r="AK317" s="531"/>
      <c r="AL317" s="531"/>
      <c r="AM317" s="531"/>
      <c r="AO317" s="68"/>
      <c r="AP317" s="76"/>
      <c r="AQ317" s="77"/>
      <c r="AR317" s="68"/>
      <c r="AS317" s="68"/>
      <c r="AT317" s="68"/>
      <c r="AU317" s="68"/>
      <c r="AV317" s="68"/>
      <c r="AW317" s="533"/>
      <c r="AX317" s="533"/>
      <c r="AY317" s="533"/>
      <c r="AZ317" s="67"/>
      <c r="BA317" s="68"/>
      <c r="BB317" s="76"/>
      <c r="BC317" s="77"/>
      <c r="BD317" s="68"/>
      <c r="BE317" s="68"/>
      <c r="BF317" s="68"/>
      <c r="BG317" s="68"/>
      <c r="BH317" s="68"/>
      <c r="BI317" s="533"/>
      <c r="BJ317" s="533"/>
      <c r="BK317" s="533"/>
      <c r="BL317" s="67"/>
      <c r="BM317" s="67"/>
      <c r="BO317" s="531"/>
      <c r="BP317" s="531"/>
      <c r="BQ317" s="531"/>
      <c r="BT317" s="63"/>
      <c r="BU317" s="64"/>
      <c r="CA317" s="531"/>
      <c r="CB317" s="531"/>
      <c r="CC317" s="531"/>
      <c r="CF317" s="63"/>
      <c r="CG317" s="64"/>
      <c r="CM317" s="531"/>
      <c r="CN317" s="531"/>
      <c r="CO317" s="531"/>
    </row>
    <row r="318" spans="18:93" ht="18" customHeight="1">
      <c r="R318" s="63"/>
      <c r="V318" s="170"/>
      <c r="W318" s="170"/>
      <c r="X318" s="170"/>
      <c r="Y318" s="170"/>
      <c r="AD318" s="174"/>
      <c r="AG318" s="56"/>
      <c r="AH318" s="56"/>
      <c r="AI318" s="56"/>
      <c r="AJ318" s="56"/>
      <c r="AK318" s="56"/>
      <c r="AO318" s="68"/>
      <c r="AP318" s="76"/>
      <c r="AQ318" s="67"/>
      <c r="AR318" s="68"/>
      <c r="AS318" s="69"/>
      <c r="AT318" s="69"/>
      <c r="AU318" s="69"/>
      <c r="AV318" s="69"/>
      <c r="AW318" s="69"/>
      <c r="AX318" s="68"/>
      <c r="AY318" s="69"/>
      <c r="AZ318" s="67"/>
      <c r="BA318" s="69"/>
      <c r="BB318" s="76"/>
      <c r="BC318" s="67"/>
      <c r="BD318" s="68"/>
      <c r="BE318" s="69"/>
      <c r="BF318" s="69"/>
      <c r="BG318" s="69"/>
      <c r="BH318" s="69"/>
      <c r="BI318" s="69"/>
      <c r="BJ318" s="68"/>
      <c r="BK318" s="69"/>
      <c r="BL318" s="67"/>
      <c r="BM318" s="67"/>
      <c r="BN318" s="56"/>
      <c r="BO318" s="56"/>
      <c r="BT318" s="63"/>
      <c r="BW318" s="56"/>
      <c r="BX318" s="56"/>
      <c r="BY318" s="56"/>
      <c r="BZ318" s="56"/>
      <c r="CA318" s="56"/>
      <c r="CF318" s="63"/>
      <c r="CI318" s="56"/>
      <c r="CJ318" s="56"/>
      <c r="CK318" s="56"/>
      <c r="CL318" s="56"/>
      <c r="CM318" s="56"/>
    </row>
    <row r="319" spans="18:93" ht="18" customHeight="1">
      <c r="R319" s="63"/>
      <c r="V319" s="170"/>
      <c r="W319" s="170"/>
      <c r="X319" s="170"/>
      <c r="Y319" s="170"/>
      <c r="AD319" s="174"/>
      <c r="AG319" s="56"/>
      <c r="AH319" s="56"/>
      <c r="AI319" s="56"/>
      <c r="AJ319" s="56"/>
      <c r="AK319" s="56"/>
      <c r="AO319" s="68"/>
      <c r="AP319" s="76"/>
      <c r="AQ319" s="67"/>
      <c r="AR319" s="68"/>
      <c r="AS319" s="69"/>
      <c r="AT319" s="69"/>
      <c r="AU319" s="69"/>
      <c r="AV319" s="69"/>
      <c r="AW319" s="69"/>
      <c r="AX319" s="68"/>
      <c r="AY319" s="69"/>
      <c r="AZ319" s="67"/>
      <c r="BA319" s="69"/>
      <c r="BB319" s="76"/>
      <c r="BC319" s="67"/>
      <c r="BD319" s="68"/>
      <c r="BE319" s="69"/>
      <c r="BF319" s="69"/>
      <c r="BG319" s="69"/>
      <c r="BH319" s="69"/>
      <c r="BI319" s="69"/>
      <c r="BJ319" s="68"/>
      <c r="BK319" s="69"/>
      <c r="BL319" s="67"/>
      <c r="BM319" s="67"/>
      <c r="BN319" s="56"/>
      <c r="BO319" s="56"/>
      <c r="BT319" s="63"/>
      <c r="BW319" s="56"/>
      <c r="BX319" s="56"/>
      <c r="BY319" s="56"/>
      <c r="BZ319" s="56"/>
      <c r="CA319" s="56"/>
      <c r="CF319" s="63"/>
      <c r="CI319" s="56"/>
      <c r="CJ319" s="56"/>
      <c r="CK319" s="56"/>
      <c r="CL319" s="56"/>
      <c r="CM319" s="56"/>
    </row>
    <row r="320" spans="18:93" ht="18" customHeight="1">
      <c r="R320" s="63"/>
      <c r="V320" s="170"/>
      <c r="W320" s="170"/>
      <c r="X320" s="170"/>
      <c r="Y320" s="170"/>
      <c r="AD320" s="174"/>
      <c r="AG320" s="56"/>
      <c r="AH320" s="56"/>
      <c r="AI320" s="56"/>
      <c r="AJ320" s="56"/>
      <c r="AK320" s="56"/>
      <c r="AO320" s="68"/>
      <c r="AP320" s="76"/>
      <c r="AQ320" s="67"/>
      <c r="AR320" s="68"/>
      <c r="AS320" s="69"/>
      <c r="AT320" s="69"/>
      <c r="AU320" s="69"/>
      <c r="AV320" s="69"/>
      <c r="AW320" s="69"/>
      <c r="AX320" s="68"/>
      <c r="AY320" s="69"/>
      <c r="AZ320" s="67"/>
      <c r="BA320" s="69"/>
      <c r="BB320" s="76"/>
      <c r="BC320" s="67"/>
      <c r="BD320" s="68"/>
      <c r="BE320" s="69"/>
      <c r="BF320" s="69"/>
      <c r="BG320" s="69"/>
      <c r="BH320" s="69"/>
      <c r="BI320" s="69"/>
      <c r="BJ320" s="68"/>
      <c r="BK320" s="69"/>
      <c r="BL320" s="67"/>
      <c r="BM320" s="67"/>
      <c r="BN320" s="56"/>
      <c r="BO320" s="56"/>
      <c r="BT320" s="63"/>
      <c r="BW320" s="56"/>
      <c r="BX320" s="56"/>
      <c r="BY320" s="56"/>
      <c r="BZ320" s="56"/>
      <c r="CA320" s="56"/>
      <c r="CF320" s="63"/>
      <c r="CI320" s="56"/>
      <c r="CJ320" s="56"/>
      <c r="CK320" s="56"/>
      <c r="CL320" s="56"/>
      <c r="CM320" s="56"/>
    </row>
    <row r="321" spans="18:93" ht="18" customHeight="1">
      <c r="R321" s="63"/>
      <c r="V321" s="170"/>
      <c r="W321" s="170"/>
      <c r="X321" s="170"/>
      <c r="Y321" s="170"/>
      <c r="AD321" s="174"/>
      <c r="AG321" s="56"/>
      <c r="AH321" s="56"/>
      <c r="AI321" s="56"/>
      <c r="AJ321" s="56"/>
      <c r="AK321" s="56"/>
      <c r="AO321" s="68"/>
      <c r="AP321" s="76"/>
      <c r="AQ321" s="67"/>
      <c r="AR321" s="68"/>
      <c r="AS321" s="69"/>
      <c r="AT321" s="69"/>
      <c r="AU321" s="69"/>
      <c r="AV321" s="69"/>
      <c r="AW321" s="69"/>
      <c r="AX321" s="68"/>
      <c r="AY321" s="69"/>
      <c r="AZ321" s="67"/>
      <c r="BA321" s="69"/>
      <c r="BB321" s="76"/>
      <c r="BC321" s="67"/>
      <c r="BD321" s="68"/>
      <c r="BE321" s="69"/>
      <c r="BF321" s="69"/>
      <c r="BG321" s="69"/>
      <c r="BH321" s="69"/>
      <c r="BI321" s="69"/>
      <c r="BJ321" s="68"/>
      <c r="BK321" s="69"/>
      <c r="BL321" s="67"/>
      <c r="BM321" s="67"/>
      <c r="BN321" s="56"/>
      <c r="BO321" s="56"/>
      <c r="BT321" s="63"/>
      <c r="BW321" s="56"/>
      <c r="BX321" s="56"/>
      <c r="BY321" s="56"/>
      <c r="BZ321" s="56"/>
      <c r="CA321" s="56"/>
      <c r="CF321" s="63"/>
      <c r="CI321" s="56"/>
      <c r="CJ321" s="56"/>
      <c r="CK321" s="56"/>
      <c r="CL321" s="56"/>
      <c r="CM321" s="56"/>
    </row>
    <row r="322" spans="18:93" ht="18" customHeight="1">
      <c r="AO322" s="68"/>
      <c r="AP322" s="67"/>
      <c r="AQ322" s="67"/>
      <c r="AR322" s="68"/>
      <c r="AS322" s="68"/>
      <c r="AT322" s="68"/>
      <c r="AU322" s="68"/>
      <c r="AV322" s="68"/>
      <c r="AW322" s="68"/>
      <c r="AX322" s="68"/>
      <c r="AY322" s="69"/>
      <c r="AZ322" s="67"/>
      <c r="BA322" s="68"/>
      <c r="BB322" s="67"/>
      <c r="BC322" s="67"/>
      <c r="BD322" s="68"/>
      <c r="BE322" s="68"/>
      <c r="BF322" s="68"/>
      <c r="BG322" s="68"/>
      <c r="BH322" s="68"/>
      <c r="BI322" s="68"/>
      <c r="BJ322" s="68"/>
      <c r="BK322" s="69"/>
      <c r="BL322" s="67"/>
      <c r="BM322" s="67"/>
    </row>
    <row r="323" spans="18:93" ht="18" customHeight="1">
      <c r="R323" s="63"/>
      <c r="S323" s="64"/>
      <c r="Y323" s="532"/>
      <c r="Z323" s="532"/>
      <c r="AA323" s="532"/>
      <c r="AD323" s="174"/>
      <c r="AE323" s="64"/>
      <c r="AK323" s="531"/>
      <c r="AL323" s="531"/>
      <c r="AM323" s="531"/>
      <c r="AO323" s="68"/>
      <c r="AP323" s="76"/>
      <c r="AQ323" s="77"/>
      <c r="AR323" s="68"/>
      <c r="AS323" s="68"/>
      <c r="AT323" s="68"/>
      <c r="AU323" s="68"/>
      <c r="AV323" s="68"/>
      <c r="AW323" s="533"/>
      <c r="AX323" s="533"/>
      <c r="AY323" s="533"/>
      <c r="AZ323" s="67"/>
      <c r="BA323" s="68"/>
      <c r="BB323" s="76"/>
      <c r="BC323" s="77"/>
      <c r="BD323" s="68"/>
      <c r="BE323" s="68"/>
      <c r="BF323" s="68"/>
      <c r="BG323" s="68"/>
      <c r="BH323" s="68"/>
      <c r="BI323" s="533"/>
      <c r="BJ323" s="533"/>
      <c r="BK323" s="533"/>
      <c r="BL323" s="67"/>
      <c r="BM323" s="67"/>
      <c r="BO323" s="531"/>
      <c r="BP323" s="531"/>
      <c r="BQ323" s="531"/>
      <c r="BT323" s="63"/>
      <c r="BU323" s="64"/>
      <c r="CA323" s="531"/>
      <c r="CB323" s="531"/>
      <c r="CC323" s="531"/>
      <c r="CF323" s="63"/>
      <c r="CG323" s="64"/>
      <c r="CM323" s="531"/>
      <c r="CN323" s="531"/>
      <c r="CO323" s="531"/>
    </row>
    <row r="324" spans="18:93" ht="18" customHeight="1">
      <c r="R324" s="63"/>
      <c r="V324" s="170"/>
      <c r="W324" s="170"/>
      <c r="X324" s="170"/>
      <c r="Y324" s="170"/>
      <c r="AD324" s="174"/>
      <c r="AG324" s="56"/>
      <c r="AH324" s="56"/>
      <c r="AI324" s="56"/>
      <c r="AJ324" s="56"/>
      <c r="AK324" s="56"/>
      <c r="AO324" s="68"/>
      <c r="AP324" s="76"/>
      <c r="AQ324" s="67"/>
      <c r="AR324" s="68"/>
      <c r="AS324" s="69"/>
      <c r="AT324" s="69"/>
      <c r="AU324" s="69"/>
      <c r="AV324" s="69"/>
      <c r="AW324" s="69"/>
      <c r="AX324" s="68"/>
      <c r="AY324" s="69"/>
      <c r="AZ324" s="67"/>
      <c r="BA324" s="69"/>
      <c r="BB324" s="76"/>
      <c r="BC324" s="67"/>
      <c r="BD324" s="68"/>
      <c r="BE324" s="69"/>
      <c r="BF324" s="69"/>
      <c r="BG324" s="69"/>
      <c r="BH324" s="69"/>
      <c r="BI324" s="69"/>
      <c r="BJ324" s="68"/>
      <c r="BK324" s="69"/>
      <c r="BL324" s="67"/>
      <c r="BM324" s="67"/>
      <c r="BN324" s="56"/>
      <c r="BO324" s="56"/>
      <c r="BT324" s="63"/>
      <c r="BW324" s="56"/>
      <c r="BX324" s="56"/>
      <c r="BY324" s="56"/>
      <c r="BZ324" s="56"/>
      <c r="CA324" s="56"/>
      <c r="CF324" s="63"/>
      <c r="CI324" s="56"/>
      <c r="CJ324" s="56"/>
      <c r="CK324" s="56"/>
      <c r="CL324" s="56"/>
      <c r="CM324" s="56"/>
    </row>
    <row r="325" spans="18:93" ht="18" customHeight="1">
      <c r="R325" s="63"/>
      <c r="V325" s="170"/>
      <c r="W325" s="170"/>
      <c r="X325" s="170"/>
      <c r="Y325" s="170"/>
      <c r="AD325" s="174"/>
      <c r="AG325" s="56"/>
      <c r="AH325" s="56"/>
      <c r="AI325" s="56"/>
      <c r="AJ325" s="56"/>
      <c r="AK325" s="56"/>
      <c r="AO325" s="68"/>
      <c r="AP325" s="76"/>
      <c r="AQ325" s="67"/>
      <c r="AR325" s="68"/>
      <c r="AS325" s="69"/>
      <c r="AT325" s="69"/>
      <c r="AU325" s="69"/>
      <c r="AV325" s="69"/>
      <c r="AW325" s="69"/>
      <c r="AX325" s="68"/>
      <c r="AY325" s="69"/>
      <c r="AZ325" s="67"/>
      <c r="BA325" s="69"/>
      <c r="BB325" s="76"/>
      <c r="BC325" s="67"/>
      <c r="BD325" s="68"/>
      <c r="BE325" s="69"/>
      <c r="BF325" s="69"/>
      <c r="BG325" s="69"/>
      <c r="BH325" s="69"/>
      <c r="BI325" s="69"/>
      <c r="BJ325" s="68"/>
      <c r="BK325" s="69"/>
      <c r="BL325" s="67"/>
      <c r="BM325" s="67"/>
      <c r="BN325" s="56"/>
      <c r="BO325" s="56"/>
      <c r="BT325" s="63"/>
      <c r="BW325" s="56"/>
      <c r="BX325" s="56"/>
      <c r="BY325" s="56"/>
      <c r="BZ325" s="56"/>
      <c r="CA325" s="56"/>
      <c r="CF325" s="63"/>
      <c r="CI325" s="56"/>
      <c r="CJ325" s="56"/>
      <c r="CK325" s="56"/>
      <c r="CL325" s="56"/>
      <c r="CM325" s="56"/>
    </row>
    <row r="326" spans="18:93" ht="18" customHeight="1">
      <c r="R326" s="63"/>
      <c r="V326" s="170"/>
      <c r="W326" s="170"/>
      <c r="X326" s="170"/>
      <c r="Y326" s="170"/>
      <c r="AD326" s="174"/>
      <c r="AG326" s="56"/>
      <c r="AH326" s="56"/>
      <c r="AI326" s="56"/>
      <c r="AJ326" s="56"/>
      <c r="AK326" s="56"/>
      <c r="AO326" s="68"/>
      <c r="AP326" s="76"/>
      <c r="AQ326" s="67"/>
      <c r="AR326" s="68"/>
      <c r="AS326" s="69"/>
      <c r="AT326" s="69"/>
      <c r="AU326" s="69"/>
      <c r="AV326" s="69"/>
      <c r="AW326" s="69"/>
      <c r="AX326" s="68"/>
      <c r="AY326" s="69"/>
      <c r="AZ326" s="67"/>
      <c r="BA326" s="69"/>
      <c r="BB326" s="76"/>
      <c r="BC326" s="67"/>
      <c r="BD326" s="68"/>
      <c r="BE326" s="69"/>
      <c r="BF326" s="69"/>
      <c r="BG326" s="69"/>
      <c r="BH326" s="69"/>
      <c r="BI326" s="69"/>
      <c r="BJ326" s="68"/>
      <c r="BK326" s="69"/>
      <c r="BL326" s="67"/>
      <c r="BM326" s="67"/>
      <c r="BN326" s="56"/>
      <c r="BO326" s="56"/>
      <c r="BT326" s="63"/>
      <c r="BW326" s="56"/>
      <c r="BX326" s="56"/>
      <c r="BY326" s="56"/>
      <c r="BZ326" s="56"/>
      <c r="CA326" s="56"/>
      <c r="CF326" s="63"/>
      <c r="CI326" s="56"/>
      <c r="CJ326" s="56"/>
      <c r="CK326" s="56"/>
      <c r="CL326" s="56"/>
      <c r="CM326" s="56"/>
    </row>
    <row r="327" spans="18:93" ht="18" customHeight="1">
      <c r="R327" s="63"/>
      <c r="V327" s="170"/>
      <c r="W327" s="170"/>
      <c r="X327" s="170"/>
      <c r="Y327" s="170"/>
      <c r="AD327" s="174"/>
      <c r="AG327" s="56"/>
      <c r="AH327" s="56"/>
      <c r="AI327" s="56"/>
      <c r="AJ327" s="56"/>
      <c r="AK327" s="56"/>
      <c r="AO327" s="68"/>
      <c r="AP327" s="76"/>
      <c r="AQ327" s="67"/>
      <c r="AR327" s="68"/>
      <c r="AS327" s="69"/>
      <c r="AT327" s="69"/>
      <c r="AU327" s="69"/>
      <c r="AV327" s="69"/>
      <c r="AW327" s="69"/>
      <c r="AX327" s="68"/>
      <c r="AY327" s="69"/>
      <c r="AZ327" s="67"/>
      <c r="BA327" s="69"/>
      <c r="BB327" s="76"/>
      <c r="BC327" s="67"/>
      <c r="BD327" s="68"/>
      <c r="BE327" s="69"/>
      <c r="BF327" s="69"/>
      <c r="BG327" s="69"/>
      <c r="BH327" s="69"/>
      <c r="BI327" s="69"/>
      <c r="BJ327" s="68"/>
      <c r="BK327" s="69"/>
      <c r="BL327" s="67"/>
      <c r="BM327" s="67"/>
      <c r="BN327" s="56"/>
      <c r="BO327" s="56"/>
      <c r="BT327" s="63"/>
      <c r="BW327" s="56"/>
      <c r="BX327" s="56"/>
      <c r="BY327" s="56"/>
      <c r="BZ327" s="56"/>
      <c r="CA327" s="56"/>
      <c r="CF327" s="63"/>
      <c r="CI327" s="56"/>
      <c r="CJ327" s="56"/>
      <c r="CK327" s="56"/>
      <c r="CL327" s="56"/>
      <c r="CM327" s="56"/>
    </row>
    <row r="328" spans="18:93" ht="18" customHeight="1">
      <c r="AO328" s="68"/>
      <c r="AP328" s="67"/>
      <c r="AQ328" s="67"/>
      <c r="AR328" s="68"/>
      <c r="AS328" s="68"/>
      <c r="AT328" s="68"/>
      <c r="AU328" s="68"/>
      <c r="AV328" s="68"/>
      <c r="AW328" s="68"/>
      <c r="AX328" s="68"/>
      <c r="AY328" s="69"/>
      <c r="AZ328" s="67"/>
      <c r="BA328" s="68"/>
      <c r="BB328" s="67"/>
      <c r="BC328" s="67"/>
      <c r="BD328" s="68"/>
      <c r="BE328" s="68"/>
      <c r="BF328" s="68"/>
      <c r="BG328" s="68"/>
      <c r="BH328" s="68"/>
      <c r="BI328" s="68"/>
      <c r="BJ328" s="68"/>
      <c r="BK328" s="69"/>
      <c r="BL328" s="67"/>
      <c r="BM328" s="67"/>
    </row>
    <row r="329" spans="18:93" ht="18" customHeight="1">
      <c r="R329" s="63"/>
      <c r="S329" s="64"/>
      <c r="Y329" s="532"/>
      <c r="Z329" s="532"/>
      <c r="AA329" s="532"/>
      <c r="AD329" s="174"/>
      <c r="AE329" s="64"/>
      <c r="AK329" s="531"/>
      <c r="AL329" s="531"/>
      <c r="AM329" s="531"/>
      <c r="AO329" s="68"/>
      <c r="AP329" s="76"/>
      <c r="AQ329" s="77"/>
      <c r="AR329" s="68"/>
      <c r="AS329" s="68"/>
      <c r="AT329" s="68"/>
      <c r="AU329" s="68"/>
      <c r="AV329" s="68"/>
      <c r="AW329" s="533"/>
      <c r="AX329" s="533"/>
      <c r="AY329" s="533"/>
      <c r="AZ329" s="67"/>
      <c r="BA329" s="68"/>
      <c r="BB329" s="76"/>
      <c r="BC329" s="77"/>
      <c r="BD329" s="68"/>
      <c r="BE329" s="68"/>
      <c r="BF329" s="68"/>
      <c r="BG329" s="68"/>
      <c r="BH329" s="68"/>
      <c r="BI329" s="533"/>
      <c r="BJ329" s="533"/>
      <c r="BK329" s="533"/>
      <c r="BL329" s="67"/>
      <c r="BM329" s="67"/>
      <c r="BO329" s="531"/>
      <c r="BP329" s="531"/>
      <c r="BQ329" s="531"/>
      <c r="BT329" s="63"/>
      <c r="BU329" s="64"/>
      <c r="CA329" s="531"/>
      <c r="CB329" s="531"/>
      <c r="CC329" s="531"/>
      <c r="CF329" s="63"/>
      <c r="CG329" s="64"/>
      <c r="CM329" s="531"/>
      <c r="CN329" s="531"/>
      <c r="CO329" s="531"/>
    </row>
    <row r="330" spans="18:93" ht="18" customHeight="1">
      <c r="R330" s="63"/>
      <c r="V330" s="170"/>
      <c r="W330" s="170"/>
      <c r="X330" s="170"/>
      <c r="Y330" s="170"/>
      <c r="AD330" s="174"/>
      <c r="AG330" s="56"/>
      <c r="AH330" s="56"/>
      <c r="AI330" s="56"/>
      <c r="AJ330" s="56"/>
      <c r="AK330" s="56"/>
      <c r="AO330" s="68"/>
      <c r="AP330" s="76"/>
      <c r="AQ330" s="67"/>
      <c r="AR330" s="68"/>
      <c r="AS330" s="69"/>
      <c r="AT330" s="69"/>
      <c r="AU330" s="69"/>
      <c r="AV330" s="69"/>
      <c r="AW330" s="69"/>
      <c r="AX330" s="68"/>
      <c r="AY330" s="69"/>
      <c r="AZ330" s="67"/>
      <c r="BA330" s="69"/>
      <c r="BB330" s="76"/>
      <c r="BC330" s="67"/>
      <c r="BD330" s="68"/>
      <c r="BE330" s="69"/>
      <c r="BF330" s="69"/>
      <c r="BG330" s="69"/>
      <c r="BH330" s="69"/>
      <c r="BI330" s="69"/>
      <c r="BJ330" s="68"/>
      <c r="BK330" s="69"/>
      <c r="BL330" s="67"/>
      <c r="BM330" s="67"/>
      <c r="BN330" s="56"/>
      <c r="BO330" s="56"/>
      <c r="BT330" s="63"/>
      <c r="BW330" s="56"/>
      <c r="BX330" s="56"/>
      <c r="BY330" s="56"/>
      <c r="BZ330" s="56"/>
      <c r="CA330" s="56"/>
      <c r="CF330" s="63"/>
      <c r="CI330" s="56"/>
      <c r="CJ330" s="56"/>
      <c r="CK330" s="56"/>
      <c r="CL330" s="56"/>
      <c r="CM330" s="56"/>
    </row>
    <row r="331" spans="18:93" ht="18" customHeight="1">
      <c r="R331" s="63"/>
      <c r="V331" s="170"/>
      <c r="W331" s="170"/>
      <c r="X331" s="170"/>
      <c r="Y331" s="170"/>
      <c r="AD331" s="174"/>
      <c r="AG331" s="56"/>
      <c r="AH331" s="56"/>
      <c r="AI331" s="56"/>
      <c r="AJ331" s="56"/>
      <c r="AK331" s="56"/>
      <c r="AO331" s="68"/>
      <c r="AP331" s="76"/>
      <c r="AQ331" s="67"/>
      <c r="AR331" s="68"/>
      <c r="AS331" s="69"/>
      <c r="AT331" s="69"/>
      <c r="AU331" s="69"/>
      <c r="AV331" s="69"/>
      <c r="AW331" s="69"/>
      <c r="AX331" s="68"/>
      <c r="AY331" s="69"/>
      <c r="AZ331" s="67"/>
      <c r="BA331" s="69"/>
      <c r="BB331" s="76"/>
      <c r="BC331" s="67"/>
      <c r="BD331" s="68"/>
      <c r="BE331" s="69"/>
      <c r="BF331" s="69"/>
      <c r="BG331" s="69"/>
      <c r="BH331" s="69"/>
      <c r="BI331" s="69"/>
      <c r="BJ331" s="68"/>
      <c r="BK331" s="69"/>
      <c r="BL331" s="67"/>
      <c r="BM331" s="67"/>
      <c r="BN331" s="56"/>
      <c r="BO331" s="56"/>
      <c r="BT331" s="63"/>
      <c r="BW331" s="56"/>
      <c r="BX331" s="56"/>
      <c r="BY331" s="56"/>
      <c r="BZ331" s="56"/>
      <c r="CA331" s="56"/>
      <c r="CF331" s="63"/>
      <c r="CI331" s="56"/>
      <c r="CJ331" s="56"/>
      <c r="CK331" s="56"/>
      <c r="CL331" s="56"/>
      <c r="CM331" s="56"/>
    </row>
    <row r="332" spans="18:93" ht="18" customHeight="1">
      <c r="R332" s="63"/>
      <c r="V332" s="170"/>
      <c r="W332" s="170"/>
      <c r="X332" s="170"/>
      <c r="Y332" s="170"/>
      <c r="AD332" s="174"/>
      <c r="AG332" s="56"/>
      <c r="AH332" s="56"/>
      <c r="AI332" s="56"/>
      <c r="AJ332" s="56"/>
      <c r="AK332" s="56"/>
      <c r="AO332" s="68"/>
      <c r="AP332" s="76"/>
      <c r="AQ332" s="67"/>
      <c r="AR332" s="68"/>
      <c r="AS332" s="69"/>
      <c r="AT332" s="69"/>
      <c r="AU332" s="69"/>
      <c r="AV332" s="69"/>
      <c r="AW332" s="69"/>
      <c r="AX332" s="68"/>
      <c r="AY332" s="69"/>
      <c r="AZ332" s="67"/>
      <c r="BA332" s="69"/>
      <c r="BB332" s="76"/>
      <c r="BC332" s="67"/>
      <c r="BD332" s="68"/>
      <c r="BE332" s="69"/>
      <c r="BF332" s="69"/>
      <c r="BG332" s="69"/>
      <c r="BH332" s="69"/>
      <c r="BI332" s="69"/>
      <c r="BJ332" s="68"/>
      <c r="BK332" s="69"/>
      <c r="BL332" s="67"/>
      <c r="BM332" s="67"/>
      <c r="BN332" s="56"/>
      <c r="BO332" s="56"/>
      <c r="BT332" s="63"/>
      <c r="BW332" s="56"/>
      <c r="BX332" s="56"/>
      <c r="BY332" s="56"/>
      <c r="BZ332" s="56"/>
      <c r="CA332" s="56"/>
      <c r="CF332" s="63"/>
      <c r="CI332" s="56"/>
      <c r="CJ332" s="56"/>
      <c r="CK332" s="56"/>
      <c r="CL332" s="56"/>
      <c r="CM332" s="56"/>
    </row>
    <row r="333" spans="18:93" ht="18" customHeight="1">
      <c r="R333" s="63"/>
      <c r="V333" s="170"/>
      <c r="W333" s="170"/>
      <c r="X333" s="170"/>
      <c r="Y333" s="170"/>
      <c r="AD333" s="174"/>
      <c r="AG333" s="56"/>
      <c r="AH333" s="56"/>
      <c r="AI333" s="56"/>
      <c r="AJ333" s="56"/>
      <c r="AK333" s="56"/>
      <c r="AO333" s="68"/>
      <c r="AP333" s="76"/>
      <c r="AQ333" s="67"/>
      <c r="AR333" s="68"/>
      <c r="AS333" s="69"/>
      <c r="AT333" s="69"/>
      <c r="AU333" s="69"/>
      <c r="AV333" s="69"/>
      <c r="AW333" s="69"/>
      <c r="AX333" s="68"/>
      <c r="AY333" s="69"/>
      <c r="AZ333" s="67"/>
      <c r="BA333" s="69"/>
      <c r="BB333" s="76"/>
      <c r="BC333" s="67"/>
      <c r="BD333" s="68"/>
      <c r="BE333" s="69"/>
      <c r="BF333" s="69"/>
      <c r="BG333" s="69"/>
      <c r="BH333" s="69"/>
      <c r="BI333" s="69"/>
      <c r="BJ333" s="68"/>
      <c r="BK333" s="69"/>
      <c r="BL333" s="67"/>
      <c r="BM333" s="67"/>
      <c r="BN333" s="56"/>
      <c r="BO333" s="56"/>
      <c r="BT333" s="63"/>
      <c r="BW333" s="56"/>
      <c r="BX333" s="56"/>
      <c r="BY333" s="56"/>
      <c r="BZ333" s="56"/>
      <c r="CA333" s="56"/>
      <c r="CF333" s="63"/>
      <c r="CI333" s="56"/>
      <c r="CJ333" s="56"/>
      <c r="CK333" s="56"/>
      <c r="CL333" s="56"/>
      <c r="CM333" s="56"/>
    </row>
    <row r="334" spans="18:93" ht="18" customHeight="1">
      <c r="AO334" s="68"/>
      <c r="AP334" s="67"/>
      <c r="AQ334" s="67"/>
      <c r="AR334" s="68"/>
      <c r="AS334" s="68"/>
      <c r="AT334" s="68"/>
      <c r="AU334" s="68"/>
      <c r="AV334" s="68"/>
      <c r="AW334" s="68"/>
      <c r="AX334" s="68"/>
      <c r="AY334" s="69"/>
      <c r="AZ334" s="67"/>
      <c r="BA334" s="68"/>
      <c r="BB334" s="67"/>
      <c r="BC334" s="67"/>
      <c r="BD334" s="68"/>
      <c r="BE334" s="68"/>
      <c r="BF334" s="68"/>
      <c r="BG334" s="68"/>
      <c r="BH334" s="68"/>
      <c r="BI334" s="68"/>
      <c r="BJ334" s="68"/>
      <c r="BK334" s="69"/>
      <c r="BL334" s="67"/>
      <c r="BM334" s="67"/>
    </row>
    <row r="335" spans="18:93" ht="18" customHeight="1">
      <c r="R335" s="63"/>
      <c r="S335" s="64"/>
      <c r="Y335" s="532"/>
      <c r="Z335" s="532"/>
      <c r="AA335" s="532"/>
      <c r="AD335" s="174"/>
      <c r="AE335" s="64"/>
      <c r="AK335" s="531"/>
      <c r="AL335" s="531"/>
      <c r="AM335" s="531"/>
      <c r="AO335" s="68"/>
      <c r="AP335" s="76"/>
      <c r="AQ335" s="77"/>
      <c r="AR335" s="68"/>
      <c r="AS335" s="68"/>
      <c r="AT335" s="68"/>
      <c r="AU335" s="68"/>
      <c r="AV335" s="68"/>
      <c r="AW335" s="533"/>
      <c r="AX335" s="533"/>
      <c r="AY335" s="533"/>
      <c r="AZ335" s="67"/>
      <c r="BA335" s="68"/>
      <c r="BB335" s="76"/>
      <c r="BC335" s="77"/>
      <c r="BD335" s="68"/>
      <c r="BE335" s="68"/>
      <c r="BF335" s="68"/>
      <c r="BG335" s="68"/>
      <c r="BH335" s="68"/>
      <c r="BI335" s="533"/>
      <c r="BJ335" s="533"/>
      <c r="BK335" s="533"/>
      <c r="BL335" s="67"/>
      <c r="BM335" s="67"/>
      <c r="BO335" s="531"/>
      <c r="BP335" s="531"/>
      <c r="BQ335" s="531"/>
      <c r="BT335" s="63"/>
      <c r="BU335" s="64"/>
      <c r="CA335" s="531"/>
      <c r="CB335" s="531"/>
      <c r="CC335" s="531"/>
      <c r="CF335" s="63"/>
      <c r="CG335" s="64"/>
      <c r="CM335" s="531"/>
      <c r="CN335" s="531"/>
      <c r="CO335" s="531"/>
    </row>
    <row r="336" spans="18:93" ht="18" customHeight="1">
      <c r="R336" s="63"/>
      <c r="V336" s="170"/>
      <c r="W336" s="170"/>
      <c r="X336" s="170"/>
      <c r="Y336" s="170"/>
      <c r="AD336" s="174"/>
      <c r="AG336" s="56"/>
      <c r="AH336" s="56"/>
      <c r="AI336" s="56"/>
      <c r="AJ336" s="56"/>
      <c r="AK336" s="56"/>
      <c r="AO336" s="68"/>
      <c r="AP336" s="76"/>
      <c r="AQ336" s="67"/>
      <c r="AR336" s="68"/>
      <c r="AS336" s="69"/>
      <c r="AT336" s="69"/>
      <c r="AU336" s="69"/>
      <c r="AV336" s="69"/>
      <c r="AW336" s="69"/>
      <c r="AX336" s="68"/>
      <c r="AY336" s="69"/>
      <c r="AZ336" s="67"/>
      <c r="BA336" s="69"/>
      <c r="BB336" s="76"/>
      <c r="BC336" s="67"/>
      <c r="BD336" s="68"/>
      <c r="BE336" s="69"/>
      <c r="BF336" s="69"/>
      <c r="BG336" s="69"/>
      <c r="BH336" s="69"/>
      <c r="BI336" s="69"/>
      <c r="BJ336" s="68"/>
      <c r="BK336" s="69"/>
      <c r="BL336" s="67"/>
      <c r="BM336" s="67"/>
      <c r="BN336" s="56"/>
      <c r="BO336" s="56"/>
      <c r="BT336" s="63"/>
      <c r="BW336" s="56"/>
      <c r="BX336" s="56"/>
      <c r="BY336" s="56"/>
      <c r="BZ336" s="56"/>
      <c r="CA336" s="56"/>
      <c r="CF336" s="63"/>
      <c r="CI336" s="56"/>
      <c r="CJ336" s="56"/>
      <c r="CK336" s="56"/>
      <c r="CL336" s="56"/>
      <c r="CM336" s="56"/>
    </row>
    <row r="337" spans="18:93" ht="18" customHeight="1">
      <c r="R337" s="63"/>
      <c r="V337" s="170"/>
      <c r="W337" s="170"/>
      <c r="X337" s="170"/>
      <c r="Y337" s="170"/>
      <c r="AD337" s="174"/>
      <c r="AG337" s="56"/>
      <c r="AH337" s="56"/>
      <c r="AI337" s="56"/>
      <c r="AJ337" s="56"/>
      <c r="AK337" s="56"/>
      <c r="AO337" s="68"/>
      <c r="AP337" s="76"/>
      <c r="AQ337" s="67"/>
      <c r="AR337" s="68"/>
      <c r="AS337" s="69"/>
      <c r="AT337" s="69"/>
      <c r="AU337" s="69"/>
      <c r="AV337" s="69"/>
      <c r="AW337" s="69"/>
      <c r="AX337" s="68"/>
      <c r="AY337" s="69"/>
      <c r="AZ337" s="67"/>
      <c r="BA337" s="69"/>
      <c r="BB337" s="76"/>
      <c r="BC337" s="67"/>
      <c r="BD337" s="68"/>
      <c r="BE337" s="69"/>
      <c r="BF337" s="69"/>
      <c r="BG337" s="69"/>
      <c r="BH337" s="69"/>
      <c r="BI337" s="69"/>
      <c r="BJ337" s="68"/>
      <c r="BK337" s="69"/>
      <c r="BL337" s="67"/>
      <c r="BM337" s="67"/>
      <c r="BN337" s="56"/>
      <c r="BO337" s="56"/>
      <c r="BT337" s="63"/>
      <c r="BW337" s="56"/>
      <c r="BX337" s="56"/>
      <c r="BY337" s="56"/>
      <c r="BZ337" s="56"/>
      <c r="CA337" s="56"/>
      <c r="CF337" s="63"/>
      <c r="CI337" s="56"/>
      <c r="CJ337" s="56"/>
      <c r="CK337" s="56"/>
      <c r="CL337" s="56"/>
      <c r="CM337" s="56"/>
    </row>
    <row r="338" spans="18:93" ht="18" customHeight="1">
      <c r="R338" s="63"/>
      <c r="V338" s="170"/>
      <c r="W338" s="170"/>
      <c r="X338" s="170"/>
      <c r="Y338" s="170"/>
      <c r="AD338" s="174"/>
      <c r="AG338" s="56"/>
      <c r="AH338" s="56"/>
      <c r="AI338" s="56"/>
      <c r="AJ338" s="56"/>
      <c r="AK338" s="56"/>
      <c r="AO338" s="68"/>
      <c r="AP338" s="76"/>
      <c r="AQ338" s="67"/>
      <c r="AR338" s="68"/>
      <c r="AS338" s="69"/>
      <c r="AT338" s="69"/>
      <c r="AU338" s="69"/>
      <c r="AV338" s="69"/>
      <c r="AW338" s="69"/>
      <c r="AX338" s="68"/>
      <c r="AY338" s="69"/>
      <c r="AZ338" s="67"/>
      <c r="BA338" s="69"/>
      <c r="BB338" s="76"/>
      <c r="BC338" s="67"/>
      <c r="BD338" s="68"/>
      <c r="BE338" s="69"/>
      <c r="BF338" s="69"/>
      <c r="BG338" s="69"/>
      <c r="BH338" s="69"/>
      <c r="BI338" s="69"/>
      <c r="BJ338" s="68"/>
      <c r="BK338" s="69"/>
      <c r="BL338" s="67"/>
      <c r="BM338" s="67"/>
      <c r="BN338" s="56"/>
      <c r="BO338" s="56"/>
      <c r="BT338" s="63"/>
      <c r="BW338" s="56"/>
      <c r="BX338" s="56"/>
      <c r="BY338" s="56"/>
      <c r="BZ338" s="56"/>
      <c r="CA338" s="56"/>
      <c r="CF338" s="63"/>
      <c r="CI338" s="56"/>
      <c r="CJ338" s="56"/>
      <c r="CK338" s="56"/>
      <c r="CL338" s="56"/>
      <c r="CM338" s="56"/>
    </row>
    <row r="339" spans="18:93" ht="18" customHeight="1">
      <c r="R339" s="63"/>
      <c r="V339" s="170"/>
      <c r="W339" s="170"/>
      <c r="X339" s="170"/>
      <c r="Y339" s="170"/>
      <c r="AD339" s="174"/>
      <c r="AG339" s="56"/>
      <c r="AH339" s="56"/>
      <c r="AI339" s="56"/>
      <c r="AJ339" s="56"/>
      <c r="AK339" s="56"/>
      <c r="AO339" s="68"/>
      <c r="AP339" s="76"/>
      <c r="AQ339" s="67"/>
      <c r="AR339" s="68"/>
      <c r="AS339" s="69"/>
      <c r="AT339" s="69"/>
      <c r="AU339" s="69"/>
      <c r="AV339" s="69"/>
      <c r="AW339" s="69"/>
      <c r="AX339" s="68"/>
      <c r="AY339" s="69"/>
      <c r="AZ339" s="67"/>
      <c r="BA339" s="69"/>
      <c r="BB339" s="76"/>
      <c r="BC339" s="67"/>
      <c r="BD339" s="68"/>
      <c r="BE339" s="69"/>
      <c r="BF339" s="69"/>
      <c r="BG339" s="69"/>
      <c r="BH339" s="69"/>
      <c r="BI339" s="69"/>
      <c r="BJ339" s="68"/>
      <c r="BK339" s="69"/>
      <c r="BL339" s="67"/>
      <c r="BM339" s="67"/>
      <c r="BN339" s="56"/>
      <c r="BO339" s="56"/>
      <c r="BT339" s="63"/>
      <c r="BW339" s="56"/>
      <c r="BX339" s="56"/>
      <c r="BY339" s="56"/>
      <c r="BZ339" s="56"/>
      <c r="CA339" s="56"/>
      <c r="CF339" s="63"/>
      <c r="CI339" s="56"/>
      <c r="CJ339" s="56"/>
      <c r="CK339" s="56"/>
      <c r="CL339" s="56"/>
      <c r="CM339" s="56"/>
    </row>
    <row r="340" spans="18:93" ht="18" customHeight="1">
      <c r="AO340" s="68"/>
      <c r="AP340" s="67"/>
      <c r="AQ340" s="67"/>
      <c r="AR340" s="68"/>
      <c r="AS340" s="68"/>
      <c r="AT340" s="68"/>
      <c r="AU340" s="68"/>
      <c r="AV340" s="68"/>
      <c r="AW340" s="68"/>
      <c r="AX340" s="68"/>
      <c r="AY340" s="69"/>
      <c r="AZ340" s="67"/>
      <c r="BA340" s="68"/>
      <c r="BB340" s="67"/>
      <c r="BC340" s="67"/>
      <c r="BD340" s="68"/>
      <c r="BE340" s="68"/>
      <c r="BF340" s="68"/>
      <c r="BG340" s="68"/>
      <c r="BH340" s="68"/>
      <c r="BI340" s="68"/>
      <c r="BJ340" s="68"/>
      <c r="BK340" s="69"/>
      <c r="BL340" s="67"/>
      <c r="BM340" s="67"/>
    </row>
    <row r="341" spans="18:93" ht="18" customHeight="1">
      <c r="R341" s="63"/>
      <c r="S341" s="64"/>
      <c r="Y341" s="532"/>
      <c r="Z341" s="532"/>
      <c r="AA341" s="532"/>
      <c r="AD341" s="174"/>
      <c r="AE341" s="64"/>
      <c r="AK341" s="531"/>
      <c r="AL341" s="531"/>
      <c r="AM341" s="531"/>
      <c r="AO341" s="68"/>
      <c r="AP341" s="76"/>
      <c r="AQ341" s="77"/>
      <c r="AR341" s="68"/>
      <c r="AS341" s="68"/>
      <c r="AT341" s="68"/>
      <c r="AU341" s="68"/>
      <c r="AV341" s="68"/>
      <c r="AW341" s="533"/>
      <c r="AX341" s="533"/>
      <c r="AY341" s="533"/>
      <c r="AZ341" s="67"/>
      <c r="BA341" s="68"/>
      <c r="BB341" s="76"/>
      <c r="BC341" s="77"/>
      <c r="BD341" s="68"/>
      <c r="BE341" s="68"/>
      <c r="BF341" s="68"/>
      <c r="BG341" s="68"/>
      <c r="BH341" s="68"/>
      <c r="BI341" s="533"/>
      <c r="BJ341" s="533"/>
      <c r="BK341" s="533"/>
      <c r="BL341" s="67"/>
      <c r="BM341" s="67"/>
      <c r="BO341" s="531"/>
      <c r="BP341" s="531"/>
      <c r="BQ341" s="531"/>
      <c r="BT341" s="63"/>
      <c r="BU341" s="64"/>
      <c r="CA341" s="531"/>
      <c r="CB341" s="531"/>
      <c r="CC341" s="531"/>
      <c r="CF341" s="63"/>
      <c r="CG341" s="64"/>
      <c r="CM341" s="531"/>
      <c r="CN341" s="531"/>
      <c r="CO341" s="531"/>
    </row>
    <row r="342" spans="18:93" ht="18" customHeight="1">
      <c r="R342" s="63"/>
      <c r="V342" s="170"/>
      <c r="W342" s="170"/>
      <c r="X342" s="170"/>
      <c r="Y342" s="170"/>
      <c r="AD342" s="174"/>
      <c r="AG342" s="56"/>
      <c r="AH342" s="56"/>
      <c r="AI342" s="56"/>
      <c r="AJ342" s="56"/>
      <c r="AK342" s="56"/>
      <c r="AO342" s="68"/>
      <c r="AP342" s="76"/>
      <c r="AQ342" s="67"/>
      <c r="AR342" s="68"/>
      <c r="AS342" s="69"/>
      <c r="AT342" s="69"/>
      <c r="AU342" s="69"/>
      <c r="AV342" s="69"/>
      <c r="AW342" s="69"/>
      <c r="AX342" s="68"/>
      <c r="AY342" s="69"/>
      <c r="AZ342" s="67"/>
      <c r="BA342" s="69"/>
      <c r="BB342" s="76"/>
      <c r="BC342" s="67"/>
      <c r="BD342" s="68"/>
      <c r="BE342" s="69"/>
      <c r="BF342" s="69"/>
      <c r="BG342" s="69"/>
      <c r="BH342" s="69"/>
      <c r="BI342" s="69"/>
      <c r="BJ342" s="68"/>
      <c r="BK342" s="69"/>
      <c r="BL342" s="67"/>
      <c r="BM342" s="67"/>
      <c r="BN342" s="56"/>
      <c r="BO342" s="56"/>
      <c r="BT342" s="63"/>
      <c r="BW342" s="56"/>
      <c r="BX342" s="56"/>
      <c r="BY342" s="56"/>
      <c r="BZ342" s="56"/>
      <c r="CA342" s="56"/>
      <c r="CF342" s="63"/>
      <c r="CI342" s="56"/>
      <c r="CJ342" s="56"/>
      <c r="CK342" s="56"/>
      <c r="CL342" s="56"/>
      <c r="CM342" s="56"/>
    </row>
    <row r="343" spans="18:93" ht="18" customHeight="1">
      <c r="R343" s="63"/>
      <c r="V343" s="170"/>
      <c r="W343" s="170"/>
      <c r="X343" s="170"/>
      <c r="Y343" s="170"/>
      <c r="AD343" s="174"/>
      <c r="AG343" s="56"/>
      <c r="AH343" s="56"/>
      <c r="AI343" s="56"/>
      <c r="AJ343" s="56"/>
      <c r="AK343" s="56"/>
      <c r="AO343" s="68"/>
      <c r="AP343" s="76"/>
      <c r="AQ343" s="67"/>
      <c r="AR343" s="68"/>
      <c r="AS343" s="69"/>
      <c r="AT343" s="69"/>
      <c r="AU343" s="69"/>
      <c r="AV343" s="69"/>
      <c r="AW343" s="69"/>
      <c r="AX343" s="68"/>
      <c r="AY343" s="69"/>
      <c r="AZ343" s="67"/>
      <c r="BA343" s="69"/>
      <c r="BB343" s="76"/>
      <c r="BC343" s="67"/>
      <c r="BD343" s="68"/>
      <c r="BE343" s="69"/>
      <c r="BF343" s="69"/>
      <c r="BG343" s="69"/>
      <c r="BH343" s="69"/>
      <c r="BI343" s="69"/>
      <c r="BJ343" s="68"/>
      <c r="BK343" s="69"/>
      <c r="BL343" s="67"/>
      <c r="BM343" s="67"/>
      <c r="BN343" s="56"/>
      <c r="BO343" s="56"/>
      <c r="BT343" s="63"/>
      <c r="BW343" s="56"/>
      <c r="BX343" s="56"/>
      <c r="BY343" s="56"/>
      <c r="BZ343" s="56"/>
      <c r="CA343" s="56"/>
      <c r="CF343" s="63"/>
      <c r="CI343" s="56"/>
      <c r="CJ343" s="56"/>
      <c r="CK343" s="56"/>
      <c r="CL343" s="56"/>
      <c r="CM343" s="56"/>
    </row>
    <row r="344" spans="18:93" ht="18" customHeight="1">
      <c r="R344" s="63"/>
      <c r="V344" s="170"/>
      <c r="W344" s="170"/>
      <c r="X344" s="170"/>
      <c r="Y344" s="170"/>
      <c r="AD344" s="174"/>
      <c r="AG344" s="56"/>
      <c r="AH344" s="56"/>
      <c r="AI344" s="56"/>
      <c r="AJ344" s="56"/>
      <c r="AK344" s="56"/>
      <c r="AO344" s="68"/>
      <c r="AP344" s="76"/>
      <c r="AQ344" s="67"/>
      <c r="AR344" s="68"/>
      <c r="AS344" s="69"/>
      <c r="AT344" s="69"/>
      <c r="AU344" s="69"/>
      <c r="AV344" s="69"/>
      <c r="AW344" s="69"/>
      <c r="AX344" s="68"/>
      <c r="AY344" s="69"/>
      <c r="AZ344" s="67"/>
      <c r="BA344" s="69"/>
      <c r="BB344" s="76"/>
      <c r="BC344" s="67"/>
      <c r="BD344" s="68"/>
      <c r="BE344" s="69"/>
      <c r="BF344" s="69"/>
      <c r="BG344" s="69"/>
      <c r="BH344" s="69"/>
      <c r="BI344" s="69"/>
      <c r="BJ344" s="68"/>
      <c r="BK344" s="69"/>
      <c r="BL344" s="67"/>
      <c r="BM344" s="67"/>
      <c r="BN344" s="56"/>
      <c r="BO344" s="56"/>
      <c r="BT344" s="63"/>
      <c r="BW344" s="56"/>
      <c r="BX344" s="56"/>
      <c r="BY344" s="56"/>
      <c r="BZ344" s="56"/>
      <c r="CA344" s="56"/>
      <c r="CF344" s="63"/>
      <c r="CI344" s="56"/>
      <c r="CJ344" s="56"/>
      <c r="CK344" s="56"/>
      <c r="CL344" s="56"/>
      <c r="CM344" s="56"/>
    </row>
    <row r="345" spans="18:93" ht="18" customHeight="1">
      <c r="R345" s="63"/>
      <c r="V345" s="170"/>
      <c r="W345" s="170"/>
      <c r="X345" s="170"/>
      <c r="Y345" s="170"/>
      <c r="AD345" s="174"/>
      <c r="AG345" s="56"/>
      <c r="AH345" s="56"/>
      <c r="AI345" s="56"/>
      <c r="AJ345" s="56"/>
      <c r="AK345" s="56"/>
      <c r="AO345" s="68"/>
      <c r="AP345" s="76"/>
      <c r="AQ345" s="67"/>
      <c r="AR345" s="68"/>
      <c r="AS345" s="69"/>
      <c r="AT345" s="69"/>
      <c r="AU345" s="69"/>
      <c r="AV345" s="69"/>
      <c r="AW345" s="69"/>
      <c r="AX345" s="68"/>
      <c r="AY345" s="69"/>
      <c r="AZ345" s="67"/>
      <c r="BA345" s="69"/>
      <c r="BB345" s="76"/>
      <c r="BC345" s="67"/>
      <c r="BD345" s="68"/>
      <c r="BE345" s="69"/>
      <c r="BF345" s="69"/>
      <c r="BG345" s="69"/>
      <c r="BH345" s="69"/>
      <c r="BI345" s="69"/>
      <c r="BJ345" s="68"/>
      <c r="BK345" s="69"/>
      <c r="BL345" s="67"/>
      <c r="BM345" s="67"/>
      <c r="BN345" s="56"/>
      <c r="BO345" s="56"/>
      <c r="BT345" s="63"/>
      <c r="BW345" s="56"/>
      <c r="BX345" s="56"/>
      <c r="BY345" s="56"/>
      <c r="BZ345" s="56"/>
      <c r="CA345" s="56"/>
      <c r="CF345" s="63"/>
      <c r="CI345" s="56"/>
      <c r="CJ345" s="56"/>
      <c r="CK345" s="56"/>
      <c r="CL345" s="56"/>
      <c r="CM345" s="56"/>
    </row>
    <row r="346" spans="18:93" ht="18" customHeight="1">
      <c r="AO346" s="68"/>
      <c r="AP346" s="67"/>
      <c r="AQ346" s="67"/>
      <c r="AR346" s="68"/>
      <c r="AS346" s="68"/>
      <c r="AT346" s="68"/>
      <c r="AU346" s="68"/>
      <c r="AV346" s="68"/>
      <c r="AW346" s="68"/>
      <c r="AX346" s="68"/>
      <c r="AY346" s="69"/>
      <c r="AZ346" s="67"/>
      <c r="BA346" s="68"/>
      <c r="BB346" s="67"/>
      <c r="BC346" s="67"/>
      <c r="BD346" s="68"/>
      <c r="BE346" s="68"/>
      <c r="BF346" s="68"/>
      <c r="BG346" s="68"/>
      <c r="BH346" s="68"/>
      <c r="BI346" s="68"/>
      <c r="BJ346" s="68"/>
      <c r="BK346" s="69"/>
      <c r="BL346" s="67"/>
      <c r="BM346" s="67"/>
    </row>
    <row r="347" spans="18:93" ht="18" customHeight="1">
      <c r="R347" s="63"/>
      <c r="S347" s="64"/>
      <c r="Y347" s="532"/>
      <c r="Z347" s="532"/>
      <c r="AA347" s="532"/>
      <c r="AD347" s="174"/>
      <c r="AE347" s="64"/>
      <c r="AK347" s="531"/>
      <c r="AL347" s="531"/>
      <c r="AM347" s="531"/>
      <c r="AO347" s="68"/>
      <c r="AP347" s="76"/>
      <c r="AQ347" s="77"/>
      <c r="AR347" s="68"/>
      <c r="AS347" s="68"/>
      <c r="AT347" s="68"/>
      <c r="AU347" s="68"/>
      <c r="AV347" s="68"/>
      <c r="AW347" s="533"/>
      <c r="AX347" s="533"/>
      <c r="AY347" s="533"/>
      <c r="AZ347" s="67"/>
      <c r="BA347" s="68"/>
      <c r="BB347" s="76"/>
      <c r="BC347" s="77"/>
      <c r="BD347" s="68"/>
      <c r="BE347" s="68"/>
      <c r="BF347" s="68"/>
      <c r="BG347" s="68"/>
      <c r="BH347" s="68"/>
      <c r="BI347" s="533"/>
      <c r="BJ347" s="533"/>
      <c r="BK347" s="533"/>
      <c r="BL347" s="67"/>
      <c r="BM347" s="67"/>
      <c r="BO347" s="531"/>
      <c r="BP347" s="531"/>
      <c r="BQ347" s="531"/>
      <c r="BT347" s="63"/>
      <c r="BU347" s="64"/>
      <c r="CA347" s="531"/>
      <c r="CB347" s="531"/>
      <c r="CC347" s="531"/>
      <c r="CF347" s="63"/>
      <c r="CG347" s="64"/>
      <c r="CM347" s="531"/>
      <c r="CN347" s="531"/>
      <c r="CO347" s="531"/>
    </row>
    <row r="348" spans="18:93" ht="18" customHeight="1">
      <c r="R348" s="63"/>
      <c r="V348" s="170"/>
      <c r="W348" s="170"/>
      <c r="X348" s="170"/>
      <c r="Y348" s="170"/>
      <c r="AD348" s="174"/>
      <c r="AG348" s="56"/>
      <c r="AH348" s="56"/>
      <c r="AI348" s="56"/>
      <c r="AJ348" s="56"/>
      <c r="AK348" s="56"/>
      <c r="AO348" s="68"/>
      <c r="AP348" s="76"/>
      <c r="AQ348" s="67"/>
      <c r="AR348" s="68"/>
      <c r="AS348" s="69"/>
      <c r="AT348" s="69"/>
      <c r="AU348" s="69"/>
      <c r="AV348" s="69"/>
      <c r="AW348" s="69"/>
      <c r="AX348" s="68"/>
      <c r="AY348" s="69"/>
      <c r="AZ348" s="67"/>
      <c r="BA348" s="69"/>
      <c r="BB348" s="76"/>
      <c r="BC348" s="67"/>
      <c r="BD348" s="68"/>
      <c r="BE348" s="69"/>
      <c r="BF348" s="69"/>
      <c r="BG348" s="69"/>
      <c r="BH348" s="69"/>
      <c r="BI348" s="69"/>
      <c r="BJ348" s="68"/>
      <c r="BK348" s="69"/>
      <c r="BL348" s="67"/>
      <c r="BM348" s="67"/>
      <c r="BN348" s="56"/>
      <c r="BO348" s="56"/>
      <c r="BT348" s="63"/>
      <c r="BW348" s="56"/>
      <c r="BX348" s="56"/>
      <c r="BY348" s="56"/>
      <c r="BZ348" s="56"/>
      <c r="CA348" s="56"/>
      <c r="CF348" s="63"/>
      <c r="CI348" s="56"/>
      <c r="CJ348" s="56"/>
      <c r="CK348" s="56"/>
      <c r="CL348" s="56"/>
      <c r="CM348" s="56"/>
    </row>
    <row r="349" spans="18:93" ht="18" customHeight="1">
      <c r="R349" s="63"/>
      <c r="V349" s="170"/>
      <c r="W349" s="170"/>
      <c r="X349" s="170"/>
      <c r="Y349" s="170"/>
      <c r="AD349" s="174"/>
      <c r="AG349" s="56"/>
      <c r="AH349" s="56"/>
      <c r="AI349" s="56"/>
      <c r="AJ349" s="56"/>
      <c r="AK349" s="56"/>
      <c r="AO349" s="68"/>
      <c r="AP349" s="76"/>
      <c r="AQ349" s="67"/>
      <c r="AR349" s="68"/>
      <c r="AS349" s="69"/>
      <c r="AT349" s="69"/>
      <c r="AU349" s="69"/>
      <c r="AV349" s="69"/>
      <c r="AW349" s="69"/>
      <c r="AX349" s="68"/>
      <c r="AY349" s="69"/>
      <c r="AZ349" s="67"/>
      <c r="BA349" s="69"/>
      <c r="BB349" s="76"/>
      <c r="BC349" s="67"/>
      <c r="BD349" s="68"/>
      <c r="BE349" s="69"/>
      <c r="BF349" s="69"/>
      <c r="BG349" s="69"/>
      <c r="BH349" s="69"/>
      <c r="BI349" s="69"/>
      <c r="BJ349" s="68"/>
      <c r="BK349" s="69"/>
      <c r="BL349" s="67"/>
      <c r="BM349" s="67"/>
      <c r="BN349" s="56"/>
      <c r="BO349" s="56"/>
      <c r="BT349" s="63"/>
      <c r="BW349" s="56"/>
      <c r="BX349" s="56"/>
      <c r="BY349" s="56"/>
      <c r="BZ349" s="56"/>
      <c r="CA349" s="56"/>
      <c r="CF349" s="63"/>
      <c r="CI349" s="56"/>
      <c r="CJ349" s="56"/>
      <c r="CK349" s="56"/>
      <c r="CL349" s="56"/>
      <c r="CM349" s="56"/>
    </row>
    <row r="350" spans="18:93" ht="18" customHeight="1">
      <c r="R350" s="63"/>
      <c r="V350" s="170"/>
      <c r="W350" s="170"/>
      <c r="X350" s="170"/>
      <c r="Y350" s="170"/>
      <c r="AD350" s="174"/>
      <c r="AG350" s="56"/>
      <c r="AH350" s="56"/>
      <c r="AI350" s="56"/>
      <c r="AJ350" s="56"/>
      <c r="AK350" s="56"/>
      <c r="AO350" s="68"/>
      <c r="AP350" s="76"/>
      <c r="AQ350" s="67"/>
      <c r="AR350" s="68"/>
      <c r="AS350" s="69"/>
      <c r="AT350" s="69"/>
      <c r="AU350" s="69"/>
      <c r="AV350" s="69"/>
      <c r="AW350" s="69"/>
      <c r="AX350" s="68"/>
      <c r="AY350" s="69"/>
      <c r="AZ350" s="67"/>
      <c r="BA350" s="69"/>
      <c r="BB350" s="76"/>
      <c r="BC350" s="67"/>
      <c r="BD350" s="68"/>
      <c r="BE350" s="69"/>
      <c r="BF350" s="69"/>
      <c r="BG350" s="69"/>
      <c r="BH350" s="69"/>
      <c r="BI350" s="69"/>
      <c r="BJ350" s="68"/>
      <c r="BK350" s="69"/>
      <c r="BL350" s="67"/>
      <c r="BM350" s="67"/>
      <c r="BN350" s="56"/>
      <c r="BO350" s="56"/>
      <c r="BT350" s="63"/>
      <c r="BW350" s="56"/>
      <c r="BX350" s="56"/>
      <c r="BY350" s="56"/>
      <c r="BZ350" s="56"/>
      <c r="CA350" s="56"/>
      <c r="CF350" s="63"/>
      <c r="CI350" s="56"/>
      <c r="CJ350" s="56"/>
      <c r="CK350" s="56"/>
      <c r="CL350" s="56"/>
      <c r="CM350" s="56"/>
    </row>
    <row r="351" spans="18:93" ht="18" customHeight="1">
      <c r="R351" s="63"/>
      <c r="V351" s="170"/>
      <c r="W351" s="170"/>
      <c r="X351" s="170"/>
      <c r="Y351" s="170"/>
      <c r="AD351" s="174"/>
      <c r="AG351" s="56"/>
      <c r="AH351" s="56"/>
      <c r="AI351" s="56"/>
      <c r="AJ351" s="56"/>
      <c r="AK351" s="56"/>
      <c r="AO351" s="68"/>
      <c r="AP351" s="76"/>
      <c r="AQ351" s="67"/>
      <c r="AR351" s="68"/>
      <c r="AS351" s="69"/>
      <c r="AT351" s="69"/>
      <c r="AU351" s="69"/>
      <c r="AV351" s="69"/>
      <c r="AW351" s="69"/>
      <c r="AX351" s="68"/>
      <c r="AY351" s="69"/>
      <c r="AZ351" s="67"/>
      <c r="BA351" s="69"/>
      <c r="BB351" s="76"/>
      <c r="BC351" s="67"/>
      <c r="BD351" s="68"/>
      <c r="BE351" s="69"/>
      <c r="BF351" s="69"/>
      <c r="BG351" s="69"/>
      <c r="BH351" s="69"/>
      <c r="BI351" s="69"/>
      <c r="BJ351" s="68"/>
      <c r="BK351" s="69"/>
      <c r="BL351" s="67"/>
      <c r="BM351" s="67"/>
      <c r="BN351" s="56"/>
      <c r="BO351" s="56"/>
      <c r="BT351" s="63"/>
      <c r="BW351" s="56"/>
      <c r="BX351" s="56"/>
      <c r="BY351" s="56"/>
      <c r="BZ351" s="56"/>
      <c r="CA351" s="56"/>
      <c r="CF351" s="63"/>
      <c r="CI351" s="56"/>
      <c r="CJ351" s="56"/>
      <c r="CK351" s="56"/>
      <c r="CL351" s="56"/>
      <c r="CM351" s="56"/>
    </row>
    <row r="352" spans="18:93" ht="18" customHeight="1">
      <c r="AO352" s="68"/>
      <c r="AP352" s="67"/>
      <c r="AQ352" s="67"/>
      <c r="AR352" s="68"/>
      <c r="AS352" s="68"/>
      <c r="AT352" s="68"/>
      <c r="AU352" s="68"/>
      <c r="AV352" s="68"/>
      <c r="AW352" s="68"/>
      <c r="AX352" s="68"/>
      <c r="AY352" s="69"/>
      <c r="AZ352" s="67"/>
      <c r="BA352" s="68"/>
      <c r="BB352" s="67"/>
      <c r="BC352" s="67"/>
      <c r="BD352" s="68"/>
      <c r="BE352" s="68"/>
      <c r="BF352" s="68"/>
      <c r="BG352" s="68"/>
      <c r="BH352" s="68"/>
      <c r="BI352" s="68"/>
      <c r="BJ352" s="68"/>
      <c r="BK352" s="69"/>
      <c r="BL352" s="67"/>
      <c r="BM352" s="67"/>
    </row>
    <row r="353" spans="18:93" ht="18" customHeight="1">
      <c r="R353" s="63"/>
      <c r="S353" s="64"/>
      <c r="Y353" s="532"/>
      <c r="Z353" s="532"/>
      <c r="AA353" s="532"/>
      <c r="AD353" s="174"/>
      <c r="AE353" s="64"/>
      <c r="AK353" s="531"/>
      <c r="AL353" s="531"/>
      <c r="AM353" s="531"/>
      <c r="AO353" s="68"/>
      <c r="AP353" s="76"/>
      <c r="AQ353" s="77"/>
      <c r="AR353" s="68"/>
      <c r="AS353" s="68"/>
      <c r="AT353" s="68"/>
      <c r="AU353" s="68"/>
      <c r="AV353" s="68"/>
      <c r="AW353" s="533"/>
      <c r="AX353" s="533"/>
      <c r="AY353" s="533"/>
      <c r="AZ353" s="67"/>
      <c r="BA353" s="68"/>
      <c r="BB353" s="76"/>
      <c r="BC353" s="77"/>
      <c r="BD353" s="68"/>
      <c r="BE353" s="68"/>
      <c r="BF353" s="68"/>
      <c r="BG353" s="68"/>
      <c r="BH353" s="68"/>
      <c r="BI353" s="533"/>
      <c r="BJ353" s="533"/>
      <c r="BK353" s="533"/>
      <c r="BL353" s="67"/>
      <c r="BM353" s="67"/>
      <c r="BO353" s="531"/>
      <c r="BP353" s="531"/>
      <c r="BQ353" s="531"/>
      <c r="BT353" s="63"/>
      <c r="BU353" s="64"/>
      <c r="CA353" s="531"/>
      <c r="CB353" s="531"/>
      <c r="CC353" s="531"/>
      <c r="CF353" s="63"/>
      <c r="CG353" s="64"/>
      <c r="CM353" s="531"/>
      <c r="CN353" s="531"/>
      <c r="CO353" s="531"/>
    </row>
    <row r="354" spans="18:93" ht="18" customHeight="1">
      <c r="R354" s="63"/>
      <c r="V354" s="170"/>
      <c r="W354" s="170"/>
      <c r="X354" s="170"/>
      <c r="Y354" s="170"/>
      <c r="AD354" s="174"/>
      <c r="AG354" s="56"/>
      <c r="AH354" s="56"/>
      <c r="AI354" s="56"/>
      <c r="AJ354" s="56"/>
      <c r="AK354" s="56"/>
      <c r="AO354" s="68"/>
      <c r="AP354" s="76"/>
      <c r="AQ354" s="67"/>
      <c r="AR354" s="68"/>
      <c r="AS354" s="69"/>
      <c r="AT354" s="69"/>
      <c r="AU354" s="69"/>
      <c r="AV354" s="69"/>
      <c r="AW354" s="69"/>
      <c r="AX354" s="68"/>
      <c r="AY354" s="69"/>
      <c r="AZ354" s="67"/>
      <c r="BA354" s="69"/>
      <c r="BB354" s="76"/>
      <c r="BC354" s="67"/>
      <c r="BD354" s="68"/>
      <c r="BE354" s="69"/>
      <c r="BF354" s="69"/>
      <c r="BG354" s="69"/>
      <c r="BH354" s="69"/>
      <c r="BI354" s="69"/>
      <c r="BJ354" s="68"/>
      <c r="BK354" s="69"/>
      <c r="BL354" s="67"/>
      <c r="BM354" s="67"/>
      <c r="BN354" s="56"/>
      <c r="BO354" s="56"/>
      <c r="BT354" s="63"/>
      <c r="BW354" s="56"/>
      <c r="BX354" s="56"/>
      <c r="BY354" s="56"/>
      <c r="BZ354" s="56"/>
      <c r="CA354" s="56"/>
      <c r="CF354" s="63"/>
      <c r="CI354" s="56"/>
      <c r="CJ354" s="56"/>
      <c r="CK354" s="56"/>
      <c r="CL354" s="56"/>
      <c r="CM354" s="56"/>
    </row>
    <row r="355" spans="18:93" ht="18" customHeight="1">
      <c r="R355" s="63"/>
      <c r="V355" s="170"/>
      <c r="W355" s="170"/>
      <c r="X355" s="170"/>
      <c r="Y355" s="170"/>
      <c r="AD355" s="174"/>
      <c r="AG355" s="56"/>
      <c r="AH355" s="56"/>
      <c r="AI355" s="56"/>
      <c r="AJ355" s="56"/>
      <c r="AK355" s="56"/>
      <c r="AO355" s="68"/>
      <c r="AP355" s="76"/>
      <c r="AQ355" s="67"/>
      <c r="AR355" s="68"/>
      <c r="AS355" s="69"/>
      <c r="AT355" s="69"/>
      <c r="AU355" s="69"/>
      <c r="AV355" s="69"/>
      <c r="AW355" s="69"/>
      <c r="AX355" s="68"/>
      <c r="AY355" s="69"/>
      <c r="AZ355" s="67"/>
      <c r="BA355" s="69"/>
      <c r="BB355" s="76"/>
      <c r="BC355" s="67"/>
      <c r="BD355" s="68"/>
      <c r="BE355" s="69"/>
      <c r="BF355" s="69"/>
      <c r="BG355" s="69"/>
      <c r="BH355" s="69"/>
      <c r="BI355" s="69"/>
      <c r="BJ355" s="68"/>
      <c r="BK355" s="69"/>
      <c r="BL355" s="67"/>
      <c r="BM355" s="67"/>
      <c r="BN355" s="56"/>
      <c r="BO355" s="56"/>
      <c r="BT355" s="63"/>
      <c r="BW355" s="56"/>
      <c r="BX355" s="56"/>
      <c r="BY355" s="56"/>
      <c r="BZ355" s="56"/>
      <c r="CA355" s="56"/>
      <c r="CF355" s="63"/>
      <c r="CI355" s="56"/>
      <c r="CJ355" s="56"/>
      <c r="CK355" s="56"/>
      <c r="CL355" s="56"/>
      <c r="CM355" s="56"/>
    </row>
    <row r="356" spans="18:93" ht="18" customHeight="1">
      <c r="R356" s="63"/>
      <c r="V356" s="170"/>
      <c r="W356" s="170"/>
      <c r="X356" s="170"/>
      <c r="Y356" s="170"/>
      <c r="AD356" s="174"/>
      <c r="AG356" s="56"/>
      <c r="AH356" s="56"/>
      <c r="AI356" s="56"/>
      <c r="AJ356" s="56"/>
      <c r="AK356" s="56"/>
      <c r="AO356" s="68"/>
      <c r="AP356" s="76"/>
      <c r="AQ356" s="67"/>
      <c r="AR356" s="68"/>
      <c r="AS356" s="69"/>
      <c r="AT356" s="69"/>
      <c r="AU356" s="69"/>
      <c r="AV356" s="69"/>
      <c r="AW356" s="69"/>
      <c r="AX356" s="68"/>
      <c r="AY356" s="69"/>
      <c r="AZ356" s="67"/>
      <c r="BA356" s="69"/>
      <c r="BB356" s="76"/>
      <c r="BC356" s="67"/>
      <c r="BD356" s="68"/>
      <c r="BE356" s="69"/>
      <c r="BF356" s="69"/>
      <c r="BG356" s="69"/>
      <c r="BH356" s="69"/>
      <c r="BI356" s="69"/>
      <c r="BJ356" s="68"/>
      <c r="BK356" s="69"/>
      <c r="BL356" s="67"/>
      <c r="BM356" s="67"/>
      <c r="BN356" s="56"/>
      <c r="BO356" s="56"/>
      <c r="BT356" s="63"/>
      <c r="BW356" s="56"/>
      <c r="BX356" s="56"/>
      <c r="BY356" s="56"/>
      <c r="BZ356" s="56"/>
      <c r="CA356" s="56"/>
      <c r="CF356" s="63"/>
      <c r="CI356" s="56"/>
      <c r="CJ356" s="56"/>
      <c r="CK356" s="56"/>
      <c r="CL356" s="56"/>
      <c r="CM356" s="56"/>
    </row>
    <row r="357" spans="18:93" ht="18" customHeight="1">
      <c r="R357" s="63"/>
      <c r="V357" s="170"/>
      <c r="W357" s="170"/>
      <c r="X357" s="170"/>
      <c r="Y357" s="170"/>
      <c r="AD357" s="174"/>
      <c r="AG357" s="56"/>
      <c r="AH357" s="56"/>
      <c r="AI357" s="56"/>
      <c r="AJ357" s="56"/>
      <c r="AK357" s="56"/>
      <c r="AO357" s="68"/>
      <c r="AP357" s="76"/>
      <c r="AQ357" s="67"/>
      <c r="AR357" s="68"/>
      <c r="AS357" s="69"/>
      <c r="AT357" s="69"/>
      <c r="AU357" s="69"/>
      <c r="AV357" s="69"/>
      <c r="AW357" s="69"/>
      <c r="AX357" s="68"/>
      <c r="AY357" s="69"/>
      <c r="AZ357" s="67"/>
      <c r="BA357" s="69"/>
      <c r="BB357" s="76"/>
      <c r="BC357" s="67"/>
      <c r="BD357" s="68"/>
      <c r="BE357" s="69"/>
      <c r="BF357" s="69"/>
      <c r="BG357" s="69"/>
      <c r="BH357" s="69"/>
      <c r="BI357" s="69"/>
      <c r="BJ357" s="68"/>
      <c r="BK357" s="69"/>
      <c r="BL357" s="67"/>
      <c r="BM357" s="67"/>
      <c r="BN357" s="56"/>
      <c r="BO357" s="56"/>
      <c r="BT357" s="63"/>
      <c r="BW357" s="56"/>
      <c r="BX357" s="56"/>
      <c r="BY357" s="56"/>
      <c r="BZ357" s="56"/>
      <c r="CA357" s="56"/>
      <c r="CF357" s="63"/>
      <c r="CI357" s="56"/>
      <c r="CJ357" s="56"/>
      <c r="CK357" s="56"/>
      <c r="CL357" s="56"/>
      <c r="CM357" s="56"/>
    </row>
    <row r="358" spans="18:93" ht="18" customHeight="1">
      <c r="AO358" s="68"/>
      <c r="AP358" s="67"/>
      <c r="AQ358" s="67"/>
      <c r="AR358" s="68"/>
      <c r="AS358" s="68"/>
      <c r="AT358" s="68"/>
      <c r="AU358" s="68"/>
      <c r="AV358" s="68"/>
      <c r="AW358" s="68"/>
      <c r="AX358" s="68"/>
      <c r="AY358" s="69"/>
      <c r="AZ358" s="67"/>
      <c r="BA358" s="68"/>
      <c r="BB358" s="67"/>
      <c r="BC358" s="67"/>
      <c r="BD358" s="68"/>
      <c r="BE358" s="68"/>
      <c r="BF358" s="68"/>
      <c r="BG358" s="68"/>
      <c r="BH358" s="68"/>
      <c r="BI358" s="68"/>
      <c r="BJ358" s="68"/>
      <c r="BK358" s="69"/>
      <c r="BL358" s="67"/>
      <c r="BM358" s="67"/>
    </row>
    <row r="359" spans="18:93" ht="18" customHeight="1">
      <c r="R359" s="63"/>
      <c r="S359" s="64"/>
      <c r="Y359" s="532"/>
      <c r="Z359" s="532"/>
      <c r="AA359" s="532"/>
      <c r="AD359" s="174"/>
      <c r="AE359" s="64"/>
      <c r="AK359" s="531"/>
      <c r="AL359" s="531"/>
      <c r="AM359" s="531"/>
      <c r="AO359" s="68"/>
      <c r="AP359" s="76"/>
      <c r="AQ359" s="77"/>
      <c r="AR359" s="68"/>
      <c r="AS359" s="68"/>
      <c r="AT359" s="68"/>
      <c r="AU359" s="68"/>
      <c r="AV359" s="68"/>
      <c r="AW359" s="533"/>
      <c r="AX359" s="533"/>
      <c r="AY359" s="533"/>
      <c r="AZ359" s="67"/>
      <c r="BA359" s="68"/>
      <c r="BB359" s="76"/>
      <c r="BC359" s="77"/>
      <c r="BD359" s="68"/>
      <c r="BE359" s="68"/>
      <c r="BF359" s="68"/>
      <c r="BG359" s="68"/>
      <c r="BH359" s="68"/>
      <c r="BI359" s="533"/>
      <c r="BJ359" s="533"/>
      <c r="BK359" s="533"/>
      <c r="BL359" s="67"/>
      <c r="BM359" s="67"/>
      <c r="BO359" s="531"/>
      <c r="BP359" s="531"/>
      <c r="BQ359" s="531"/>
      <c r="BT359" s="63"/>
      <c r="BU359" s="64"/>
      <c r="CA359" s="531"/>
      <c r="CB359" s="531"/>
      <c r="CC359" s="531"/>
      <c r="CF359" s="63"/>
      <c r="CG359" s="64"/>
      <c r="CM359" s="531"/>
      <c r="CN359" s="531"/>
      <c r="CO359" s="531"/>
    </row>
    <row r="360" spans="18:93" ht="18" customHeight="1">
      <c r="R360" s="63"/>
      <c r="V360" s="170"/>
      <c r="W360" s="170"/>
      <c r="X360" s="170"/>
      <c r="Y360" s="170"/>
      <c r="AD360" s="174"/>
      <c r="AG360" s="56"/>
      <c r="AH360" s="56"/>
      <c r="AI360" s="56"/>
      <c r="AJ360" s="56"/>
      <c r="AK360" s="56"/>
      <c r="AO360" s="68"/>
      <c r="AP360" s="76"/>
      <c r="AQ360" s="67"/>
      <c r="AR360" s="68"/>
      <c r="AS360" s="69"/>
      <c r="AT360" s="69"/>
      <c r="AU360" s="69"/>
      <c r="AV360" s="69"/>
      <c r="AW360" s="69"/>
      <c r="AX360" s="68"/>
      <c r="AY360" s="69"/>
      <c r="AZ360" s="67"/>
      <c r="BA360" s="69"/>
      <c r="BB360" s="76"/>
      <c r="BC360" s="67"/>
      <c r="BD360" s="68"/>
      <c r="BE360" s="69"/>
      <c r="BF360" s="69"/>
      <c r="BG360" s="69"/>
      <c r="BH360" s="69"/>
      <c r="BI360" s="69"/>
      <c r="BJ360" s="68"/>
      <c r="BK360" s="69"/>
      <c r="BL360" s="67"/>
      <c r="BM360" s="67"/>
      <c r="BN360" s="56"/>
      <c r="BO360" s="56"/>
      <c r="BT360" s="63"/>
      <c r="BW360" s="56"/>
      <c r="BX360" s="56"/>
      <c r="BY360" s="56"/>
      <c r="BZ360" s="56"/>
      <c r="CA360" s="56"/>
      <c r="CF360" s="63"/>
      <c r="CI360" s="56"/>
      <c r="CJ360" s="56"/>
      <c r="CK360" s="56"/>
      <c r="CL360" s="56"/>
      <c r="CM360" s="56"/>
    </row>
    <row r="361" spans="18:93" ht="18" customHeight="1">
      <c r="R361" s="63"/>
      <c r="V361" s="170"/>
      <c r="W361" s="170"/>
      <c r="X361" s="170"/>
      <c r="Y361" s="170"/>
      <c r="AD361" s="174"/>
      <c r="AG361" s="56"/>
      <c r="AH361" s="56"/>
      <c r="AI361" s="56"/>
      <c r="AJ361" s="56"/>
      <c r="AK361" s="56"/>
      <c r="AO361" s="68"/>
      <c r="AP361" s="76"/>
      <c r="AQ361" s="67"/>
      <c r="AR361" s="68"/>
      <c r="AS361" s="69"/>
      <c r="AT361" s="69"/>
      <c r="AU361" s="69"/>
      <c r="AV361" s="69"/>
      <c r="AW361" s="69"/>
      <c r="AX361" s="68"/>
      <c r="AY361" s="69"/>
      <c r="AZ361" s="67"/>
      <c r="BA361" s="69"/>
      <c r="BB361" s="76"/>
      <c r="BC361" s="67"/>
      <c r="BD361" s="68"/>
      <c r="BE361" s="69"/>
      <c r="BF361" s="69"/>
      <c r="BG361" s="69"/>
      <c r="BH361" s="69"/>
      <c r="BI361" s="69"/>
      <c r="BJ361" s="68"/>
      <c r="BK361" s="69"/>
      <c r="BL361" s="67"/>
      <c r="BM361" s="67"/>
      <c r="BN361" s="56"/>
      <c r="BO361" s="56"/>
      <c r="BT361" s="63"/>
      <c r="BW361" s="56"/>
      <c r="BX361" s="56"/>
      <c r="BY361" s="56"/>
      <c r="BZ361" s="56"/>
      <c r="CA361" s="56"/>
      <c r="CF361" s="63"/>
      <c r="CI361" s="56"/>
      <c r="CJ361" s="56"/>
      <c r="CK361" s="56"/>
      <c r="CL361" s="56"/>
      <c r="CM361" s="56"/>
    </row>
    <row r="362" spans="18:93" ht="18" customHeight="1">
      <c r="R362" s="63"/>
      <c r="V362" s="170"/>
      <c r="W362" s="170"/>
      <c r="X362" s="170"/>
      <c r="Y362" s="170"/>
      <c r="AD362" s="174"/>
      <c r="AG362" s="56"/>
      <c r="AH362" s="56"/>
      <c r="AI362" s="56"/>
      <c r="AJ362" s="56"/>
      <c r="AK362" s="56"/>
      <c r="AO362" s="68"/>
      <c r="AP362" s="76"/>
      <c r="AQ362" s="67"/>
      <c r="AR362" s="68"/>
      <c r="AS362" s="69"/>
      <c r="AT362" s="69"/>
      <c r="AU362" s="69"/>
      <c r="AV362" s="69"/>
      <c r="AW362" s="69"/>
      <c r="AX362" s="68"/>
      <c r="AY362" s="69"/>
      <c r="AZ362" s="67"/>
      <c r="BA362" s="69"/>
      <c r="BB362" s="76"/>
      <c r="BC362" s="67"/>
      <c r="BD362" s="68"/>
      <c r="BE362" s="69"/>
      <c r="BF362" s="69"/>
      <c r="BG362" s="69"/>
      <c r="BH362" s="69"/>
      <c r="BI362" s="69"/>
      <c r="BJ362" s="68"/>
      <c r="BK362" s="69"/>
      <c r="BL362" s="67"/>
      <c r="BM362" s="67"/>
      <c r="BN362" s="56"/>
      <c r="BO362" s="56"/>
      <c r="BT362" s="63"/>
      <c r="BW362" s="56"/>
      <c r="BX362" s="56"/>
      <c r="BY362" s="56"/>
      <c r="BZ362" s="56"/>
      <c r="CA362" s="56"/>
      <c r="CF362" s="63"/>
      <c r="CI362" s="56"/>
      <c r="CJ362" s="56"/>
      <c r="CK362" s="56"/>
      <c r="CL362" s="56"/>
      <c r="CM362" s="56"/>
    </row>
    <row r="363" spans="18:93" ht="18" customHeight="1">
      <c r="R363" s="63"/>
      <c r="V363" s="170"/>
      <c r="W363" s="170"/>
      <c r="X363" s="170"/>
      <c r="Y363" s="170"/>
      <c r="AD363" s="174"/>
      <c r="AG363" s="56"/>
      <c r="AH363" s="56"/>
      <c r="AI363" s="56"/>
      <c r="AJ363" s="56"/>
      <c r="AK363" s="56"/>
      <c r="AO363" s="68"/>
      <c r="AP363" s="76"/>
      <c r="AQ363" s="67"/>
      <c r="AR363" s="68"/>
      <c r="AS363" s="69"/>
      <c r="AT363" s="69"/>
      <c r="AU363" s="69"/>
      <c r="AV363" s="69"/>
      <c r="AW363" s="69"/>
      <c r="AX363" s="68"/>
      <c r="AY363" s="69"/>
      <c r="AZ363" s="67"/>
      <c r="BA363" s="69"/>
      <c r="BB363" s="76"/>
      <c r="BC363" s="67"/>
      <c r="BD363" s="68"/>
      <c r="BE363" s="69"/>
      <c r="BF363" s="69"/>
      <c r="BG363" s="69"/>
      <c r="BH363" s="69"/>
      <c r="BI363" s="69"/>
      <c r="BJ363" s="68"/>
      <c r="BK363" s="69"/>
      <c r="BL363" s="67"/>
      <c r="BM363" s="67"/>
      <c r="BN363" s="56"/>
      <c r="BO363" s="56"/>
      <c r="BT363" s="63"/>
      <c r="BW363" s="56"/>
      <c r="BX363" s="56"/>
      <c r="BY363" s="56"/>
      <c r="BZ363" s="56"/>
      <c r="CA363" s="56"/>
      <c r="CF363" s="63"/>
      <c r="CI363" s="56"/>
      <c r="CJ363" s="56"/>
      <c r="CK363" s="56"/>
      <c r="CL363" s="56"/>
      <c r="CM363" s="56"/>
    </row>
    <row r="364" spans="18:93" ht="18" customHeight="1">
      <c r="AO364" s="68"/>
      <c r="AP364" s="67"/>
      <c r="AQ364" s="67"/>
      <c r="AR364" s="68"/>
      <c r="AS364" s="68"/>
      <c r="AT364" s="68"/>
      <c r="AU364" s="68"/>
      <c r="AV364" s="68"/>
      <c r="AW364" s="68"/>
      <c r="AX364" s="68"/>
      <c r="AY364" s="69"/>
      <c r="AZ364" s="67"/>
      <c r="BA364" s="68"/>
      <c r="BB364" s="67"/>
      <c r="BC364" s="67"/>
      <c r="BD364" s="68"/>
      <c r="BE364" s="68"/>
      <c r="BF364" s="68"/>
      <c r="BG364" s="68"/>
      <c r="BH364" s="68"/>
      <c r="BI364" s="68"/>
      <c r="BJ364" s="68"/>
      <c r="BK364" s="69"/>
      <c r="BL364" s="67"/>
      <c r="BM364" s="67"/>
    </row>
    <row r="365" spans="18:93" ht="18" customHeight="1">
      <c r="R365" s="63"/>
      <c r="S365" s="64"/>
      <c r="Y365" s="532"/>
      <c r="Z365" s="532"/>
      <c r="AA365" s="532"/>
      <c r="AD365" s="174"/>
      <c r="AE365" s="64"/>
      <c r="AK365" s="531"/>
      <c r="AL365" s="531"/>
      <c r="AM365" s="531"/>
      <c r="AO365" s="68"/>
      <c r="AP365" s="76"/>
      <c r="AQ365" s="77"/>
      <c r="AR365" s="68"/>
      <c r="AS365" s="68"/>
      <c r="AT365" s="68"/>
      <c r="AU365" s="68"/>
      <c r="AV365" s="68"/>
      <c r="AW365" s="533"/>
      <c r="AX365" s="533"/>
      <c r="AY365" s="533"/>
      <c r="AZ365" s="67"/>
      <c r="BA365" s="68"/>
      <c r="BB365" s="76"/>
      <c r="BC365" s="77"/>
      <c r="BD365" s="68"/>
      <c r="BE365" s="68"/>
      <c r="BF365" s="68"/>
      <c r="BG365" s="68"/>
      <c r="BH365" s="68"/>
      <c r="BI365" s="533"/>
      <c r="BJ365" s="533"/>
      <c r="BK365" s="533"/>
      <c r="BL365" s="67"/>
      <c r="BM365" s="67"/>
      <c r="BO365" s="531"/>
      <c r="BP365" s="531"/>
      <c r="BQ365" s="531"/>
      <c r="BT365" s="63"/>
      <c r="BU365" s="64"/>
      <c r="CA365" s="531"/>
      <c r="CB365" s="531"/>
      <c r="CC365" s="531"/>
      <c r="CF365" s="63"/>
      <c r="CG365" s="64"/>
      <c r="CM365" s="531"/>
      <c r="CN365" s="531"/>
      <c r="CO365" s="531"/>
    </row>
    <row r="366" spans="18:93" ht="18" customHeight="1">
      <c r="R366" s="63"/>
      <c r="V366" s="170"/>
      <c r="W366" s="170"/>
      <c r="X366" s="170"/>
      <c r="Y366" s="170"/>
      <c r="AD366" s="174"/>
      <c r="AG366" s="56"/>
      <c r="AH366" s="56"/>
      <c r="AI366" s="56"/>
      <c r="AJ366" s="56"/>
      <c r="AK366" s="56"/>
      <c r="AO366" s="68"/>
      <c r="AP366" s="76"/>
      <c r="AQ366" s="67"/>
      <c r="AR366" s="68"/>
      <c r="AS366" s="69"/>
      <c r="AT366" s="69"/>
      <c r="AU366" s="69"/>
      <c r="AV366" s="69"/>
      <c r="AW366" s="69"/>
      <c r="AX366" s="68"/>
      <c r="AY366" s="69"/>
      <c r="AZ366" s="67"/>
      <c r="BA366" s="69"/>
      <c r="BB366" s="76"/>
      <c r="BC366" s="67"/>
      <c r="BD366" s="68"/>
      <c r="BE366" s="69"/>
      <c r="BF366" s="69"/>
      <c r="BG366" s="69"/>
      <c r="BH366" s="69"/>
      <c r="BI366" s="69"/>
      <c r="BJ366" s="68"/>
      <c r="BK366" s="69"/>
      <c r="BL366" s="67"/>
      <c r="BM366" s="67"/>
      <c r="BN366" s="56"/>
      <c r="BO366" s="56"/>
      <c r="BT366" s="63"/>
      <c r="BW366" s="56"/>
      <c r="BX366" s="56"/>
      <c r="BY366" s="56"/>
      <c r="BZ366" s="56"/>
      <c r="CA366" s="56"/>
      <c r="CF366" s="63"/>
      <c r="CI366" s="56"/>
      <c r="CJ366" s="56"/>
      <c r="CK366" s="56"/>
      <c r="CL366" s="56"/>
      <c r="CM366" s="56"/>
    </row>
    <row r="367" spans="18:93" ht="18" customHeight="1">
      <c r="R367" s="63"/>
      <c r="V367" s="170"/>
      <c r="W367" s="170"/>
      <c r="X367" s="170"/>
      <c r="Y367" s="170"/>
      <c r="AD367" s="174"/>
      <c r="AG367" s="56"/>
      <c r="AH367" s="56"/>
      <c r="AI367" s="56"/>
      <c r="AJ367" s="56"/>
      <c r="AK367" s="56"/>
      <c r="AO367" s="68"/>
      <c r="AP367" s="76"/>
      <c r="AQ367" s="67"/>
      <c r="AR367" s="68"/>
      <c r="AS367" s="69"/>
      <c r="AT367" s="69"/>
      <c r="AU367" s="69"/>
      <c r="AV367" s="69"/>
      <c r="AW367" s="69"/>
      <c r="AX367" s="68"/>
      <c r="AY367" s="69"/>
      <c r="AZ367" s="67"/>
      <c r="BA367" s="69"/>
      <c r="BB367" s="76"/>
      <c r="BC367" s="67"/>
      <c r="BD367" s="68"/>
      <c r="BE367" s="69"/>
      <c r="BF367" s="69"/>
      <c r="BG367" s="69"/>
      <c r="BH367" s="69"/>
      <c r="BI367" s="69"/>
      <c r="BJ367" s="68"/>
      <c r="BK367" s="69"/>
      <c r="BL367" s="67"/>
      <c r="BM367" s="67"/>
      <c r="BN367" s="56"/>
      <c r="BO367" s="56"/>
      <c r="BT367" s="63"/>
      <c r="BW367" s="56"/>
      <c r="BX367" s="56"/>
      <c r="BY367" s="56"/>
      <c r="BZ367" s="56"/>
      <c r="CA367" s="56"/>
      <c r="CF367" s="63"/>
      <c r="CI367" s="56"/>
      <c r="CJ367" s="56"/>
      <c r="CK367" s="56"/>
      <c r="CL367" s="56"/>
      <c r="CM367" s="56"/>
    </row>
    <row r="368" spans="18:93" ht="18" customHeight="1">
      <c r="R368" s="63"/>
      <c r="V368" s="170"/>
      <c r="W368" s="170"/>
      <c r="X368" s="170"/>
      <c r="Y368" s="170"/>
      <c r="AD368" s="174"/>
      <c r="AG368" s="56"/>
      <c r="AH368" s="56"/>
      <c r="AI368" s="56"/>
      <c r="AJ368" s="56"/>
      <c r="AK368" s="56"/>
      <c r="AO368" s="68"/>
      <c r="AP368" s="76"/>
      <c r="AQ368" s="67"/>
      <c r="AR368" s="68"/>
      <c r="AS368" s="69"/>
      <c r="AT368" s="69"/>
      <c r="AU368" s="69"/>
      <c r="AV368" s="69"/>
      <c r="AW368" s="69"/>
      <c r="AX368" s="68"/>
      <c r="AY368" s="69"/>
      <c r="AZ368" s="67"/>
      <c r="BA368" s="69"/>
      <c r="BB368" s="76"/>
      <c r="BC368" s="67"/>
      <c r="BD368" s="68"/>
      <c r="BE368" s="69"/>
      <c r="BF368" s="69"/>
      <c r="BG368" s="69"/>
      <c r="BH368" s="69"/>
      <c r="BI368" s="69"/>
      <c r="BJ368" s="68"/>
      <c r="BK368" s="69"/>
      <c r="BL368" s="67"/>
      <c r="BM368" s="67"/>
      <c r="BN368" s="56"/>
      <c r="BO368" s="56"/>
      <c r="BT368" s="63"/>
      <c r="BW368" s="56"/>
      <c r="BX368" s="56"/>
      <c r="BY368" s="56"/>
      <c r="BZ368" s="56"/>
      <c r="CA368" s="56"/>
      <c r="CF368" s="63"/>
      <c r="CI368" s="56"/>
      <c r="CJ368" s="56"/>
      <c r="CK368" s="56"/>
      <c r="CL368" s="56"/>
      <c r="CM368" s="56"/>
    </row>
    <row r="369" spans="18:93" ht="18" customHeight="1">
      <c r="R369" s="63"/>
      <c r="V369" s="170"/>
      <c r="W369" s="170"/>
      <c r="X369" s="170"/>
      <c r="Y369" s="170"/>
      <c r="AD369" s="174"/>
      <c r="AG369" s="56"/>
      <c r="AH369" s="56"/>
      <c r="AI369" s="56"/>
      <c r="AJ369" s="56"/>
      <c r="AK369" s="56"/>
      <c r="AO369" s="68"/>
      <c r="AP369" s="76"/>
      <c r="AQ369" s="67"/>
      <c r="AR369" s="68"/>
      <c r="AS369" s="69"/>
      <c r="AT369" s="69"/>
      <c r="AU369" s="69"/>
      <c r="AV369" s="69"/>
      <c r="AW369" s="69"/>
      <c r="AX369" s="68"/>
      <c r="AY369" s="69"/>
      <c r="AZ369" s="67"/>
      <c r="BA369" s="69"/>
      <c r="BB369" s="76"/>
      <c r="BC369" s="67"/>
      <c r="BD369" s="68"/>
      <c r="BE369" s="69"/>
      <c r="BF369" s="69"/>
      <c r="BG369" s="69"/>
      <c r="BH369" s="69"/>
      <c r="BI369" s="69"/>
      <c r="BJ369" s="68"/>
      <c r="BK369" s="69"/>
      <c r="BL369" s="67"/>
      <c r="BM369" s="67"/>
      <c r="BN369" s="56"/>
      <c r="BO369" s="56"/>
      <c r="BT369" s="63"/>
      <c r="BW369" s="56"/>
      <c r="BX369" s="56"/>
      <c r="BY369" s="56"/>
      <c r="BZ369" s="56"/>
      <c r="CA369" s="56"/>
      <c r="CF369" s="63"/>
      <c r="CI369" s="56"/>
      <c r="CJ369" s="56"/>
      <c r="CK369" s="56"/>
      <c r="CL369" s="56"/>
      <c r="CM369" s="56"/>
    </row>
    <row r="370" spans="18:93" ht="18" customHeight="1">
      <c r="AO370" s="68"/>
      <c r="AP370" s="67"/>
      <c r="AQ370" s="67"/>
      <c r="AR370" s="68"/>
      <c r="AS370" s="68"/>
      <c r="AT370" s="68"/>
      <c r="AU370" s="68"/>
      <c r="AV370" s="68"/>
      <c r="AW370" s="68"/>
      <c r="AX370" s="68"/>
      <c r="AY370" s="69"/>
      <c r="AZ370" s="67"/>
      <c r="BA370" s="68"/>
      <c r="BB370" s="67"/>
      <c r="BC370" s="67"/>
      <c r="BD370" s="68"/>
      <c r="BE370" s="68"/>
      <c r="BF370" s="68"/>
      <c r="BG370" s="68"/>
      <c r="BH370" s="68"/>
      <c r="BI370" s="68"/>
      <c r="BJ370" s="68"/>
      <c r="BK370" s="69"/>
      <c r="BL370" s="67"/>
      <c r="BM370" s="67"/>
    </row>
    <row r="371" spans="18:93" ht="18" customHeight="1">
      <c r="R371" s="63"/>
      <c r="S371" s="64"/>
      <c r="Y371" s="532"/>
      <c r="Z371" s="532"/>
      <c r="AA371" s="532"/>
      <c r="AD371" s="174"/>
      <c r="AE371" s="64"/>
      <c r="AK371" s="531"/>
      <c r="AL371" s="531"/>
      <c r="AM371" s="531"/>
      <c r="AO371" s="68"/>
      <c r="AP371" s="76"/>
      <c r="AQ371" s="77"/>
      <c r="AR371" s="68"/>
      <c r="AS371" s="68"/>
      <c r="AT371" s="68"/>
      <c r="AU371" s="68"/>
      <c r="AV371" s="68"/>
      <c r="AW371" s="533"/>
      <c r="AX371" s="533"/>
      <c r="AY371" s="533"/>
      <c r="AZ371" s="67"/>
      <c r="BA371" s="68"/>
      <c r="BB371" s="76"/>
      <c r="BC371" s="77"/>
      <c r="BD371" s="68"/>
      <c r="BE371" s="68"/>
      <c r="BF371" s="68"/>
      <c r="BG371" s="68"/>
      <c r="BH371" s="68"/>
      <c r="BI371" s="533"/>
      <c r="BJ371" s="533"/>
      <c r="BK371" s="533"/>
      <c r="BL371" s="67"/>
      <c r="BM371" s="67"/>
      <c r="BO371" s="531"/>
      <c r="BP371" s="531"/>
      <c r="BQ371" s="531"/>
      <c r="BT371" s="63"/>
      <c r="BU371" s="64"/>
      <c r="CA371" s="531"/>
      <c r="CB371" s="531"/>
      <c r="CC371" s="531"/>
      <c r="CF371" s="63"/>
      <c r="CG371" s="64"/>
      <c r="CM371" s="531"/>
      <c r="CN371" s="531"/>
      <c r="CO371" s="531"/>
    </row>
    <row r="372" spans="18:93" ht="18" customHeight="1">
      <c r="R372" s="63"/>
      <c r="V372" s="170"/>
      <c r="W372" s="170"/>
      <c r="X372" s="170"/>
      <c r="Y372" s="170"/>
      <c r="AD372" s="174"/>
      <c r="AG372" s="56"/>
      <c r="AH372" s="56"/>
      <c r="AI372" s="56"/>
      <c r="AJ372" s="56"/>
      <c r="AK372" s="56"/>
      <c r="AO372" s="68"/>
      <c r="AP372" s="76"/>
      <c r="AQ372" s="67"/>
      <c r="AR372" s="68"/>
      <c r="AS372" s="69"/>
      <c r="AT372" s="69"/>
      <c r="AU372" s="69"/>
      <c r="AV372" s="69"/>
      <c r="AW372" s="69"/>
      <c r="AX372" s="68"/>
      <c r="AY372" s="69"/>
      <c r="AZ372" s="67"/>
      <c r="BA372" s="69"/>
      <c r="BB372" s="76"/>
      <c r="BC372" s="67"/>
      <c r="BD372" s="68"/>
      <c r="BE372" s="69"/>
      <c r="BF372" s="69"/>
      <c r="BG372" s="69"/>
      <c r="BH372" s="69"/>
      <c r="BI372" s="69"/>
      <c r="BJ372" s="68"/>
      <c r="BK372" s="69"/>
      <c r="BL372" s="67"/>
      <c r="BM372" s="67"/>
      <c r="BN372" s="56"/>
      <c r="BO372" s="56"/>
      <c r="BT372" s="63"/>
      <c r="BW372" s="56"/>
      <c r="BX372" s="56"/>
      <c r="BY372" s="56"/>
      <c r="BZ372" s="56"/>
      <c r="CA372" s="56"/>
      <c r="CF372" s="63"/>
      <c r="CI372" s="56"/>
      <c r="CJ372" s="56"/>
      <c r="CK372" s="56"/>
      <c r="CL372" s="56"/>
      <c r="CM372" s="56"/>
    </row>
    <row r="373" spans="18:93" ht="18" customHeight="1">
      <c r="R373" s="63"/>
      <c r="V373" s="170"/>
      <c r="W373" s="170"/>
      <c r="X373" s="170"/>
      <c r="Y373" s="170"/>
      <c r="AD373" s="174"/>
      <c r="AG373" s="56"/>
      <c r="AH373" s="56"/>
      <c r="AI373" s="56"/>
      <c r="AJ373" s="56"/>
      <c r="AK373" s="56"/>
      <c r="AO373" s="68"/>
      <c r="AP373" s="76"/>
      <c r="AQ373" s="67"/>
      <c r="AR373" s="68"/>
      <c r="AS373" s="69"/>
      <c r="AT373" s="69"/>
      <c r="AU373" s="69"/>
      <c r="AV373" s="69"/>
      <c r="AW373" s="69"/>
      <c r="AX373" s="68"/>
      <c r="AY373" s="69"/>
      <c r="AZ373" s="67"/>
      <c r="BA373" s="69"/>
      <c r="BB373" s="76"/>
      <c r="BC373" s="67"/>
      <c r="BD373" s="68"/>
      <c r="BE373" s="69"/>
      <c r="BF373" s="69"/>
      <c r="BG373" s="69"/>
      <c r="BH373" s="69"/>
      <c r="BI373" s="69"/>
      <c r="BJ373" s="68"/>
      <c r="BK373" s="69"/>
      <c r="BL373" s="67"/>
      <c r="BM373" s="67"/>
      <c r="BN373" s="56"/>
      <c r="BO373" s="56"/>
      <c r="BT373" s="63"/>
      <c r="BW373" s="56"/>
      <c r="BX373" s="56"/>
      <c r="BY373" s="56"/>
      <c r="BZ373" s="56"/>
      <c r="CA373" s="56"/>
      <c r="CF373" s="63"/>
      <c r="CI373" s="56"/>
      <c r="CJ373" s="56"/>
      <c r="CK373" s="56"/>
      <c r="CL373" s="56"/>
      <c r="CM373" s="56"/>
    </row>
    <row r="374" spans="18:93" ht="18" customHeight="1">
      <c r="R374" s="63"/>
      <c r="V374" s="170"/>
      <c r="W374" s="170"/>
      <c r="X374" s="170"/>
      <c r="Y374" s="170"/>
      <c r="AD374" s="174"/>
      <c r="AG374" s="56"/>
      <c r="AH374" s="56"/>
      <c r="AI374" s="56"/>
      <c r="AJ374" s="56"/>
      <c r="AK374" s="56"/>
      <c r="AO374" s="68"/>
      <c r="AP374" s="76"/>
      <c r="AQ374" s="67"/>
      <c r="AR374" s="68"/>
      <c r="AS374" s="69"/>
      <c r="AT374" s="69"/>
      <c r="AU374" s="69"/>
      <c r="AV374" s="69"/>
      <c r="AW374" s="69"/>
      <c r="AX374" s="68"/>
      <c r="AY374" s="69"/>
      <c r="AZ374" s="67"/>
      <c r="BA374" s="69"/>
      <c r="BB374" s="76"/>
      <c r="BC374" s="67"/>
      <c r="BD374" s="68"/>
      <c r="BE374" s="69"/>
      <c r="BF374" s="69"/>
      <c r="BG374" s="69"/>
      <c r="BH374" s="69"/>
      <c r="BI374" s="69"/>
      <c r="BJ374" s="68"/>
      <c r="BK374" s="69"/>
      <c r="BL374" s="67"/>
      <c r="BM374" s="67"/>
      <c r="BN374" s="56"/>
      <c r="BO374" s="56"/>
      <c r="BT374" s="63"/>
      <c r="BW374" s="56"/>
      <c r="BX374" s="56"/>
      <c r="BY374" s="56"/>
      <c r="BZ374" s="56"/>
      <c r="CA374" s="56"/>
      <c r="CF374" s="63"/>
      <c r="CI374" s="56"/>
      <c r="CJ374" s="56"/>
      <c r="CK374" s="56"/>
      <c r="CL374" s="56"/>
      <c r="CM374" s="56"/>
    </row>
    <row r="375" spans="18:93" ht="18" customHeight="1">
      <c r="R375" s="63"/>
      <c r="V375" s="170"/>
      <c r="W375" s="170"/>
      <c r="X375" s="170"/>
      <c r="Y375" s="170"/>
      <c r="AD375" s="174"/>
      <c r="AG375" s="56"/>
      <c r="AH375" s="56"/>
      <c r="AI375" s="56"/>
      <c r="AJ375" s="56"/>
      <c r="AK375" s="56"/>
      <c r="AO375" s="68"/>
      <c r="AP375" s="76"/>
      <c r="AQ375" s="67"/>
      <c r="AR375" s="68"/>
      <c r="AS375" s="69"/>
      <c r="AT375" s="69"/>
      <c r="AU375" s="69"/>
      <c r="AV375" s="69"/>
      <c r="AW375" s="69"/>
      <c r="AX375" s="68"/>
      <c r="AY375" s="69"/>
      <c r="AZ375" s="67"/>
      <c r="BA375" s="69"/>
      <c r="BB375" s="76"/>
      <c r="BC375" s="67"/>
      <c r="BD375" s="68"/>
      <c r="BE375" s="69"/>
      <c r="BF375" s="69"/>
      <c r="BG375" s="69"/>
      <c r="BH375" s="69"/>
      <c r="BI375" s="69"/>
      <c r="BJ375" s="68"/>
      <c r="BK375" s="69"/>
      <c r="BL375" s="67"/>
      <c r="BM375" s="67"/>
      <c r="BN375" s="56"/>
      <c r="BO375" s="56"/>
      <c r="BT375" s="63"/>
      <c r="BW375" s="56"/>
      <c r="BX375" s="56"/>
      <c r="BY375" s="56"/>
      <c r="BZ375" s="56"/>
      <c r="CA375" s="56"/>
      <c r="CF375" s="63"/>
      <c r="CI375" s="56"/>
      <c r="CJ375" s="56"/>
      <c r="CK375" s="56"/>
      <c r="CL375" s="56"/>
      <c r="CM375" s="56"/>
    </row>
    <row r="376" spans="18:93" ht="18" customHeight="1">
      <c r="AO376" s="68"/>
      <c r="AP376" s="67"/>
      <c r="AQ376" s="67"/>
      <c r="AR376" s="68"/>
      <c r="AS376" s="68"/>
      <c r="AT376" s="68"/>
      <c r="AU376" s="68"/>
      <c r="AV376" s="68"/>
      <c r="AW376" s="68"/>
      <c r="AX376" s="68"/>
      <c r="AY376" s="69"/>
      <c r="AZ376" s="67"/>
      <c r="BA376" s="68"/>
      <c r="BB376" s="67"/>
      <c r="BC376" s="67"/>
      <c r="BD376" s="68"/>
      <c r="BE376" s="68"/>
      <c r="BF376" s="68"/>
      <c r="BG376" s="68"/>
      <c r="BH376" s="68"/>
      <c r="BI376" s="68"/>
      <c r="BJ376" s="68"/>
      <c r="BK376" s="69"/>
      <c r="BL376" s="67"/>
      <c r="BM376" s="67"/>
    </row>
    <row r="377" spans="18:93" ht="18" customHeight="1">
      <c r="R377" s="63"/>
      <c r="S377" s="64"/>
      <c r="Y377" s="532"/>
      <c r="Z377" s="532"/>
      <c r="AA377" s="532"/>
      <c r="AD377" s="174"/>
      <c r="AE377" s="64"/>
      <c r="AK377" s="531"/>
      <c r="AL377" s="531"/>
      <c r="AM377" s="531"/>
      <c r="AO377" s="68"/>
      <c r="AP377" s="76"/>
      <c r="AQ377" s="77"/>
      <c r="AR377" s="68"/>
      <c r="AS377" s="68"/>
      <c r="AT377" s="68"/>
      <c r="AU377" s="68"/>
      <c r="AV377" s="68"/>
      <c r="AW377" s="533"/>
      <c r="AX377" s="533"/>
      <c r="AY377" s="533"/>
      <c r="AZ377" s="67"/>
      <c r="BA377" s="68"/>
      <c r="BB377" s="76"/>
      <c r="BC377" s="77"/>
      <c r="BD377" s="68"/>
      <c r="BE377" s="68"/>
      <c r="BF377" s="68"/>
      <c r="BG377" s="68"/>
      <c r="BH377" s="68"/>
      <c r="BI377" s="533"/>
      <c r="BJ377" s="533"/>
      <c r="BK377" s="533"/>
      <c r="BL377" s="67"/>
      <c r="BM377" s="67"/>
      <c r="BO377" s="531"/>
      <c r="BP377" s="531"/>
      <c r="BQ377" s="531"/>
      <c r="BT377" s="63"/>
      <c r="BU377" s="64"/>
      <c r="CA377" s="531"/>
      <c r="CB377" s="531"/>
      <c r="CC377" s="531"/>
      <c r="CF377" s="63"/>
      <c r="CG377" s="64"/>
      <c r="CM377" s="531"/>
      <c r="CN377" s="531"/>
      <c r="CO377" s="531"/>
    </row>
    <row r="378" spans="18:93" ht="18" customHeight="1">
      <c r="R378" s="63"/>
      <c r="V378" s="170"/>
      <c r="W378" s="170"/>
      <c r="X378" s="170"/>
      <c r="Y378" s="170"/>
      <c r="AD378" s="174"/>
      <c r="AG378" s="56"/>
      <c r="AH378" s="56"/>
      <c r="AI378" s="56"/>
      <c r="AJ378" s="56"/>
      <c r="AK378" s="56"/>
      <c r="AO378" s="68"/>
      <c r="AP378" s="76"/>
      <c r="AQ378" s="67"/>
      <c r="AR378" s="68"/>
      <c r="AS378" s="69"/>
      <c r="AT378" s="69"/>
      <c r="AU378" s="69"/>
      <c r="AV378" s="69"/>
      <c r="AW378" s="69"/>
      <c r="AX378" s="68"/>
      <c r="AY378" s="69"/>
      <c r="AZ378" s="67"/>
      <c r="BA378" s="69"/>
      <c r="BB378" s="76"/>
      <c r="BC378" s="67"/>
      <c r="BD378" s="68"/>
      <c r="BE378" s="69"/>
      <c r="BF378" s="69"/>
      <c r="BG378" s="69"/>
      <c r="BH378" s="69"/>
      <c r="BI378" s="69"/>
      <c r="BJ378" s="68"/>
      <c r="BK378" s="69"/>
      <c r="BL378" s="67"/>
      <c r="BM378" s="67"/>
      <c r="BN378" s="56"/>
      <c r="BO378" s="56"/>
      <c r="BT378" s="63"/>
      <c r="BW378" s="56"/>
      <c r="BX378" s="56"/>
      <c r="BY378" s="56"/>
      <c r="BZ378" s="56"/>
      <c r="CA378" s="56"/>
      <c r="CF378" s="63"/>
      <c r="CI378" s="56"/>
      <c r="CJ378" s="56"/>
      <c r="CK378" s="56"/>
      <c r="CL378" s="56"/>
      <c r="CM378" s="56"/>
    </row>
    <row r="379" spans="18:93" ht="18" customHeight="1">
      <c r="R379" s="63"/>
      <c r="V379" s="170"/>
      <c r="W379" s="170"/>
      <c r="X379" s="170"/>
      <c r="Y379" s="170"/>
      <c r="AD379" s="174"/>
      <c r="AG379" s="56"/>
      <c r="AH379" s="56"/>
      <c r="AI379" s="56"/>
      <c r="AJ379" s="56"/>
      <c r="AK379" s="56"/>
      <c r="AO379" s="68"/>
      <c r="AP379" s="76"/>
      <c r="AQ379" s="67"/>
      <c r="AR379" s="68"/>
      <c r="AS379" s="69"/>
      <c r="AT379" s="69"/>
      <c r="AU379" s="69"/>
      <c r="AV379" s="69"/>
      <c r="AW379" s="69"/>
      <c r="AX379" s="68"/>
      <c r="AY379" s="69"/>
      <c r="AZ379" s="67"/>
      <c r="BA379" s="69"/>
      <c r="BB379" s="76"/>
      <c r="BC379" s="67"/>
      <c r="BD379" s="68"/>
      <c r="BE379" s="69"/>
      <c r="BF379" s="69"/>
      <c r="BG379" s="69"/>
      <c r="BH379" s="69"/>
      <c r="BI379" s="69"/>
      <c r="BJ379" s="68"/>
      <c r="BK379" s="69"/>
      <c r="BL379" s="67"/>
      <c r="BM379" s="67"/>
      <c r="BN379" s="56"/>
      <c r="BO379" s="56"/>
      <c r="BT379" s="63"/>
      <c r="BW379" s="56"/>
      <c r="BX379" s="56"/>
      <c r="BY379" s="56"/>
      <c r="BZ379" s="56"/>
      <c r="CA379" s="56"/>
      <c r="CF379" s="63"/>
      <c r="CI379" s="56"/>
      <c r="CJ379" s="56"/>
      <c r="CK379" s="56"/>
      <c r="CL379" s="56"/>
      <c r="CM379" s="56"/>
    </row>
    <row r="380" spans="18:93" ht="18" customHeight="1">
      <c r="R380" s="63"/>
      <c r="V380" s="170"/>
      <c r="W380" s="170"/>
      <c r="X380" s="170"/>
      <c r="Y380" s="170"/>
      <c r="AD380" s="174"/>
      <c r="AG380" s="56"/>
      <c r="AH380" s="56"/>
      <c r="AI380" s="56"/>
      <c r="AJ380" s="56"/>
      <c r="AK380" s="56"/>
      <c r="AO380" s="68"/>
      <c r="AP380" s="76"/>
      <c r="AQ380" s="67"/>
      <c r="AR380" s="68"/>
      <c r="AS380" s="69"/>
      <c r="AT380" s="69"/>
      <c r="AU380" s="69"/>
      <c r="AV380" s="69"/>
      <c r="AW380" s="69"/>
      <c r="AX380" s="68"/>
      <c r="AY380" s="69"/>
      <c r="AZ380" s="67"/>
      <c r="BA380" s="69"/>
      <c r="BB380" s="76"/>
      <c r="BC380" s="67"/>
      <c r="BD380" s="68"/>
      <c r="BE380" s="69"/>
      <c r="BF380" s="69"/>
      <c r="BG380" s="69"/>
      <c r="BH380" s="69"/>
      <c r="BI380" s="69"/>
      <c r="BJ380" s="68"/>
      <c r="BK380" s="69"/>
      <c r="BL380" s="67"/>
      <c r="BM380" s="67"/>
      <c r="BN380" s="56"/>
      <c r="BO380" s="56"/>
      <c r="BT380" s="63"/>
      <c r="BW380" s="56"/>
      <c r="BX380" s="56"/>
      <c r="BY380" s="56"/>
      <c r="BZ380" s="56"/>
      <c r="CA380" s="56"/>
      <c r="CF380" s="63"/>
      <c r="CI380" s="56"/>
      <c r="CJ380" s="56"/>
      <c r="CK380" s="56"/>
      <c r="CL380" s="56"/>
      <c r="CM380" s="56"/>
    </row>
    <row r="381" spans="18:93" ht="18" customHeight="1">
      <c r="R381" s="63"/>
      <c r="V381" s="170"/>
      <c r="W381" s="170"/>
      <c r="X381" s="170"/>
      <c r="Y381" s="170"/>
      <c r="AD381" s="174"/>
      <c r="AG381" s="56"/>
      <c r="AH381" s="56"/>
      <c r="AI381" s="56"/>
      <c r="AJ381" s="56"/>
      <c r="AK381" s="56"/>
      <c r="AO381" s="68"/>
      <c r="AP381" s="76"/>
      <c r="AQ381" s="67"/>
      <c r="AR381" s="68"/>
      <c r="AS381" s="69"/>
      <c r="AT381" s="69"/>
      <c r="AU381" s="69"/>
      <c r="AV381" s="69"/>
      <c r="AW381" s="69"/>
      <c r="AX381" s="68"/>
      <c r="AY381" s="69"/>
      <c r="AZ381" s="67"/>
      <c r="BA381" s="69"/>
      <c r="BB381" s="76"/>
      <c r="BC381" s="67"/>
      <c r="BD381" s="68"/>
      <c r="BE381" s="69"/>
      <c r="BF381" s="69"/>
      <c r="BG381" s="69"/>
      <c r="BH381" s="69"/>
      <c r="BI381" s="69"/>
      <c r="BJ381" s="68"/>
      <c r="BK381" s="69"/>
      <c r="BL381" s="67"/>
      <c r="BM381" s="67"/>
      <c r="BN381" s="56"/>
      <c r="BO381" s="56"/>
      <c r="BT381" s="63"/>
      <c r="BW381" s="56"/>
      <c r="BX381" s="56"/>
      <c r="BY381" s="56"/>
      <c r="BZ381" s="56"/>
      <c r="CA381" s="56"/>
      <c r="CF381" s="63"/>
      <c r="CI381" s="56"/>
      <c r="CJ381" s="56"/>
      <c r="CK381" s="56"/>
      <c r="CL381" s="56"/>
      <c r="CM381" s="56"/>
    </row>
    <row r="382" spans="18:93" ht="18" customHeight="1">
      <c r="AO382" s="68"/>
      <c r="AP382" s="67"/>
      <c r="AQ382" s="67"/>
      <c r="AR382" s="68"/>
      <c r="AS382" s="68"/>
      <c r="AT382" s="68"/>
      <c r="AU382" s="68"/>
      <c r="AV382" s="68"/>
      <c r="AW382" s="68"/>
      <c r="AX382" s="68"/>
      <c r="AY382" s="69"/>
      <c r="AZ382" s="67"/>
      <c r="BA382" s="68"/>
      <c r="BB382" s="67"/>
      <c r="BC382" s="67"/>
      <c r="BD382" s="68"/>
      <c r="BE382" s="68"/>
      <c r="BF382" s="68"/>
      <c r="BG382" s="68"/>
      <c r="BH382" s="68"/>
      <c r="BI382" s="68"/>
      <c r="BJ382" s="68"/>
      <c r="BK382" s="69"/>
      <c r="BL382" s="67"/>
      <c r="BM382" s="67"/>
    </row>
    <row r="383" spans="18:93" ht="18" customHeight="1">
      <c r="R383" s="63"/>
      <c r="S383" s="64"/>
      <c r="Y383" s="532"/>
      <c r="Z383" s="532"/>
      <c r="AA383" s="532"/>
      <c r="AD383" s="174"/>
      <c r="AE383" s="64"/>
      <c r="AK383" s="531"/>
      <c r="AL383" s="531"/>
      <c r="AM383" s="531"/>
      <c r="AO383" s="68"/>
      <c r="AP383" s="76"/>
      <c r="AQ383" s="77"/>
      <c r="AR383" s="68"/>
      <c r="AS383" s="68"/>
      <c r="AT383" s="68"/>
      <c r="AU383" s="68"/>
      <c r="AV383" s="68"/>
      <c r="AW383" s="533"/>
      <c r="AX383" s="533"/>
      <c r="AY383" s="533"/>
      <c r="AZ383" s="67"/>
      <c r="BA383" s="68"/>
      <c r="BB383" s="76"/>
      <c r="BC383" s="77"/>
      <c r="BD383" s="68"/>
      <c r="BE383" s="68"/>
      <c r="BF383" s="68"/>
      <c r="BG383" s="68"/>
      <c r="BH383" s="68"/>
      <c r="BI383" s="533"/>
      <c r="BJ383" s="533"/>
      <c r="BK383" s="533"/>
      <c r="BL383" s="67"/>
      <c r="BM383" s="67"/>
      <c r="BO383" s="531"/>
      <c r="BP383" s="531"/>
      <c r="BQ383" s="531"/>
      <c r="BT383" s="63"/>
      <c r="BU383" s="64"/>
      <c r="CA383" s="531"/>
      <c r="CB383" s="531"/>
      <c r="CC383" s="531"/>
      <c r="CF383" s="63"/>
      <c r="CG383" s="64"/>
      <c r="CM383" s="531"/>
      <c r="CN383" s="531"/>
      <c r="CO383" s="531"/>
    </row>
    <row r="384" spans="18:93" ht="18" customHeight="1">
      <c r="R384" s="63"/>
      <c r="V384" s="170"/>
      <c r="W384" s="170"/>
      <c r="X384" s="170"/>
      <c r="Y384" s="170"/>
      <c r="AD384" s="174"/>
      <c r="AG384" s="56"/>
      <c r="AH384" s="56"/>
      <c r="AI384" s="56"/>
      <c r="AJ384" s="56"/>
      <c r="AK384" s="56"/>
      <c r="AO384" s="68"/>
      <c r="AP384" s="76"/>
      <c r="AQ384" s="67"/>
      <c r="AR384" s="68"/>
      <c r="AS384" s="69"/>
      <c r="AT384" s="69"/>
      <c r="AU384" s="69"/>
      <c r="AV384" s="69"/>
      <c r="AW384" s="69"/>
      <c r="AX384" s="68"/>
      <c r="AY384" s="69"/>
      <c r="AZ384" s="67"/>
      <c r="BA384" s="69"/>
      <c r="BB384" s="76"/>
      <c r="BC384" s="67"/>
      <c r="BD384" s="68"/>
      <c r="BE384" s="69"/>
      <c r="BF384" s="69"/>
      <c r="BG384" s="69"/>
      <c r="BH384" s="69"/>
      <c r="BI384" s="69"/>
      <c r="BJ384" s="68"/>
      <c r="BK384" s="69"/>
      <c r="BL384" s="67"/>
      <c r="BM384" s="67"/>
      <c r="BN384" s="56"/>
      <c r="BO384" s="56"/>
      <c r="BT384" s="63"/>
      <c r="BW384" s="56"/>
      <c r="BX384" s="56"/>
      <c r="BY384" s="56"/>
      <c r="BZ384" s="56"/>
      <c r="CA384" s="56"/>
      <c r="CF384" s="63"/>
      <c r="CI384" s="56"/>
      <c r="CJ384" s="56"/>
      <c r="CK384" s="56"/>
      <c r="CL384" s="56"/>
      <c r="CM384" s="56"/>
    </row>
    <row r="385" spans="18:91" ht="18" customHeight="1">
      <c r="R385" s="63"/>
      <c r="V385" s="170"/>
      <c r="W385" s="170"/>
      <c r="X385" s="170"/>
      <c r="Y385" s="170"/>
      <c r="AD385" s="174"/>
      <c r="AG385" s="56"/>
      <c r="AH385" s="56"/>
      <c r="AI385" s="56"/>
      <c r="AJ385" s="56"/>
      <c r="AK385" s="56"/>
      <c r="AO385" s="68"/>
      <c r="AP385" s="76"/>
      <c r="AQ385" s="67"/>
      <c r="AR385" s="68"/>
      <c r="AS385" s="69"/>
      <c r="AT385" s="69"/>
      <c r="AU385" s="69"/>
      <c r="AV385" s="69"/>
      <c r="AW385" s="69"/>
      <c r="AX385" s="68"/>
      <c r="AY385" s="69"/>
      <c r="AZ385" s="67"/>
      <c r="BA385" s="69"/>
      <c r="BB385" s="76"/>
      <c r="BC385" s="67"/>
      <c r="BD385" s="68"/>
      <c r="BE385" s="69"/>
      <c r="BF385" s="69"/>
      <c r="BG385" s="69"/>
      <c r="BH385" s="69"/>
      <c r="BI385" s="69"/>
      <c r="BJ385" s="68"/>
      <c r="BK385" s="69"/>
      <c r="BL385" s="67"/>
      <c r="BM385" s="67"/>
      <c r="BN385" s="56"/>
      <c r="BO385" s="56"/>
      <c r="BT385" s="63"/>
      <c r="BW385" s="56"/>
      <c r="BX385" s="56"/>
      <c r="BY385" s="56"/>
      <c r="BZ385" s="56"/>
      <c r="CA385" s="56"/>
      <c r="CF385" s="63"/>
      <c r="CI385" s="56"/>
      <c r="CJ385" s="56"/>
      <c r="CK385" s="56"/>
      <c r="CL385" s="56"/>
      <c r="CM385" s="56"/>
    </row>
    <row r="386" spans="18:91" ht="18" customHeight="1">
      <c r="R386" s="63"/>
      <c r="V386" s="170"/>
      <c r="W386" s="170"/>
      <c r="X386" s="170"/>
      <c r="Y386" s="170"/>
      <c r="AD386" s="174"/>
      <c r="AG386" s="56"/>
      <c r="AH386" s="56"/>
      <c r="AI386" s="56"/>
      <c r="AJ386" s="56"/>
      <c r="AK386" s="56"/>
      <c r="AO386" s="68"/>
      <c r="AP386" s="76"/>
      <c r="AQ386" s="67"/>
      <c r="AR386" s="68"/>
      <c r="AS386" s="69"/>
      <c r="AT386" s="69"/>
      <c r="AU386" s="69"/>
      <c r="AV386" s="69"/>
      <c r="AW386" s="69"/>
      <c r="AX386" s="68"/>
      <c r="AY386" s="69"/>
      <c r="AZ386" s="67"/>
      <c r="BA386" s="69"/>
      <c r="BB386" s="76"/>
      <c r="BC386" s="67"/>
      <c r="BD386" s="68"/>
      <c r="BE386" s="69"/>
      <c r="BF386" s="69"/>
      <c r="BG386" s="69"/>
      <c r="BH386" s="69"/>
      <c r="BI386" s="69"/>
      <c r="BJ386" s="68"/>
      <c r="BK386" s="69"/>
      <c r="BL386" s="67"/>
      <c r="BM386" s="67"/>
      <c r="BN386" s="56"/>
      <c r="BO386" s="56"/>
      <c r="BT386" s="63"/>
      <c r="BW386" s="56"/>
      <c r="BX386" s="56"/>
      <c r="BY386" s="56"/>
      <c r="BZ386" s="56"/>
      <c r="CA386" s="56"/>
      <c r="CF386" s="63"/>
      <c r="CI386" s="56"/>
      <c r="CJ386" s="56"/>
      <c r="CK386" s="56"/>
      <c r="CL386" s="56"/>
      <c r="CM386" s="56"/>
    </row>
    <row r="387" spans="18:91" ht="18" customHeight="1">
      <c r="R387" s="63"/>
      <c r="V387" s="170"/>
      <c r="W387" s="170"/>
      <c r="X387" s="170"/>
      <c r="Y387" s="170"/>
      <c r="AD387" s="174"/>
      <c r="AG387" s="56"/>
      <c r="AH387" s="56"/>
      <c r="AI387" s="56"/>
      <c r="AJ387" s="56"/>
      <c r="AK387" s="56"/>
      <c r="AO387" s="68"/>
      <c r="AP387" s="76"/>
      <c r="AQ387" s="67"/>
      <c r="AR387" s="68"/>
      <c r="AS387" s="69"/>
      <c r="AT387" s="69"/>
      <c r="AU387" s="69"/>
      <c r="AV387" s="69"/>
      <c r="AW387" s="69"/>
      <c r="AX387" s="68"/>
      <c r="AY387" s="69"/>
      <c r="AZ387" s="67"/>
      <c r="BA387" s="69"/>
      <c r="BB387" s="76"/>
      <c r="BC387" s="67"/>
      <c r="BD387" s="68"/>
      <c r="BE387" s="69"/>
      <c r="BF387" s="69"/>
      <c r="BG387" s="69"/>
      <c r="BH387" s="69"/>
      <c r="BI387" s="69"/>
      <c r="BJ387" s="68"/>
      <c r="BK387" s="69"/>
      <c r="BL387" s="67"/>
      <c r="BM387" s="67"/>
      <c r="BN387" s="56"/>
      <c r="BO387" s="56"/>
      <c r="BT387" s="63"/>
      <c r="BW387" s="56"/>
      <c r="BX387" s="56"/>
      <c r="BY387" s="56"/>
      <c r="BZ387" s="56"/>
      <c r="CA387" s="56"/>
      <c r="CF387" s="63"/>
      <c r="CI387" s="56"/>
      <c r="CJ387" s="56"/>
      <c r="CK387" s="56"/>
      <c r="CL387" s="56"/>
      <c r="CM387" s="56"/>
    </row>
  </sheetData>
  <mergeCells count="516">
    <mergeCell ref="CA5:CC5"/>
    <mergeCell ref="CM5:CO5"/>
    <mergeCell ref="B6:B7"/>
    <mergeCell ref="C6:C7"/>
    <mergeCell ref="D6:D7"/>
    <mergeCell ref="B8:B9"/>
    <mergeCell ref="C8:C9"/>
    <mergeCell ref="D8:D9"/>
    <mergeCell ref="B4:B5"/>
    <mergeCell ref="C4:C5"/>
    <mergeCell ref="D4:D5"/>
    <mergeCell ref="AK5:AM5"/>
    <mergeCell ref="BO5:BQ5"/>
    <mergeCell ref="CA11:CC11"/>
    <mergeCell ref="CM11:CO11"/>
    <mergeCell ref="B12:B13"/>
    <mergeCell ref="C12:C13"/>
    <mergeCell ref="D12:D13"/>
    <mergeCell ref="B14:B15"/>
    <mergeCell ref="C14:C15"/>
    <mergeCell ref="D14:D15"/>
    <mergeCell ref="B10:B11"/>
    <mergeCell ref="C10:C11"/>
    <mergeCell ref="D10:D11"/>
    <mergeCell ref="AK11:AM11"/>
    <mergeCell ref="BO11:BQ11"/>
    <mergeCell ref="CA23:CC23"/>
    <mergeCell ref="CM23:CO23"/>
    <mergeCell ref="B20:B21"/>
    <mergeCell ref="C20:C21"/>
    <mergeCell ref="D20:D21"/>
    <mergeCell ref="B22:B23"/>
    <mergeCell ref="C22:C23"/>
    <mergeCell ref="D22:D23"/>
    <mergeCell ref="BO17:BQ17"/>
    <mergeCell ref="CA17:CC17"/>
    <mergeCell ref="CM17:CO17"/>
    <mergeCell ref="B18:B19"/>
    <mergeCell ref="C18:C19"/>
    <mergeCell ref="D18:D19"/>
    <mergeCell ref="B16:B17"/>
    <mergeCell ref="C16:C17"/>
    <mergeCell ref="D16:D17"/>
    <mergeCell ref="AK17:AM17"/>
    <mergeCell ref="BI17:BK17"/>
    <mergeCell ref="B24:B25"/>
    <mergeCell ref="C24:C25"/>
    <mergeCell ref="D24:D25"/>
    <mergeCell ref="B26:B27"/>
    <mergeCell ref="C26:C27"/>
    <mergeCell ref="D26:D27"/>
    <mergeCell ref="AK23:AM23"/>
    <mergeCell ref="BI23:BK23"/>
    <mergeCell ref="BO23:BQ23"/>
    <mergeCell ref="CM29:CO29"/>
    <mergeCell ref="B30:B31"/>
    <mergeCell ref="C30:C31"/>
    <mergeCell ref="D30:D31"/>
    <mergeCell ref="B28:B29"/>
    <mergeCell ref="C28:C29"/>
    <mergeCell ref="D28:D29"/>
    <mergeCell ref="AK29:AM29"/>
    <mergeCell ref="AW29:AY29"/>
    <mergeCell ref="B32:B33"/>
    <mergeCell ref="C32:C33"/>
    <mergeCell ref="D32:D33"/>
    <mergeCell ref="B34:B35"/>
    <mergeCell ref="C34:C35"/>
    <mergeCell ref="D34:D35"/>
    <mergeCell ref="BI29:BK29"/>
    <mergeCell ref="BO29:BQ29"/>
    <mergeCell ref="CA29:CC29"/>
    <mergeCell ref="BI41:BK41"/>
    <mergeCell ref="BO41:BQ41"/>
    <mergeCell ref="CA41:CC41"/>
    <mergeCell ref="CM41:CO41"/>
    <mergeCell ref="C42:C43"/>
    <mergeCell ref="D42:D43"/>
    <mergeCell ref="CM35:CO35"/>
    <mergeCell ref="C36:C37"/>
    <mergeCell ref="D36:D37"/>
    <mergeCell ref="C38:C39"/>
    <mergeCell ref="D38:D39"/>
    <mergeCell ref="C40:C41"/>
    <mergeCell ref="D40:D41"/>
    <mergeCell ref="Y41:AA41"/>
    <mergeCell ref="AK41:AM41"/>
    <mergeCell ref="AW41:AY41"/>
    <mergeCell ref="AK35:AM35"/>
    <mergeCell ref="AW35:AY35"/>
    <mergeCell ref="BI35:BK35"/>
    <mergeCell ref="BO35:BQ35"/>
    <mergeCell ref="CA35:CC35"/>
    <mergeCell ref="AW47:AY47"/>
    <mergeCell ref="BI47:BK47"/>
    <mergeCell ref="BO47:BQ47"/>
    <mergeCell ref="CA47:CC47"/>
    <mergeCell ref="CM47:CO47"/>
    <mergeCell ref="C48:C49"/>
    <mergeCell ref="D48:D49"/>
    <mergeCell ref="C44:C45"/>
    <mergeCell ref="D44:D45"/>
    <mergeCell ref="C46:C47"/>
    <mergeCell ref="D46:D47"/>
    <mergeCell ref="Y47:AA47"/>
    <mergeCell ref="AK47:AM47"/>
    <mergeCell ref="AW53:AY53"/>
    <mergeCell ref="BI53:BK53"/>
    <mergeCell ref="BO53:BQ53"/>
    <mergeCell ref="CA53:CC53"/>
    <mergeCell ref="CM53:CO53"/>
    <mergeCell ref="C54:C55"/>
    <mergeCell ref="D54:D55"/>
    <mergeCell ref="C50:C51"/>
    <mergeCell ref="D50:D51"/>
    <mergeCell ref="C52:C53"/>
    <mergeCell ref="D52:D53"/>
    <mergeCell ref="Y53:AA53"/>
    <mergeCell ref="AK53:AM53"/>
    <mergeCell ref="AW59:AY59"/>
    <mergeCell ref="BI59:BK59"/>
    <mergeCell ref="BO59:BQ59"/>
    <mergeCell ref="CA59:CC59"/>
    <mergeCell ref="CM59:CO59"/>
    <mergeCell ref="C60:C61"/>
    <mergeCell ref="D60:D61"/>
    <mergeCell ref="C56:C57"/>
    <mergeCell ref="D56:D57"/>
    <mergeCell ref="C58:C59"/>
    <mergeCell ref="D58:D59"/>
    <mergeCell ref="Y59:AA59"/>
    <mergeCell ref="AK59:AM59"/>
    <mergeCell ref="AW65:AY65"/>
    <mergeCell ref="BI65:BK65"/>
    <mergeCell ref="BO65:BQ65"/>
    <mergeCell ref="CA65:CC65"/>
    <mergeCell ref="CM65:CO65"/>
    <mergeCell ref="C66:C67"/>
    <mergeCell ref="D66:D67"/>
    <mergeCell ref="C62:C63"/>
    <mergeCell ref="D62:D63"/>
    <mergeCell ref="C64:C65"/>
    <mergeCell ref="D64:D65"/>
    <mergeCell ref="Y65:AA65"/>
    <mergeCell ref="AK65:AM65"/>
    <mergeCell ref="CM71:CO71"/>
    <mergeCell ref="Y77:AA77"/>
    <mergeCell ref="AK77:AM77"/>
    <mergeCell ref="AW77:AY77"/>
    <mergeCell ref="BI77:BK77"/>
    <mergeCell ref="BO77:BQ77"/>
    <mergeCell ref="CA77:CC77"/>
    <mergeCell ref="CM77:CO77"/>
    <mergeCell ref="Y71:AA71"/>
    <mergeCell ref="AK71:AM71"/>
    <mergeCell ref="AW71:AY71"/>
    <mergeCell ref="BI71:BK71"/>
    <mergeCell ref="BO71:BQ71"/>
    <mergeCell ref="CA71:CC71"/>
    <mergeCell ref="CM83:CO83"/>
    <mergeCell ref="Y89:AA89"/>
    <mergeCell ref="AK89:AM89"/>
    <mergeCell ref="AW89:AY89"/>
    <mergeCell ref="BI89:BK89"/>
    <mergeCell ref="BO89:BQ89"/>
    <mergeCell ref="CA89:CC89"/>
    <mergeCell ref="CM89:CO89"/>
    <mergeCell ref="Y83:AA83"/>
    <mergeCell ref="AK83:AM83"/>
    <mergeCell ref="AW83:AY83"/>
    <mergeCell ref="BI83:BK83"/>
    <mergeCell ref="BO83:BQ83"/>
    <mergeCell ref="CA83:CC83"/>
    <mergeCell ref="CM95:CO95"/>
    <mergeCell ref="Y101:AA101"/>
    <mergeCell ref="AK101:AM101"/>
    <mergeCell ref="AW101:AY101"/>
    <mergeCell ref="BI101:BK101"/>
    <mergeCell ref="BO101:BQ101"/>
    <mergeCell ref="CA101:CC101"/>
    <mergeCell ref="CM101:CO101"/>
    <mergeCell ref="Y95:AA95"/>
    <mergeCell ref="AK95:AM95"/>
    <mergeCell ref="AW95:AY95"/>
    <mergeCell ref="BI95:BK95"/>
    <mergeCell ref="BO95:BQ95"/>
    <mergeCell ref="CA95:CC95"/>
    <mergeCell ref="CM107:CO107"/>
    <mergeCell ref="Y113:AA113"/>
    <mergeCell ref="AK113:AM113"/>
    <mergeCell ref="AW113:AY113"/>
    <mergeCell ref="BI113:BK113"/>
    <mergeCell ref="BO113:BQ113"/>
    <mergeCell ref="CA113:CC113"/>
    <mergeCell ref="CM113:CO113"/>
    <mergeCell ref="Y107:AA107"/>
    <mergeCell ref="AK107:AM107"/>
    <mergeCell ref="AW107:AY107"/>
    <mergeCell ref="BI107:BK107"/>
    <mergeCell ref="BO107:BQ107"/>
    <mergeCell ref="CA107:CC107"/>
    <mergeCell ref="CM119:CO119"/>
    <mergeCell ref="Y125:AA125"/>
    <mergeCell ref="AK125:AM125"/>
    <mergeCell ref="AW125:AY125"/>
    <mergeCell ref="BI125:BK125"/>
    <mergeCell ref="BO125:BQ125"/>
    <mergeCell ref="CA125:CC125"/>
    <mergeCell ref="CM125:CO125"/>
    <mergeCell ref="Y119:AA119"/>
    <mergeCell ref="AK119:AM119"/>
    <mergeCell ref="AW119:AY119"/>
    <mergeCell ref="BI119:BK119"/>
    <mergeCell ref="BO119:BQ119"/>
    <mergeCell ref="CA119:CC119"/>
    <mergeCell ref="CM131:CO131"/>
    <mergeCell ref="Y137:AA137"/>
    <mergeCell ref="AK137:AM137"/>
    <mergeCell ref="AW137:AY137"/>
    <mergeCell ref="BI137:BK137"/>
    <mergeCell ref="BO137:BQ137"/>
    <mergeCell ref="CA137:CC137"/>
    <mergeCell ref="CM137:CO137"/>
    <mergeCell ref="Y131:AA131"/>
    <mergeCell ref="AK131:AM131"/>
    <mergeCell ref="AW131:AY131"/>
    <mergeCell ref="BI131:BK131"/>
    <mergeCell ref="BO131:BQ131"/>
    <mergeCell ref="CA131:CC131"/>
    <mergeCell ref="CM143:CO143"/>
    <mergeCell ref="Y149:AA149"/>
    <mergeCell ref="AK149:AM149"/>
    <mergeCell ref="AW149:AY149"/>
    <mergeCell ref="BI149:BK149"/>
    <mergeCell ref="BO149:BQ149"/>
    <mergeCell ref="CA149:CC149"/>
    <mergeCell ref="CM149:CO149"/>
    <mergeCell ref="Y143:AA143"/>
    <mergeCell ref="AK143:AM143"/>
    <mergeCell ref="AW143:AY143"/>
    <mergeCell ref="BI143:BK143"/>
    <mergeCell ref="BO143:BQ143"/>
    <mergeCell ref="CA143:CC143"/>
    <mergeCell ref="CM155:CO155"/>
    <mergeCell ref="Y161:AA161"/>
    <mergeCell ref="AK161:AM161"/>
    <mergeCell ref="AW161:AY161"/>
    <mergeCell ref="BI161:BK161"/>
    <mergeCell ref="BO161:BQ161"/>
    <mergeCell ref="CA161:CC161"/>
    <mergeCell ref="CM161:CO161"/>
    <mergeCell ref="Y155:AA155"/>
    <mergeCell ref="AK155:AM155"/>
    <mergeCell ref="AW155:AY155"/>
    <mergeCell ref="BI155:BK155"/>
    <mergeCell ref="BO155:BQ155"/>
    <mergeCell ref="CA155:CC155"/>
    <mergeCell ref="CM167:CO167"/>
    <mergeCell ref="Y173:AA173"/>
    <mergeCell ref="AK173:AM173"/>
    <mergeCell ref="AW173:AY173"/>
    <mergeCell ref="BI173:BK173"/>
    <mergeCell ref="BO173:BQ173"/>
    <mergeCell ref="CA173:CC173"/>
    <mergeCell ref="CM173:CO173"/>
    <mergeCell ref="Y167:AA167"/>
    <mergeCell ref="AK167:AM167"/>
    <mergeCell ref="AW167:AY167"/>
    <mergeCell ref="BI167:BK167"/>
    <mergeCell ref="BO167:BQ167"/>
    <mergeCell ref="CA167:CC167"/>
    <mergeCell ref="CM179:CO179"/>
    <mergeCell ref="Y185:AA185"/>
    <mergeCell ref="AK185:AM185"/>
    <mergeCell ref="AW185:AY185"/>
    <mergeCell ref="BI185:BK185"/>
    <mergeCell ref="BO185:BQ185"/>
    <mergeCell ref="CA185:CC185"/>
    <mergeCell ref="CM185:CO185"/>
    <mergeCell ref="Y179:AA179"/>
    <mergeCell ref="AK179:AM179"/>
    <mergeCell ref="AW179:AY179"/>
    <mergeCell ref="BI179:BK179"/>
    <mergeCell ref="BO179:BQ179"/>
    <mergeCell ref="CA179:CC179"/>
    <mergeCell ref="CM191:CO191"/>
    <mergeCell ref="Y197:AA197"/>
    <mergeCell ref="AK197:AM197"/>
    <mergeCell ref="AW197:AY197"/>
    <mergeCell ref="BI197:BK197"/>
    <mergeCell ref="BO197:BQ197"/>
    <mergeCell ref="CA197:CC197"/>
    <mergeCell ref="CM197:CO197"/>
    <mergeCell ref="Y191:AA191"/>
    <mergeCell ref="AK191:AM191"/>
    <mergeCell ref="AW191:AY191"/>
    <mergeCell ref="BI191:BK191"/>
    <mergeCell ref="BO191:BQ191"/>
    <mergeCell ref="CA191:CC191"/>
    <mergeCell ref="CM203:CO203"/>
    <mergeCell ref="Y209:AA209"/>
    <mergeCell ref="AK209:AM209"/>
    <mergeCell ref="AW209:AY209"/>
    <mergeCell ref="BI209:BK209"/>
    <mergeCell ref="BO209:BQ209"/>
    <mergeCell ref="CA209:CC209"/>
    <mergeCell ref="CM209:CO209"/>
    <mergeCell ref="Y203:AA203"/>
    <mergeCell ref="AK203:AM203"/>
    <mergeCell ref="AW203:AY203"/>
    <mergeCell ref="BI203:BK203"/>
    <mergeCell ref="BO203:BQ203"/>
    <mergeCell ref="CA203:CC203"/>
    <mergeCell ref="CM215:CO215"/>
    <mergeCell ref="Y221:AA221"/>
    <mergeCell ref="AK221:AM221"/>
    <mergeCell ref="AW221:AY221"/>
    <mergeCell ref="BI221:BK221"/>
    <mergeCell ref="BO221:BQ221"/>
    <mergeCell ref="CA221:CC221"/>
    <mergeCell ref="CM221:CO221"/>
    <mergeCell ref="Y215:AA215"/>
    <mergeCell ref="AK215:AM215"/>
    <mergeCell ref="AW215:AY215"/>
    <mergeCell ref="BI215:BK215"/>
    <mergeCell ref="BO215:BQ215"/>
    <mergeCell ref="CA215:CC215"/>
    <mergeCell ref="CM227:CO227"/>
    <mergeCell ref="Y233:AA233"/>
    <mergeCell ref="AK233:AM233"/>
    <mergeCell ref="AW233:AY233"/>
    <mergeCell ref="BI233:BK233"/>
    <mergeCell ref="BO233:BQ233"/>
    <mergeCell ref="CA233:CC233"/>
    <mergeCell ref="CM233:CO233"/>
    <mergeCell ref="Y227:AA227"/>
    <mergeCell ref="AK227:AM227"/>
    <mergeCell ref="AW227:AY227"/>
    <mergeCell ref="BI227:BK227"/>
    <mergeCell ref="BO227:BQ227"/>
    <mergeCell ref="CA227:CC227"/>
    <mergeCell ref="CM239:CO239"/>
    <mergeCell ref="Y245:AA245"/>
    <mergeCell ref="AK245:AM245"/>
    <mergeCell ref="AW245:AY245"/>
    <mergeCell ref="BI245:BK245"/>
    <mergeCell ref="BO245:BQ245"/>
    <mergeCell ref="CA245:CC245"/>
    <mergeCell ref="CM245:CO245"/>
    <mergeCell ref="Y239:AA239"/>
    <mergeCell ref="AK239:AM239"/>
    <mergeCell ref="AW239:AY239"/>
    <mergeCell ref="BI239:BK239"/>
    <mergeCell ref="BO239:BQ239"/>
    <mergeCell ref="CA239:CC239"/>
    <mergeCell ref="CM251:CO251"/>
    <mergeCell ref="Y257:AA257"/>
    <mergeCell ref="AK257:AM257"/>
    <mergeCell ref="AW257:AY257"/>
    <mergeCell ref="BI257:BK257"/>
    <mergeCell ref="BO257:BQ257"/>
    <mergeCell ref="CA257:CC257"/>
    <mergeCell ref="CM257:CO257"/>
    <mergeCell ref="Y251:AA251"/>
    <mergeCell ref="AK251:AM251"/>
    <mergeCell ref="AW251:AY251"/>
    <mergeCell ref="BI251:BK251"/>
    <mergeCell ref="BO251:BQ251"/>
    <mergeCell ref="CA251:CC251"/>
    <mergeCell ref="CM263:CO263"/>
    <mergeCell ref="Y269:AA269"/>
    <mergeCell ref="AK269:AM269"/>
    <mergeCell ref="AW269:AY269"/>
    <mergeCell ref="BI269:BK269"/>
    <mergeCell ref="BO269:BQ269"/>
    <mergeCell ref="CA269:CC269"/>
    <mergeCell ref="CM269:CO269"/>
    <mergeCell ref="Y263:AA263"/>
    <mergeCell ref="AK263:AM263"/>
    <mergeCell ref="AW263:AY263"/>
    <mergeCell ref="BI263:BK263"/>
    <mergeCell ref="BO263:BQ263"/>
    <mergeCell ref="CA263:CC263"/>
    <mergeCell ref="CM275:CO275"/>
    <mergeCell ref="Y281:AA281"/>
    <mergeCell ref="AK281:AM281"/>
    <mergeCell ref="AW281:AY281"/>
    <mergeCell ref="BI281:BK281"/>
    <mergeCell ref="BO281:BQ281"/>
    <mergeCell ref="CA281:CC281"/>
    <mergeCell ref="CM281:CO281"/>
    <mergeCell ref="Y275:AA275"/>
    <mergeCell ref="AK275:AM275"/>
    <mergeCell ref="AW275:AY275"/>
    <mergeCell ref="BI275:BK275"/>
    <mergeCell ref="BO275:BQ275"/>
    <mergeCell ref="CA275:CC275"/>
    <mergeCell ref="CM287:CO287"/>
    <mergeCell ref="Y293:AA293"/>
    <mergeCell ref="AK293:AM293"/>
    <mergeCell ref="AW293:AY293"/>
    <mergeCell ref="BI293:BK293"/>
    <mergeCell ref="BO293:BQ293"/>
    <mergeCell ref="CA293:CC293"/>
    <mergeCell ref="CM293:CO293"/>
    <mergeCell ref="Y287:AA287"/>
    <mergeCell ref="AK287:AM287"/>
    <mergeCell ref="AW287:AY287"/>
    <mergeCell ref="BI287:BK287"/>
    <mergeCell ref="BO287:BQ287"/>
    <mergeCell ref="CA287:CC287"/>
    <mergeCell ref="CM299:CO299"/>
    <mergeCell ref="Y305:AA305"/>
    <mergeCell ref="AK305:AM305"/>
    <mergeCell ref="AW305:AY305"/>
    <mergeCell ref="BI305:BK305"/>
    <mergeCell ref="BO305:BQ305"/>
    <mergeCell ref="CA305:CC305"/>
    <mergeCell ref="CM305:CO305"/>
    <mergeCell ref="Y299:AA299"/>
    <mergeCell ref="AK299:AM299"/>
    <mergeCell ref="AW299:AY299"/>
    <mergeCell ref="BI299:BK299"/>
    <mergeCell ref="BO299:BQ299"/>
    <mergeCell ref="CA299:CC299"/>
    <mergeCell ref="CM311:CO311"/>
    <mergeCell ref="Y317:AA317"/>
    <mergeCell ref="AK317:AM317"/>
    <mergeCell ref="AW317:AY317"/>
    <mergeCell ref="BI317:BK317"/>
    <mergeCell ref="BO317:BQ317"/>
    <mergeCell ref="CA317:CC317"/>
    <mergeCell ref="CM317:CO317"/>
    <mergeCell ref="Y311:AA311"/>
    <mergeCell ref="AK311:AM311"/>
    <mergeCell ref="AW311:AY311"/>
    <mergeCell ref="BI311:BK311"/>
    <mergeCell ref="BO311:BQ311"/>
    <mergeCell ref="CA311:CC311"/>
    <mergeCell ref="CM323:CO323"/>
    <mergeCell ref="Y329:AA329"/>
    <mergeCell ref="AK329:AM329"/>
    <mergeCell ref="AW329:AY329"/>
    <mergeCell ref="BI329:BK329"/>
    <mergeCell ref="BO329:BQ329"/>
    <mergeCell ref="CA329:CC329"/>
    <mergeCell ref="CM329:CO329"/>
    <mergeCell ref="Y323:AA323"/>
    <mergeCell ref="AK323:AM323"/>
    <mergeCell ref="AW323:AY323"/>
    <mergeCell ref="BI323:BK323"/>
    <mergeCell ref="BO323:BQ323"/>
    <mergeCell ref="CA323:CC323"/>
    <mergeCell ref="CM335:CO335"/>
    <mergeCell ref="Y341:AA341"/>
    <mergeCell ref="AK341:AM341"/>
    <mergeCell ref="AW341:AY341"/>
    <mergeCell ref="BI341:BK341"/>
    <mergeCell ref="BO341:BQ341"/>
    <mergeCell ref="CA341:CC341"/>
    <mergeCell ref="CM341:CO341"/>
    <mergeCell ref="Y335:AA335"/>
    <mergeCell ref="AK335:AM335"/>
    <mergeCell ref="AW335:AY335"/>
    <mergeCell ref="BI335:BK335"/>
    <mergeCell ref="BO335:BQ335"/>
    <mergeCell ref="CA335:CC335"/>
    <mergeCell ref="CM347:CO347"/>
    <mergeCell ref="Y353:AA353"/>
    <mergeCell ref="AK353:AM353"/>
    <mergeCell ref="AW353:AY353"/>
    <mergeCell ref="BI353:BK353"/>
    <mergeCell ref="BO353:BQ353"/>
    <mergeCell ref="CA353:CC353"/>
    <mergeCell ref="CM353:CO353"/>
    <mergeCell ref="Y347:AA347"/>
    <mergeCell ref="AK347:AM347"/>
    <mergeCell ref="AW347:AY347"/>
    <mergeCell ref="BI347:BK347"/>
    <mergeCell ref="BO347:BQ347"/>
    <mergeCell ref="CA347:CC347"/>
    <mergeCell ref="CM359:CO359"/>
    <mergeCell ref="Y365:AA365"/>
    <mergeCell ref="AK365:AM365"/>
    <mergeCell ref="AW365:AY365"/>
    <mergeCell ref="BI365:BK365"/>
    <mergeCell ref="BO365:BQ365"/>
    <mergeCell ref="CA365:CC365"/>
    <mergeCell ref="CM365:CO365"/>
    <mergeCell ref="Y359:AA359"/>
    <mergeCell ref="AK359:AM359"/>
    <mergeCell ref="AW359:AY359"/>
    <mergeCell ref="BI359:BK359"/>
    <mergeCell ref="BO359:BQ359"/>
    <mergeCell ref="CA359:CC359"/>
    <mergeCell ref="CM383:CO383"/>
    <mergeCell ref="Y383:AA383"/>
    <mergeCell ref="AK383:AM383"/>
    <mergeCell ref="AW383:AY383"/>
    <mergeCell ref="BI383:BK383"/>
    <mergeCell ref="BO383:BQ383"/>
    <mergeCell ref="CA383:CC383"/>
    <mergeCell ref="CM371:CO371"/>
    <mergeCell ref="Y377:AA377"/>
    <mergeCell ref="AK377:AM377"/>
    <mergeCell ref="AW377:AY377"/>
    <mergeCell ref="BI377:BK377"/>
    <mergeCell ref="BO377:BQ377"/>
    <mergeCell ref="CA377:CC377"/>
    <mergeCell ref="CM377:CO377"/>
    <mergeCell ref="Y371:AA371"/>
    <mergeCell ref="AK371:AM371"/>
    <mergeCell ref="AW371:AY371"/>
    <mergeCell ref="BI371:BK371"/>
    <mergeCell ref="BO371:BQ371"/>
    <mergeCell ref="CA371:CC371"/>
  </mergeCells>
  <pageMargins left="0.19685039370078741" right="0.15748031496062992" top="0.15748031496062992" bottom="0.15748031496062992" header="0.15748031496062992" footer="0.15748031496062992"/>
  <pageSetup paperSize="9" scale="29" orientation="landscape" horizontalDpi="300" verticalDpi="300" r:id="rId1"/>
  <headerFooter alignWithMargins="0"/>
  <rowBreaks count="2" manualBreakCount="2">
    <brk id="35" max="16383" man="1"/>
    <brk id="52" max="16383" man="1"/>
  </rowBreaks>
  <colBreaks count="6" manualBreakCount="6">
    <brk id="2" max="1048575" man="1"/>
    <brk id="10" max="1048575" man="1"/>
    <brk id="17" max="1048575" man="1"/>
    <brk id="71" max="1048575" man="1"/>
    <brk id="83" max="1048575" man="1"/>
    <brk id="9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G387"/>
  <sheetViews>
    <sheetView showGridLines="0" view="pageBreakPreview" topLeftCell="A4" zoomScale="40" zoomScaleSheetLayoutView="40" workbookViewId="0">
      <selection activeCell="G35" sqref="G35"/>
    </sheetView>
  </sheetViews>
  <sheetFormatPr defaultRowHeight="30"/>
  <cols>
    <col min="1" max="1" width="16.28515625" style="49" customWidth="1"/>
    <col min="2" max="2" width="8.7109375" style="417" customWidth="1"/>
    <col min="3" max="3" width="6" style="100" customWidth="1"/>
    <col min="4" max="4" width="7" style="101" customWidth="1"/>
    <col min="5" max="5" width="76.7109375" style="105" customWidth="1"/>
    <col min="6" max="6" width="62" style="101" customWidth="1"/>
    <col min="7" max="7" width="64.7109375" style="101" customWidth="1"/>
    <col min="8" max="8" width="69.85546875" style="101" customWidth="1"/>
    <col min="9" max="9" width="58.7109375" style="101" customWidth="1"/>
    <col min="10" max="10" width="48.85546875" style="101" customWidth="1"/>
    <col min="11" max="11" width="19.7109375" style="49" customWidth="1"/>
    <col min="12" max="12" width="11.5703125" style="51" customWidth="1"/>
    <col min="13" max="13" width="30.140625" style="49" customWidth="1"/>
    <col min="14" max="14" width="4.7109375" style="52" customWidth="1"/>
    <col min="15" max="15" width="6.140625" style="49" customWidth="1"/>
    <col min="16" max="16" width="13.7109375" style="52" bestFit="1" customWidth="1"/>
    <col min="17" max="17" width="9.140625" style="49"/>
    <col min="18" max="18" width="10.42578125" style="67" bestFit="1" customWidth="1"/>
    <col min="19" max="19" width="27.140625" style="67" customWidth="1"/>
    <col min="20" max="20" width="14.7109375" style="55" bestFit="1" customWidth="1"/>
    <col min="21" max="21" width="9.28515625" style="170" bestFit="1" customWidth="1"/>
    <col min="22" max="22" width="29.7109375" style="169" customWidth="1"/>
    <col min="23" max="26" width="9.140625" style="68"/>
    <col min="27" max="27" width="9.140625" style="69"/>
    <col min="28" max="28" width="9.140625" style="67"/>
    <col min="29" max="29" width="6.28515625" style="52" customWidth="1"/>
    <col min="30" max="30" width="10.42578125" style="67" bestFit="1" customWidth="1"/>
    <col min="31" max="31" width="27.140625" style="67" customWidth="1"/>
    <col min="32" max="38" width="9.140625" style="68"/>
    <col min="39" max="39" width="9.140625" style="69"/>
    <col min="40" max="40" width="9.140625" style="67" customWidth="1"/>
    <col min="41" max="41" width="5" style="68" customWidth="1"/>
    <col min="42" max="42" width="10.42578125" style="67" bestFit="1" customWidth="1"/>
    <col min="43" max="43" width="27.140625" style="50" customWidth="1"/>
    <col min="44" max="50" width="9.140625" style="53"/>
    <col min="51" max="51" width="9.140625" style="54"/>
    <col min="52" max="52" width="9.140625" style="50"/>
    <col min="53" max="53" width="9.140625" style="53"/>
    <col min="54" max="54" width="10.42578125" style="50" bestFit="1" customWidth="1"/>
    <col min="55" max="55" width="27.140625" style="50" customWidth="1"/>
    <col min="56" max="62" width="9.140625" style="53"/>
    <col min="63" max="63" width="9.140625" style="54"/>
    <col min="64" max="65" width="9.140625" style="50"/>
    <col min="66" max="68" width="9.140625" style="55"/>
    <col min="69" max="69" width="9.140625" style="56"/>
    <col min="70" max="70" width="9.28515625" style="55" bestFit="1" customWidth="1"/>
    <col min="71" max="71" width="9.140625" style="57"/>
    <col min="72" max="72" width="10.42578125" style="58" bestFit="1" customWidth="1"/>
    <col min="73" max="73" width="11.140625" style="58" customWidth="1"/>
    <col min="74" max="80" width="9.140625" style="55"/>
    <col min="81" max="81" width="9.140625" style="56"/>
    <col min="82" max="82" width="9.140625" style="55"/>
    <col min="83" max="83" width="9.140625" style="57"/>
    <col min="84" max="84" width="12.7109375" style="58" customWidth="1"/>
    <col min="85" max="85" width="27.140625" style="58" customWidth="1"/>
    <col min="86" max="92" width="9.140625" style="55"/>
    <col min="93" max="93" width="9.140625" style="56"/>
    <col min="94" max="94" width="9.140625" style="55"/>
    <col min="95" max="100" width="9.140625" style="49"/>
    <col min="101" max="103" width="9.28515625" style="49" bestFit="1" customWidth="1"/>
    <col min="104" max="111" width="9.140625" style="59"/>
    <col min="112" max="16384" width="9.140625" style="49"/>
  </cols>
  <sheetData>
    <row r="1" spans="1:111" s="226" customFormat="1" ht="87.75" customHeight="1">
      <c r="B1" s="417"/>
      <c r="C1" s="227"/>
      <c r="D1" s="228"/>
      <c r="E1" s="228"/>
      <c r="F1" s="229"/>
      <c r="G1" s="117" t="s">
        <v>115</v>
      </c>
      <c r="H1" s="356">
        <v>16</v>
      </c>
      <c r="I1" s="117" t="s">
        <v>116</v>
      </c>
      <c r="J1" s="230" t="s">
        <v>499</v>
      </c>
      <c r="L1" s="231"/>
      <c r="N1" s="232"/>
      <c r="P1" s="232"/>
      <c r="R1" s="247"/>
      <c r="S1" s="247"/>
      <c r="T1" s="234"/>
      <c r="U1" s="235"/>
      <c r="V1" s="236"/>
      <c r="W1" s="248"/>
      <c r="X1" s="248"/>
      <c r="Y1" s="248"/>
      <c r="Z1" s="248"/>
      <c r="AA1" s="249"/>
      <c r="AB1" s="247"/>
      <c r="AC1" s="232"/>
      <c r="AD1" s="247"/>
      <c r="AE1" s="247"/>
      <c r="AF1" s="248"/>
      <c r="AG1" s="248"/>
      <c r="AH1" s="248"/>
      <c r="AI1" s="248"/>
      <c r="AJ1" s="248"/>
      <c r="AK1" s="248"/>
      <c r="AL1" s="248"/>
      <c r="AM1" s="249"/>
      <c r="AN1" s="247"/>
      <c r="AO1" s="248"/>
      <c r="AP1" s="247"/>
      <c r="AQ1" s="241"/>
      <c r="AR1" s="240"/>
      <c r="AS1" s="240"/>
      <c r="AT1" s="240"/>
      <c r="AU1" s="240"/>
      <c r="AV1" s="240"/>
      <c r="AW1" s="240"/>
      <c r="AX1" s="240"/>
      <c r="AY1" s="242"/>
      <c r="AZ1" s="241"/>
      <c r="BA1" s="240"/>
      <c r="BB1" s="241"/>
      <c r="BC1" s="241"/>
      <c r="BD1" s="240"/>
      <c r="BE1" s="240"/>
      <c r="BF1" s="240"/>
      <c r="BG1" s="240"/>
      <c r="BH1" s="240"/>
      <c r="BI1" s="240"/>
      <c r="BJ1" s="240"/>
      <c r="BK1" s="242"/>
      <c r="BL1" s="241"/>
      <c r="BM1" s="241"/>
      <c r="BN1" s="234"/>
      <c r="BO1" s="234"/>
      <c r="BP1" s="234"/>
      <c r="BQ1" s="239"/>
      <c r="BR1" s="234"/>
      <c r="BS1" s="243"/>
      <c r="BT1" s="233"/>
      <c r="BU1" s="233"/>
      <c r="BV1" s="234"/>
      <c r="BW1" s="234"/>
      <c r="BX1" s="234"/>
      <c r="BY1" s="234"/>
      <c r="BZ1" s="234"/>
      <c r="CA1" s="234"/>
      <c r="CB1" s="234"/>
      <c r="CC1" s="239"/>
      <c r="CD1" s="234"/>
      <c r="CE1" s="243"/>
      <c r="CF1" s="233"/>
      <c r="CG1" s="233"/>
      <c r="CH1" s="234"/>
      <c r="CI1" s="234"/>
      <c r="CJ1" s="234"/>
      <c r="CK1" s="234"/>
      <c r="CL1" s="234"/>
      <c r="CM1" s="234"/>
      <c r="CN1" s="234"/>
      <c r="CO1" s="239"/>
      <c r="CP1" s="234"/>
      <c r="CZ1" s="244"/>
      <c r="DA1" s="244"/>
      <c r="DB1" s="244"/>
      <c r="DC1" s="244"/>
      <c r="DD1" s="244"/>
      <c r="DE1" s="244"/>
      <c r="DF1" s="244"/>
      <c r="DG1" s="244"/>
    </row>
    <row r="2" spans="1:111" ht="60" customHeight="1">
      <c r="C2" s="412" t="str">
        <f>CONCATENATE("Majstrovstvá Slovenska jednotlivcov, kategória ",'startova listina'!D3,", ročník ",'startova listina'!I3,", dvojhra dievčat -2. stupeň")</f>
        <v>Majstrovstvá Slovenska jednotlivcov, kategória Mladší žiaci, ročník 2014, dvojhra dievčat -2. stupeň</v>
      </c>
      <c r="G2" s="106"/>
      <c r="H2" s="225"/>
    </row>
    <row r="3" spans="1:111" ht="60" customHeight="1" thickBot="1">
      <c r="B3" s="417" t="s">
        <v>117</v>
      </c>
      <c r="H3" s="105"/>
      <c r="I3" s="105"/>
      <c r="J3" s="105"/>
      <c r="K3" s="52"/>
      <c r="L3" s="60"/>
      <c r="M3" s="52"/>
      <c r="CZ3" s="59">
        <v>16</v>
      </c>
      <c r="DA3" s="59">
        <v>15</v>
      </c>
      <c r="DB3" s="59">
        <v>14</v>
      </c>
      <c r="DC3" s="59">
        <v>13</v>
      </c>
      <c r="DD3" s="59">
        <v>12</v>
      </c>
      <c r="DE3" s="59">
        <v>11</v>
      </c>
      <c r="DF3" s="59">
        <v>10</v>
      </c>
      <c r="DG3" s="59">
        <v>9</v>
      </c>
    </row>
    <row r="4" spans="1:111" ht="60" customHeight="1" thickBot="1">
      <c r="A4" s="49" t="s">
        <v>137</v>
      </c>
      <c r="B4" s="539"/>
      <c r="C4" s="537" t="str">
        <f>IF(H1="nespravny pavuk","xx","A1")</f>
        <v>A1</v>
      </c>
      <c r="D4" s="538">
        <v>1</v>
      </c>
      <c r="E4" s="107" t="str">
        <f>IF(ISERROR(IF($J$1="n","",IF($J$1="a",VLOOKUP(C4,'poradie v skupinach'!$G$5:$H$37,2),"")))=TRUE,"",IF($J$1="n","",IF($J$1="a",VLOOKUP(C4,'poradie v skupinach'!$G$5:$H$37,2),"")))</f>
        <v>LABOŠOVÁ Ema</v>
      </c>
      <c r="F4" s="108" t="str">
        <f>IF(ISERROR(IF($J$1="n","",IF($J$1="a",VLOOKUP(C4,'poradie v skupinach'!$G$5:$I$37,3),"")))=TRUE,"",IF($J$1="n","",IF($J$1="a",VLOOKUP(C4,'poradie v skupinach'!$G$5:$I$37,3),"")))</f>
        <v>ŠSTK JUNIOR ČAŇA</v>
      </c>
      <c r="G4" s="109"/>
      <c r="H4" s="106"/>
      <c r="I4" s="110"/>
      <c r="J4" s="110"/>
      <c r="K4" s="57"/>
      <c r="L4" s="60" t="str">
        <f>A4</f>
        <v>DP11</v>
      </c>
      <c r="M4" s="52" t="str">
        <f>E4</f>
        <v>LABOŠOVÁ Ema</v>
      </c>
      <c r="T4" s="55">
        <f>IF(OR(ISERROR(V4)=TRUE,V4=0,V4="x",V4="",V4=" "),0,1)</f>
        <v>1</v>
      </c>
      <c r="U4" s="170">
        <v>1</v>
      </c>
      <c r="V4" s="169" t="str">
        <f>J19</f>
        <v>LABOŠOVÁ Ema</v>
      </c>
      <c r="BS4" s="55" t="s">
        <v>118</v>
      </c>
      <c r="BT4" s="58" t="s">
        <v>119</v>
      </c>
      <c r="CW4" s="61">
        <v>9</v>
      </c>
      <c r="CX4" s="62">
        <v>14</v>
      </c>
      <c r="CY4" s="49">
        <v>1</v>
      </c>
      <c r="CZ4" s="59" t="s">
        <v>120</v>
      </c>
      <c r="DA4" s="59" t="s">
        <v>120</v>
      </c>
      <c r="DB4" s="59" t="s">
        <v>120</v>
      </c>
      <c r="DC4" s="59" t="s">
        <v>120</v>
      </c>
      <c r="DD4" s="59" t="s">
        <v>120</v>
      </c>
      <c r="DE4" s="59" t="s">
        <v>120</v>
      </c>
      <c r="DF4" s="59" t="s">
        <v>120</v>
      </c>
      <c r="DG4" s="59" t="s">
        <v>120</v>
      </c>
    </row>
    <row r="5" spans="1:111" ht="60" customHeight="1" thickBot="1">
      <c r="A5" s="49" t="s">
        <v>179</v>
      </c>
      <c r="B5" s="539"/>
      <c r="C5" s="537"/>
      <c r="D5" s="538"/>
      <c r="E5" s="111" t="str">
        <f>VLOOKUP($A4,'zapisy k stolom'!$Y$5:$AC$3073,5,0)</f>
        <v>Tbl.: 1   H: 15.30   D: So</v>
      </c>
      <c r="F5" s="112" t="s">
        <v>144</v>
      </c>
      <c r="G5" s="113" t="str">
        <f>IF(C4="x",E6,IF(C6="x",E4,VLOOKUP($A4,'zapisy k stolom'!$Y$5:$AC$3073,3,0)))</f>
        <v>LABOŠOVÁ Ema</v>
      </c>
      <c r="H5" s="109"/>
      <c r="I5" s="110"/>
      <c r="J5" s="110"/>
      <c r="K5" s="57"/>
      <c r="L5" s="60" t="str">
        <f t="shared" ref="L5:L34" si="0">A5</f>
        <v>DP91</v>
      </c>
      <c r="M5" s="52" t="str">
        <f>G5</f>
        <v>LABOŠOVÁ Ema</v>
      </c>
      <c r="R5" s="76"/>
      <c r="S5" s="77"/>
      <c r="T5" s="55">
        <f>IF(OR(ISERROR(V5)=TRUE,V5=0,V5="x",V5="",V5=" "),T4,T4+1)</f>
        <v>2</v>
      </c>
      <c r="U5" s="170">
        <v>2</v>
      </c>
      <c r="V5" s="169" t="str">
        <f>IF(J19=I11,I27,I11)</f>
        <v>ŠINKAROVÁ Dáša</v>
      </c>
      <c r="Y5" s="533"/>
      <c r="Z5" s="533"/>
      <c r="AA5" s="533"/>
      <c r="AC5" s="83"/>
      <c r="AD5" s="76"/>
      <c r="AE5" s="77"/>
      <c r="AK5" s="533"/>
      <c r="AL5" s="533"/>
      <c r="AM5" s="533"/>
      <c r="BO5" s="531"/>
      <c r="BP5" s="531"/>
      <c r="BQ5" s="531"/>
      <c r="BR5" s="49">
        <f>IF(BS5="x",0,1)</f>
        <v>1</v>
      </c>
      <c r="BS5" s="57" t="str">
        <f>IF(G5=E4,E6,E4)</f>
        <v>MIKULOVÁ Terézia</v>
      </c>
      <c r="BT5" s="63"/>
      <c r="BU5" s="64"/>
      <c r="CA5" s="531"/>
      <c r="CB5" s="531"/>
      <c r="CC5" s="531"/>
      <c r="CF5" s="63"/>
      <c r="CG5" s="64"/>
      <c r="CM5" s="531"/>
      <c r="CN5" s="531"/>
      <c r="CO5" s="531"/>
      <c r="CW5" s="65">
        <v>10</v>
      </c>
      <c r="CX5" s="66">
        <v>11</v>
      </c>
      <c r="CY5" s="49">
        <v>2</v>
      </c>
      <c r="CZ5" s="59" t="s">
        <v>120</v>
      </c>
      <c r="DA5" s="59" t="s">
        <v>121</v>
      </c>
      <c r="DB5" s="59" t="s">
        <v>121</v>
      </c>
      <c r="DC5" s="59" t="s">
        <v>121</v>
      </c>
      <c r="DD5" s="59" t="s">
        <v>121</v>
      </c>
      <c r="DE5" s="59" t="s">
        <v>121</v>
      </c>
      <c r="DF5" s="59" t="s">
        <v>121</v>
      </c>
      <c r="DG5" s="59" t="s">
        <v>121</v>
      </c>
    </row>
    <row r="6" spans="1:111" ht="60" customHeight="1" thickBot="1">
      <c r="A6" s="49" t="s">
        <v>142</v>
      </c>
      <c r="B6" s="536">
        <v>3</v>
      </c>
      <c r="C6" s="537" t="s">
        <v>85</v>
      </c>
      <c r="D6" s="538">
        <v>2</v>
      </c>
      <c r="E6" s="108" t="str">
        <f>IF(ISERROR(IF($J$1="n","",IF($J$1="a",VLOOKUP(C6,'poradie v skupinach'!$G$5:$I$37,2),"")))=TRUE,"",IF($J$1="n","",IF($J$1="a",VLOOKUP(C6,'poradie v skupinach'!$G$5:$I$37,2),"")))</f>
        <v>MIKULOVÁ Terézia</v>
      </c>
      <c r="F6" s="114" t="str">
        <f>IF(ISERROR(IF($J$1="n","",IF($J$1="a",VLOOKUP(C6,'poradie v skupinach'!$G$5:$IC$37,3),"")))=TRUE,"",IF($J$1="n","",IF($J$1="a",VLOOKUP(C6,'poradie v skupinach'!$G$5:$I$37,3),"")))</f>
        <v>KST DRIVE TR. JASTRABIE</v>
      </c>
      <c r="G6" s="115" t="str">
        <f>IF(G5="","",IF(OR(C4="x",C6="x"),"",VLOOKUP($A4,'zapisy k stolom'!$Y$5:$AC$3073,4,0)))</f>
        <v xml:space="preserve">3:1 ( -9,4,7,1,,, ) </v>
      </c>
      <c r="H6" s="116"/>
      <c r="I6" s="110"/>
      <c r="J6" s="110"/>
      <c r="K6" s="57"/>
      <c r="L6" s="60" t="str">
        <f t="shared" si="0"/>
        <v>DP12</v>
      </c>
      <c r="M6" s="52" t="str">
        <f>E6</f>
        <v>MIKULOVÁ Terézia</v>
      </c>
      <c r="R6" s="78"/>
      <c r="T6" s="55">
        <f t="shared" ref="T6:T19" si="1">IF(OR(ISERROR(V6)=TRUE,V6=0,V6="x",V6="",V6=" "),T5,T5+1)</f>
        <v>3</v>
      </c>
      <c r="U6" s="170">
        <v>3</v>
      </c>
      <c r="V6" s="169" t="str">
        <f>IF(I11=H7,H15,H7)</f>
        <v>MAJERSKÁ Alena</v>
      </c>
      <c r="W6" s="69"/>
      <c r="X6" s="69"/>
      <c r="Y6" s="69"/>
      <c r="AC6" s="83"/>
      <c r="AD6" s="78"/>
      <c r="AG6" s="69"/>
      <c r="AH6" s="69"/>
      <c r="AI6" s="69"/>
      <c r="AJ6" s="69"/>
      <c r="AK6" s="69"/>
      <c r="BN6" s="56"/>
      <c r="BO6" s="56"/>
      <c r="BR6" s="49"/>
      <c r="BT6" s="70"/>
      <c r="BW6" s="56"/>
      <c r="BX6" s="56"/>
      <c r="BY6" s="56"/>
      <c r="BZ6" s="56"/>
      <c r="CA6" s="56"/>
      <c r="CF6" s="70"/>
      <c r="CI6" s="56"/>
      <c r="CJ6" s="56"/>
      <c r="CK6" s="56"/>
      <c r="CL6" s="56"/>
      <c r="CM6" s="56"/>
      <c r="CW6" s="65">
        <v>11</v>
      </c>
      <c r="CX6" s="66">
        <v>6</v>
      </c>
      <c r="CY6" s="49">
        <v>3</v>
      </c>
      <c r="CZ6" s="59" t="s">
        <v>120</v>
      </c>
      <c r="DA6" s="59" t="s">
        <v>120</v>
      </c>
      <c r="DB6" s="59" t="s">
        <v>120</v>
      </c>
      <c r="DC6" s="59" t="s">
        <v>120</v>
      </c>
      <c r="DD6" s="59" t="s">
        <v>120</v>
      </c>
      <c r="DE6" s="59" t="s">
        <v>120</v>
      </c>
      <c r="DF6" s="59" t="s">
        <v>120</v>
      </c>
      <c r="DG6" s="59" t="s">
        <v>120</v>
      </c>
    </row>
    <row r="7" spans="1:111" ht="60" customHeight="1" thickBot="1">
      <c r="A7" s="49" t="s">
        <v>187</v>
      </c>
      <c r="B7" s="536"/>
      <c r="C7" s="537"/>
      <c r="D7" s="538"/>
      <c r="G7" s="117" t="s">
        <v>145</v>
      </c>
      <c r="H7" s="118" t="str">
        <f>VLOOKUP($A5,'zapisy k stolom'!$Y$5:$AC$3073,3,0)</f>
        <v>LABOŠOVÁ Ema</v>
      </c>
      <c r="I7" s="109"/>
      <c r="J7" s="109"/>
      <c r="K7" s="57"/>
      <c r="L7" s="60" t="str">
        <f t="shared" si="0"/>
        <v>DP131</v>
      </c>
      <c r="M7" s="52" t="str">
        <f>H7</f>
        <v>LABOŠOVÁ Ema</v>
      </c>
      <c r="R7" s="76"/>
      <c r="T7" s="55">
        <f t="shared" si="1"/>
        <v>4</v>
      </c>
      <c r="U7" s="170">
        <v>4</v>
      </c>
      <c r="V7" s="169" t="str">
        <f>IF(I27=H23,H31,H23)</f>
        <v>PEKOVÁ Zuzana</v>
      </c>
      <c r="W7" s="69"/>
      <c r="X7" s="69"/>
      <c r="Y7" s="69"/>
      <c r="AC7" s="83"/>
      <c r="AD7" s="76"/>
      <c r="AG7" s="69"/>
      <c r="AH7" s="69"/>
      <c r="AI7" s="69"/>
      <c r="AJ7" s="69"/>
      <c r="AK7" s="69"/>
      <c r="BN7" s="56"/>
      <c r="BO7" s="56"/>
      <c r="BR7" s="49"/>
      <c r="BT7" s="72" t="str">
        <f>IF(H7=G5,G9,G5)</f>
        <v>TEREZKOVÁ Jana</v>
      </c>
      <c r="BW7" s="56"/>
      <c r="BX7" s="56"/>
      <c r="BY7" s="56"/>
      <c r="BZ7" s="56"/>
      <c r="CA7" s="56"/>
      <c r="CF7" s="63"/>
      <c r="CI7" s="56"/>
      <c r="CJ7" s="56"/>
      <c r="CK7" s="56"/>
      <c r="CL7" s="56"/>
      <c r="CM7" s="56"/>
      <c r="CW7" s="65">
        <v>12</v>
      </c>
      <c r="CX7" s="66">
        <v>7</v>
      </c>
      <c r="CY7" s="49">
        <v>4</v>
      </c>
      <c r="CZ7" s="59" t="s">
        <v>120</v>
      </c>
      <c r="DA7" s="59" t="s">
        <v>120</v>
      </c>
      <c r="DB7" s="59" t="s">
        <v>120</v>
      </c>
      <c r="DC7" s="59" t="s">
        <v>120</v>
      </c>
      <c r="DD7" s="59" t="s">
        <v>120</v>
      </c>
      <c r="DE7" s="59" t="s">
        <v>120</v>
      </c>
      <c r="DF7" s="59" t="s">
        <v>120</v>
      </c>
      <c r="DG7" s="59" t="s">
        <v>120</v>
      </c>
    </row>
    <row r="8" spans="1:111" ht="60" customHeight="1" thickBot="1">
      <c r="A8" s="49" t="s">
        <v>165</v>
      </c>
      <c r="B8" s="536">
        <v>3</v>
      </c>
      <c r="C8" s="537" t="s">
        <v>89</v>
      </c>
      <c r="D8" s="538">
        <v>3</v>
      </c>
      <c r="E8" s="107" t="str">
        <f>IF(ISERROR(IF($J$1="n","",IF($J$1="a",VLOOKUP(C8,'poradie v skupinach'!$G$5:$H$37,2),"")))=TRUE,"",IF($J$1="n","",IF($J$1="a",VLOOKUP(C8,'poradie v skupinach'!$G$5:$H$37,2),"")))</f>
        <v>DZUROVÁ Lenka</v>
      </c>
      <c r="F8" s="108" t="str">
        <f>IF(ISERROR(IF($J$1="n","",IF($J$1="a",VLOOKUP(C8,'poradie v skupinach'!$G$5:$I$37,3),"")))=TRUE,"",IF($J$1="n","",IF($J$1="a",VLOOKUP(C8,'poradie v skupinach'!$G$5:$I$37,3),"")))</f>
        <v>STK STARÁ TURÁ</v>
      </c>
      <c r="G8" s="109" t="str">
        <f>VLOOKUP($A5,'zapisy k stolom'!$Y$5:$AC$3073,5,0)</f>
        <v>Tbl.: 5   H: 16.30   D: So</v>
      </c>
      <c r="H8" s="120" t="str">
        <f>IF(H7="","",VLOOKUP($A5,'zapisy k stolom'!$Y$5:$AC$3073,4,0))</f>
        <v xml:space="preserve">3:0 ( 11,12,8,,,, ) </v>
      </c>
      <c r="I8" s="116"/>
      <c r="J8" s="110"/>
      <c r="K8" s="57"/>
      <c r="L8" s="60" t="str">
        <f t="shared" si="0"/>
        <v>DP21</v>
      </c>
      <c r="M8" s="52" t="str">
        <f>E8</f>
        <v>DZUROVÁ Lenka</v>
      </c>
      <c r="R8" s="76"/>
      <c r="T8" s="55">
        <f t="shared" si="1"/>
        <v>5</v>
      </c>
      <c r="U8" s="170">
        <v>5</v>
      </c>
      <c r="V8" s="169" t="str">
        <f>IF(H7=G5,G9,G5)</f>
        <v>TEREZKOVÁ Jana</v>
      </c>
      <c r="W8" s="69"/>
      <c r="X8" s="69"/>
      <c r="Y8" s="69"/>
      <c r="AC8" s="83"/>
      <c r="AD8" s="76"/>
      <c r="AG8" s="69"/>
      <c r="AH8" s="69"/>
      <c r="AI8" s="69"/>
      <c r="AJ8" s="69"/>
      <c r="AK8" s="69"/>
      <c r="BN8" s="56"/>
      <c r="BO8" s="56"/>
      <c r="BR8" s="49"/>
      <c r="BT8" s="63"/>
      <c r="BW8" s="56"/>
      <c r="BX8" s="56"/>
      <c r="BY8" s="56"/>
      <c r="BZ8" s="56"/>
      <c r="CA8" s="56"/>
      <c r="CF8" s="63"/>
      <c r="CI8" s="56"/>
      <c r="CJ8" s="56"/>
      <c r="CK8" s="56"/>
      <c r="CL8" s="56"/>
      <c r="CM8" s="56"/>
      <c r="CW8" s="65">
        <v>13</v>
      </c>
      <c r="CX8" s="66">
        <v>10</v>
      </c>
      <c r="CY8" s="49">
        <v>5</v>
      </c>
      <c r="CZ8" s="59" t="s">
        <v>120</v>
      </c>
      <c r="DA8" s="59" t="s">
        <v>120</v>
      </c>
      <c r="DB8" s="59" t="s">
        <v>120</v>
      </c>
      <c r="DC8" s="59" t="s">
        <v>120</v>
      </c>
      <c r="DD8" s="59" t="s">
        <v>120</v>
      </c>
      <c r="DE8" s="59" t="s">
        <v>120</v>
      </c>
      <c r="DF8" s="59" t="s">
        <v>120</v>
      </c>
      <c r="DG8" s="59" t="s">
        <v>120</v>
      </c>
    </row>
    <row r="9" spans="1:111" ht="60" customHeight="1" thickBot="1">
      <c r="A9" s="49" t="s">
        <v>180</v>
      </c>
      <c r="B9" s="536"/>
      <c r="C9" s="537"/>
      <c r="D9" s="538"/>
      <c r="E9" s="111" t="str">
        <f>VLOOKUP($A8,'zapisy k stolom'!$Y$5:$AC$3073,5,0)</f>
        <v>Tbl.: 2   H: 15.30   D: So</v>
      </c>
      <c r="F9" s="117" t="s">
        <v>146</v>
      </c>
      <c r="G9" s="121" t="str">
        <f>IF(C8="x",E10,IF(C10="x",E8,VLOOKUP($A8,'zapisy k stolom'!$Y$5:$AC$3073,3,0)))</f>
        <v>TEREZKOVÁ Jana</v>
      </c>
      <c r="H9" s="116"/>
      <c r="I9" s="116"/>
      <c r="J9" s="110"/>
      <c r="K9" s="57"/>
      <c r="L9" s="60" t="str">
        <f t="shared" si="0"/>
        <v>DP92</v>
      </c>
      <c r="M9" s="52" t="str">
        <f>G9</f>
        <v>TEREZKOVÁ Jana</v>
      </c>
      <c r="R9" s="76"/>
      <c r="T9" s="55">
        <f t="shared" si="1"/>
        <v>6</v>
      </c>
      <c r="U9" s="170">
        <v>6</v>
      </c>
      <c r="V9" s="169" t="str">
        <f>IF(H15=G13,G17,G13)</f>
        <v>SLOBODNÍKOVÁ Hana</v>
      </c>
      <c r="W9" s="69"/>
      <c r="X9" s="69"/>
      <c r="Y9" s="69"/>
      <c r="AC9" s="83"/>
      <c r="AD9" s="76"/>
      <c r="AG9" s="69"/>
      <c r="AH9" s="69"/>
      <c r="AI9" s="69"/>
      <c r="AJ9" s="69"/>
      <c r="AK9" s="69"/>
      <c r="BN9" s="56"/>
      <c r="BO9" s="56"/>
      <c r="BR9" s="49">
        <f>IF(BS9="x",0,MAX(BR$5:$BR8)+1)</f>
        <v>2</v>
      </c>
      <c r="BS9" s="57" t="str">
        <f>IF(G9=E8,E10,E8)</f>
        <v>DZUROVÁ Lenka</v>
      </c>
      <c r="BT9" s="63"/>
      <c r="BW9" s="56"/>
      <c r="BX9" s="56"/>
      <c r="BY9" s="56"/>
      <c r="BZ9" s="56"/>
      <c r="CA9" s="56"/>
      <c r="CF9" s="63"/>
      <c r="CI9" s="56"/>
      <c r="CJ9" s="56"/>
      <c r="CK9" s="56"/>
      <c r="CL9" s="56"/>
      <c r="CM9" s="56"/>
      <c r="CW9" s="65">
        <v>14</v>
      </c>
      <c r="CX9" s="66">
        <v>15</v>
      </c>
      <c r="CY9" s="49">
        <v>6</v>
      </c>
      <c r="CZ9" s="59" t="s">
        <v>120</v>
      </c>
      <c r="DA9" s="59" t="s">
        <v>120</v>
      </c>
      <c r="DB9" s="59" t="s">
        <v>120</v>
      </c>
      <c r="DC9" s="59" t="s">
        <v>120</v>
      </c>
      <c r="DD9" s="59" t="s">
        <v>120</v>
      </c>
      <c r="DE9" s="59" t="s">
        <v>121</v>
      </c>
      <c r="DF9" s="59" t="s">
        <v>121</v>
      </c>
      <c r="DG9" s="59" t="s">
        <v>121</v>
      </c>
    </row>
    <row r="10" spans="1:111" ht="60" customHeight="1" thickBot="1">
      <c r="A10" s="49" t="s">
        <v>166</v>
      </c>
      <c r="B10" s="541">
        <v>2</v>
      </c>
      <c r="C10" s="537" t="s">
        <v>108</v>
      </c>
      <c r="D10" s="538">
        <v>4</v>
      </c>
      <c r="E10" s="108" t="str">
        <f>IF(ISERROR(IF($J$1="n","",IF($J$1="a",VLOOKUP(C10,'poradie v skupinach'!$G$5:$I$37,2),"")))=TRUE,"",IF($J$1="n","",IF($J$1="a",VLOOKUP(C10,'poradie v skupinach'!$G$5:$I$37,2),"")))</f>
        <v>TEREZKOVÁ Jana</v>
      </c>
      <c r="F10" s="114" t="str">
        <f>IF(ISERROR(IF($J$1="n","",IF($J$1="a",VLOOKUP(C10,'poradie v skupinach'!$G$5:$IC$37,3),"")))=TRUE,"",IF($J$1="n","",IF($J$1="a",VLOOKUP(C10,'poradie v skupinach'!$G$5:$I$37,3),"")))</f>
        <v>ŠKST MICHALOVCE</v>
      </c>
      <c r="G10" s="144" t="str">
        <f>IF(G9="","",IF(OR(C8="x",C10="x"),"",VLOOKUP($A8,'zapisy k stolom'!$Y$5:$AC$3073,4,0)))</f>
        <v xml:space="preserve">3:1 ( 4,-11,5,8,,, ) </v>
      </c>
      <c r="H10" s="110"/>
      <c r="I10" s="116"/>
      <c r="J10" s="110"/>
      <c r="K10" s="57"/>
      <c r="L10" s="60" t="str">
        <f t="shared" si="0"/>
        <v>DP22</v>
      </c>
      <c r="M10" s="52" t="str">
        <f>E10</f>
        <v>TEREZKOVÁ Jana</v>
      </c>
      <c r="T10" s="55">
        <f t="shared" si="1"/>
        <v>7</v>
      </c>
      <c r="U10" s="170">
        <v>7</v>
      </c>
      <c r="V10" s="169" t="str">
        <f>IF(H23=G21,G25,G21)</f>
        <v>DIVINSKÁ Natália</v>
      </c>
      <c r="AC10" s="83"/>
      <c r="BR10" s="49"/>
      <c r="CW10" s="65">
        <v>15</v>
      </c>
      <c r="CX10" s="66">
        <v>2</v>
      </c>
      <c r="CY10" s="49">
        <v>7</v>
      </c>
      <c r="CZ10" s="59" t="s">
        <v>120</v>
      </c>
      <c r="DA10" s="59" t="s">
        <v>120</v>
      </c>
      <c r="DB10" s="59" t="s">
        <v>120</v>
      </c>
      <c r="DC10" s="59" t="s">
        <v>120</v>
      </c>
      <c r="DD10" s="59" t="s">
        <v>121</v>
      </c>
      <c r="DE10" s="59" t="s">
        <v>121</v>
      </c>
      <c r="DF10" s="59" t="s">
        <v>121</v>
      </c>
      <c r="DG10" s="59" t="s">
        <v>121</v>
      </c>
    </row>
    <row r="11" spans="1:111" ht="60" customHeight="1" thickBot="1">
      <c r="A11" s="49" t="s">
        <v>192</v>
      </c>
      <c r="B11" s="541"/>
      <c r="C11" s="537"/>
      <c r="D11" s="538"/>
      <c r="G11" s="106"/>
      <c r="H11" s="122" t="s">
        <v>133</v>
      </c>
      <c r="I11" s="121" t="str">
        <f>VLOOKUP($A7,'zapisy k stolom'!$Y$5:$AC$3073,3,0)</f>
        <v>LABOŠOVÁ Ema</v>
      </c>
      <c r="J11" s="109"/>
      <c r="K11" s="71"/>
      <c r="L11" s="60" t="str">
        <f t="shared" si="0"/>
        <v>DP151</v>
      </c>
      <c r="M11" s="52" t="str">
        <f>I11</f>
        <v>LABOŠOVÁ Ema</v>
      </c>
      <c r="R11" s="76"/>
      <c r="S11" s="77"/>
      <c r="T11" s="55">
        <f t="shared" si="1"/>
        <v>8</v>
      </c>
      <c r="U11" s="170">
        <v>8</v>
      </c>
      <c r="V11" s="169" t="str">
        <f>IF(H31=G29,G33,G29)</f>
        <v>ŠVAJDLENKOVÁ Laura</v>
      </c>
      <c r="Y11" s="533"/>
      <c r="Z11" s="533"/>
      <c r="AA11" s="533"/>
      <c r="AC11" s="83"/>
      <c r="AD11" s="76"/>
      <c r="AE11" s="77"/>
      <c r="AK11" s="533"/>
      <c r="AL11" s="533"/>
      <c r="AM11" s="533"/>
      <c r="BO11" s="531"/>
      <c r="BP11" s="531"/>
      <c r="BQ11" s="531"/>
      <c r="BR11" s="49"/>
      <c r="BT11" s="63"/>
      <c r="BU11" s="64"/>
      <c r="CA11" s="531"/>
      <c r="CB11" s="531"/>
      <c r="CC11" s="531"/>
      <c r="CF11" s="73"/>
      <c r="CG11" s="64"/>
      <c r="CM11" s="531"/>
      <c r="CN11" s="531"/>
      <c r="CO11" s="531"/>
      <c r="CW11" s="74">
        <v>16</v>
      </c>
      <c r="CX11" s="75">
        <v>0</v>
      </c>
      <c r="CY11" s="49">
        <v>8</v>
      </c>
      <c r="CZ11" s="59" t="s">
        <v>120</v>
      </c>
      <c r="DA11" s="59" t="s">
        <v>120</v>
      </c>
      <c r="DB11" s="59" t="s">
        <v>120</v>
      </c>
      <c r="DC11" s="59" t="s">
        <v>120</v>
      </c>
      <c r="DD11" s="59" t="s">
        <v>120</v>
      </c>
      <c r="DE11" s="59" t="s">
        <v>120</v>
      </c>
      <c r="DF11" s="59" t="s">
        <v>120</v>
      </c>
      <c r="DG11" s="59" t="s">
        <v>120</v>
      </c>
    </row>
    <row r="12" spans="1:111" ht="60" customHeight="1" thickBot="1">
      <c r="A12" s="49" t="s">
        <v>167</v>
      </c>
      <c r="B12" s="541">
        <v>2</v>
      </c>
      <c r="C12" s="537" t="s">
        <v>104</v>
      </c>
      <c r="D12" s="538">
        <v>5</v>
      </c>
      <c r="E12" s="107" t="str">
        <f>IF(ISERROR(IF($J$1="n","",IF($J$1="a",VLOOKUP(C12,'poradie v skupinach'!$G$5:$H$37,2),"")))=TRUE,"",IF($J$1="n","",IF($J$1="a",VLOOKUP(C12,'poradie v skupinach'!$G$5:$H$37,2),"")))</f>
        <v>MAJERSKÁ Alena</v>
      </c>
      <c r="F12" s="108" t="str">
        <f>IF(ISERROR(IF($J$1="n","",IF($J$1="a",VLOOKUP(C12,'poradie v skupinach'!$G$5:$I$37,3),"")))=TRUE,"",IF($J$1="n","",IF($J$1="a",VLOOKUP(C12,'poradie v skupinach'!$G$5:$I$37,3),"")))</f>
        <v>STO VALALIKY</v>
      </c>
      <c r="G12" s="109"/>
      <c r="H12" s="139" t="str">
        <f>VLOOKUP($A7,'zapisy k stolom'!$Y$5:$AC$3073,5,0)</f>
        <v>Tbl.: 3   H: 10.00   D: Ne</v>
      </c>
      <c r="I12" s="145" t="str">
        <f>IF(I11="","",VLOOKUP($A7,'zapisy k stolom'!$Y$5:$AC$3073,4,0))</f>
        <v xml:space="preserve">3:0 ( 4,8,9,,,, ) </v>
      </c>
      <c r="J12" s="116"/>
      <c r="K12" s="57"/>
      <c r="L12" s="60" t="str">
        <f t="shared" si="0"/>
        <v>DP31</v>
      </c>
      <c r="M12" s="52" t="str">
        <f>E12</f>
        <v>MAJERSKÁ Alena</v>
      </c>
      <c r="R12" s="76"/>
      <c r="T12" s="55">
        <f t="shared" si="1"/>
        <v>9</v>
      </c>
      <c r="U12" s="170">
        <v>9</v>
      </c>
      <c r="V12" s="169" t="str">
        <f>IF(G5=E4,E6,E4)</f>
        <v>MIKULOVÁ Terézia</v>
      </c>
      <c r="W12" s="69"/>
      <c r="X12" s="69"/>
      <c r="Y12" s="69"/>
      <c r="AC12" s="83"/>
      <c r="AD12" s="76"/>
      <c r="AG12" s="69"/>
      <c r="AH12" s="69"/>
      <c r="AI12" s="69"/>
      <c r="AJ12" s="69"/>
      <c r="AK12" s="69"/>
      <c r="BN12" s="56"/>
      <c r="BO12" s="56"/>
      <c r="BR12" s="49"/>
      <c r="BT12" s="63"/>
      <c r="BW12" s="56"/>
      <c r="BX12" s="56"/>
      <c r="BY12" s="56"/>
      <c r="BZ12" s="56"/>
      <c r="CA12" s="56"/>
      <c r="CF12" s="63"/>
      <c r="CI12" s="56"/>
      <c r="CJ12" s="56"/>
      <c r="CK12" s="56"/>
      <c r="CL12" s="56"/>
      <c r="CM12" s="56"/>
      <c r="CY12" s="49">
        <v>9</v>
      </c>
      <c r="CZ12" s="59" t="s">
        <v>120</v>
      </c>
      <c r="DA12" s="59" t="s">
        <v>120</v>
      </c>
      <c r="DB12" s="59" t="s">
        <v>120</v>
      </c>
      <c r="DC12" s="59" t="s">
        <v>120</v>
      </c>
      <c r="DD12" s="59" t="s">
        <v>120</v>
      </c>
      <c r="DE12" s="59" t="s">
        <v>120</v>
      </c>
      <c r="DF12" s="59" t="s">
        <v>120</v>
      </c>
      <c r="DG12" s="59" t="s">
        <v>120</v>
      </c>
    </row>
    <row r="13" spans="1:111" ht="60" customHeight="1" thickBot="1">
      <c r="A13" s="49" t="s">
        <v>181</v>
      </c>
      <c r="B13" s="541"/>
      <c r="C13" s="537"/>
      <c r="D13" s="538"/>
      <c r="E13" s="111" t="str">
        <f>VLOOKUP($A12,'zapisy k stolom'!$Y$5:$AC$3073,5,0)</f>
        <v>Tbl.: 3   H: 15.30   D: So</v>
      </c>
      <c r="F13" s="112" t="s">
        <v>132</v>
      </c>
      <c r="G13" s="113" t="str">
        <f>IF(C12="x",E14,IF(C14="x",E12,VLOOKUP($A12,'zapisy k stolom'!$Y$5:$AC$3073,3,0)))</f>
        <v>MAJERSKÁ Alena</v>
      </c>
      <c r="H13" s="140"/>
      <c r="I13" s="110"/>
      <c r="J13" s="116"/>
      <c r="K13" s="57"/>
      <c r="L13" s="60" t="str">
        <f t="shared" si="0"/>
        <v>DP101</v>
      </c>
      <c r="M13" s="52" t="str">
        <f>G13</f>
        <v>MAJERSKÁ Alena</v>
      </c>
      <c r="R13" s="76"/>
      <c r="T13" s="55">
        <f t="shared" si="1"/>
        <v>10</v>
      </c>
      <c r="U13" s="170">
        <v>10</v>
      </c>
      <c r="V13" s="169" t="str">
        <f>IF(G9=E8,E10,E8)</f>
        <v>DZUROVÁ Lenka</v>
      </c>
      <c r="W13" s="69"/>
      <c r="X13" s="69"/>
      <c r="Y13" s="69"/>
      <c r="AC13" s="83"/>
      <c r="AD13" s="76"/>
      <c r="AG13" s="69"/>
      <c r="AH13" s="69"/>
      <c r="AI13" s="69"/>
      <c r="AJ13" s="69"/>
      <c r="AK13" s="69"/>
      <c r="BN13" s="56"/>
      <c r="BO13" s="56"/>
      <c r="BR13" s="49">
        <f>IF(BS13="x",0,MAX(BR$5:$BR12)+1)</f>
        <v>3</v>
      </c>
      <c r="BS13" s="57" t="str">
        <f>IF(G13=E12,E14,E12)</f>
        <v>PAPCUNOVÁ Viktória</v>
      </c>
      <c r="BT13" s="63"/>
      <c r="BW13" s="56"/>
      <c r="BX13" s="56"/>
      <c r="BY13" s="56"/>
      <c r="BZ13" s="56"/>
      <c r="CA13" s="56"/>
      <c r="CF13" s="63"/>
      <c r="CI13" s="56"/>
      <c r="CJ13" s="56"/>
      <c r="CK13" s="56"/>
      <c r="CL13" s="56"/>
      <c r="CM13" s="56"/>
      <c r="CY13" s="49">
        <v>10</v>
      </c>
      <c r="CZ13" s="59" t="s">
        <v>120</v>
      </c>
      <c r="DA13" s="59" t="s">
        <v>120</v>
      </c>
      <c r="DB13" s="59" t="s">
        <v>120</v>
      </c>
      <c r="DC13" s="59" t="s">
        <v>121</v>
      </c>
      <c r="DD13" s="59" t="s">
        <v>121</v>
      </c>
      <c r="DE13" s="59" t="s">
        <v>121</v>
      </c>
      <c r="DF13" s="59" t="s">
        <v>121</v>
      </c>
      <c r="DG13" s="59" t="s">
        <v>121</v>
      </c>
    </row>
    <row r="14" spans="1:111" ht="60" customHeight="1" thickBot="1">
      <c r="A14" s="49" t="s">
        <v>168</v>
      </c>
      <c r="B14" s="536">
        <v>3</v>
      </c>
      <c r="C14" s="537" t="s">
        <v>101</v>
      </c>
      <c r="D14" s="538">
        <v>6</v>
      </c>
      <c r="E14" s="108" t="str">
        <f>IF(ISERROR(IF($J$1="n","",IF($J$1="a",VLOOKUP(C14,'poradie v skupinach'!$G$5:$I$37,2),"")))=TRUE,"",IF($J$1="n","",IF($J$1="a",VLOOKUP(C14,'poradie v skupinach'!$G$5:$I$37,2),"")))</f>
        <v>PAPCUNOVÁ Viktória</v>
      </c>
      <c r="F14" s="114" t="str">
        <f>IF(ISERROR(IF($J$1="n","",IF($J$1="a",VLOOKUP(C14,'poradie v skupinach'!$G$5:$IC$37,3),"")))=TRUE,"",IF($J$1="n","",IF($J$1="a",VLOOKUP(C14,'poradie v skupinach'!$G$5:$I$37,3),"")))</f>
        <v>ŠSTK JUNIOR ČAŇA</v>
      </c>
      <c r="G14" s="115" t="str">
        <f>IF(G13="","",IF(OR(C12="x",C14="x"),"",VLOOKUP($A12,'zapisy k stolom'!$Y$5:$AC$3073,4,0)))</f>
        <v xml:space="preserve">3:2 ( 9,7,-9,-6,6,, ) </v>
      </c>
      <c r="H14" s="116"/>
      <c r="I14" s="116"/>
      <c r="J14" s="116"/>
      <c r="K14" s="57"/>
      <c r="L14" s="60" t="str">
        <f t="shared" si="0"/>
        <v>DP32</v>
      </c>
      <c r="M14" s="52" t="str">
        <f>E14</f>
        <v>PAPCUNOVÁ Viktória</v>
      </c>
      <c r="R14" s="76"/>
      <c r="T14" s="55">
        <f t="shared" si="1"/>
        <v>11</v>
      </c>
      <c r="U14" s="170">
        <v>11</v>
      </c>
      <c r="V14" s="169" t="str">
        <f>IF(G13=E12,E14,E12)</f>
        <v>PAPCUNOVÁ Viktória</v>
      </c>
      <c r="W14" s="69"/>
      <c r="X14" s="69"/>
      <c r="Y14" s="69"/>
      <c r="AC14" s="83"/>
      <c r="AD14" s="76"/>
      <c r="AG14" s="69"/>
      <c r="AH14" s="69"/>
      <c r="AI14" s="69"/>
      <c r="AJ14" s="69"/>
      <c r="AK14" s="69"/>
      <c r="BN14" s="56"/>
      <c r="BO14" s="56"/>
      <c r="BR14" s="49"/>
      <c r="BT14" s="63"/>
      <c r="BW14" s="56"/>
      <c r="BX14" s="56"/>
      <c r="BY14" s="56"/>
      <c r="BZ14" s="56"/>
      <c r="CA14" s="56"/>
      <c r="CF14" s="63"/>
      <c r="CI14" s="56"/>
      <c r="CJ14" s="56"/>
      <c r="CK14" s="56"/>
      <c r="CL14" s="56"/>
      <c r="CM14" s="56"/>
      <c r="CY14" s="49">
        <v>11</v>
      </c>
      <c r="CZ14" s="59" t="s">
        <v>120</v>
      </c>
      <c r="DA14" s="59" t="s">
        <v>120</v>
      </c>
      <c r="DB14" s="59" t="s">
        <v>120</v>
      </c>
      <c r="DC14" s="59" t="s">
        <v>120</v>
      </c>
      <c r="DD14" s="59" t="s">
        <v>120</v>
      </c>
      <c r="DE14" s="59" t="s">
        <v>120</v>
      </c>
      <c r="DF14" s="59" t="s">
        <v>121</v>
      </c>
      <c r="DG14" s="59" t="s">
        <v>121</v>
      </c>
    </row>
    <row r="15" spans="1:111" ht="60" customHeight="1" thickBot="1">
      <c r="A15" s="49" t="s">
        <v>188</v>
      </c>
      <c r="B15" s="536"/>
      <c r="C15" s="537"/>
      <c r="D15" s="538"/>
      <c r="E15" s="141"/>
      <c r="G15" s="117" t="s">
        <v>134</v>
      </c>
      <c r="H15" s="121" t="str">
        <f>VLOOKUP($A13,'zapisy k stolom'!$Y$5:$AC$3073,3,0)</f>
        <v>MAJERSKÁ Alena</v>
      </c>
      <c r="I15" s="116"/>
      <c r="J15" s="116"/>
      <c r="K15" s="57"/>
      <c r="L15" s="60" t="str">
        <f t="shared" si="0"/>
        <v>DP132</v>
      </c>
      <c r="M15" s="52" t="str">
        <f>H15</f>
        <v>MAJERSKÁ Alena</v>
      </c>
      <c r="R15" s="76"/>
      <c r="T15" s="55">
        <f t="shared" si="1"/>
        <v>12</v>
      </c>
      <c r="U15" s="170">
        <v>12</v>
      </c>
      <c r="V15" s="169" t="str">
        <f>IF(G17=E16,E18,E16)</f>
        <v>DZELINSKA Júlia</v>
      </c>
      <c r="W15" s="69"/>
      <c r="X15" s="69"/>
      <c r="Y15" s="69"/>
      <c r="AC15" s="83"/>
      <c r="AD15" s="76"/>
      <c r="AG15" s="69"/>
      <c r="AH15" s="69"/>
      <c r="AI15" s="69"/>
      <c r="AJ15" s="69"/>
      <c r="AK15" s="69"/>
      <c r="BN15" s="56"/>
      <c r="BO15" s="56"/>
      <c r="BR15" s="49"/>
      <c r="BT15" s="72" t="str">
        <f>IF(H15=G13,G17,G13)</f>
        <v>SLOBODNÍKOVÁ Hana</v>
      </c>
      <c r="BW15" s="56"/>
      <c r="BX15" s="56"/>
      <c r="BY15" s="56"/>
      <c r="BZ15" s="56"/>
      <c r="CA15" s="56"/>
      <c r="CF15" s="63"/>
      <c r="CI15" s="56"/>
      <c r="CJ15" s="56"/>
      <c r="CK15" s="56"/>
      <c r="CL15" s="56"/>
      <c r="CM15" s="56"/>
      <c r="CY15" s="49">
        <v>12</v>
      </c>
      <c r="CZ15" s="59" t="s">
        <v>120</v>
      </c>
      <c r="DA15" s="59" t="s">
        <v>120</v>
      </c>
      <c r="DB15" s="59" t="s">
        <v>120</v>
      </c>
      <c r="DC15" s="59" t="s">
        <v>120</v>
      </c>
      <c r="DD15" s="59" t="s">
        <v>120</v>
      </c>
      <c r="DE15" s="59" t="s">
        <v>120</v>
      </c>
      <c r="DF15" s="59" t="s">
        <v>120</v>
      </c>
      <c r="DG15" s="59" t="s">
        <v>120</v>
      </c>
    </row>
    <row r="16" spans="1:111" ht="60" customHeight="1" thickBot="1">
      <c r="A16" s="49" t="s">
        <v>169</v>
      </c>
      <c r="B16" s="536">
        <v>3</v>
      </c>
      <c r="C16" s="537" t="s">
        <v>97</v>
      </c>
      <c r="D16" s="538">
        <v>7</v>
      </c>
      <c r="E16" s="107" t="str">
        <f>IF(ISERROR(IF($J$1="n","",IF($J$1="a",VLOOKUP(C16,'poradie v skupinach'!$G$5:$H$37,2),"")))=TRUE,"",IF($J$1="n","",IF($J$1="a",VLOOKUP(C16,'poradie v skupinach'!$G$5:$H$37,2),"")))</f>
        <v>SLOBODNÍKOVÁ Hana</v>
      </c>
      <c r="F16" s="108" t="str">
        <f>IF(ISERROR(IF($J$1="n","",IF($J$1="a",VLOOKUP(C16,'poradie v skupinach'!$G$5:$I$37,3),"")))=TRUE,"",IF($J$1="n","",IF($J$1="a",VLOOKUP(C16,'poradie v skupinach'!$G$5:$I$37,3),"")))</f>
        <v>ŠKST KARLOVA VES</v>
      </c>
      <c r="G16" s="140" t="str">
        <f>VLOOKUP($A13,'zapisy k stolom'!$Y$5:$AC$3073,5,0)</f>
        <v>Tbl.: 6   H: 16.30   D: So</v>
      </c>
      <c r="H16" s="144" t="str">
        <f>IF(H15="","",VLOOKUP($A13,'zapisy k stolom'!$Y$5:$AC$3073,4,0))</f>
        <v xml:space="preserve">3:2 ( 9,-10,-6,10,9,, ) </v>
      </c>
      <c r="I16" s="110"/>
      <c r="J16" s="116"/>
      <c r="K16" s="57"/>
      <c r="L16" s="60" t="str">
        <f t="shared" si="0"/>
        <v>DP41</v>
      </c>
      <c r="M16" s="52" t="str">
        <f>E16</f>
        <v>SLOBODNÍKOVÁ Hana</v>
      </c>
      <c r="P16" s="52" t="str">
        <f>IF(('[1]S 4'!$Y78=4),'[1]S 4'!$E78,IF(('[1]S 4'!$Y79=4),'[1]S 4'!$E79,IF(('[1]S 4'!$Y80=4),'[1]S 4'!$E80,IF(('[1]S 4'!$Y81=4),'[1]S 4'!$E81," "))))</f>
        <v xml:space="preserve"> </v>
      </c>
      <c r="T16" s="55">
        <f t="shared" si="1"/>
        <v>13</v>
      </c>
      <c r="U16" s="170">
        <v>13</v>
      </c>
      <c r="V16" s="169" t="str">
        <f>IF(G21=E20,E22,E20)</f>
        <v>CHYLOVÁ Sabína</v>
      </c>
      <c r="AC16" s="83"/>
      <c r="BR16" s="49"/>
      <c r="CY16" s="49">
        <v>13</v>
      </c>
      <c r="CZ16" s="59" t="s">
        <v>120</v>
      </c>
      <c r="DA16" s="59" t="s">
        <v>120</v>
      </c>
      <c r="DB16" s="59" t="s">
        <v>120</v>
      </c>
      <c r="DC16" s="59" t="s">
        <v>120</v>
      </c>
      <c r="DD16" s="59" t="s">
        <v>120</v>
      </c>
      <c r="DE16" s="59" t="s">
        <v>120</v>
      </c>
      <c r="DF16" s="59" t="s">
        <v>120</v>
      </c>
      <c r="DG16" s="59" t="s">
        <v>120</v>
      </c>
    </row>
    <row r="17" spans="1:111" ht="60" customHeight="1" thickBot="1">
      <c r="A17" s="49" t="s">
        <v>182</v>
      </c>
      <c r="B17" s="536"/>
      <c r="C17" s="537"/>
      <c r="D17" s="538"/>
      <c r="E17" s="111" t="str">
        <f>VLOOKUP($A16,'zapisy k stolom'!$Y$5:$AC$3073,5,0)</f>
        <v>Tbl.: 4   H: 15.30   D: So</v>
      </c>
      <c r="F17" s="117" t="s">
        <v>135</v>
      </c>
      <c r="G17" s="121" t="str">
        <f>IF(C16="x",E18,IF(C18="x",E16,VLOOKUP($A16,'zapisy k stolom'!$Y$5:$AC$3073,3,0)))</f>
        <v>SLOBODNÍKOVÁ Hana</v>
      </c>
      <c r="H17" s="116"/>
      <c r="I17" s="110"/>
      <c r="J17" s="116"/>
      <c r="K17" s="57"/>
      <c r="L17" s="60" t="str">
        <f t="shared" si="0"/>
        <v>DP102</v>
      </c>
      <c r="M17" s="52" t="str">
        <f>G17</f>
        <v>SLOBODNÍKOVÁ Hana</v>
      </c>
      <c r="P17" s="52" t="str">
        <f>IF(('[1]S 4'!$Y84=4),'[1]S 4'!$E84,IF(('[1]S 4'!$Y85=4),'[1]S 4'!$E85,IF(('[1]S 4'!$Y86=4),'[1]S 4'!$E86,IF(('[1]S 4'!$Y87=4),'[1]S 4'!$E87," "))))</f>
        <v xml:space="preserve"> </v>
      </c>
      <c r="R17" s="76"/>
      <c r="S17" s="77"/>
      <c r="T17" s="55">
        <f t="shared" si="1"/>
        <v>14</v>
      </c>
      <c r="U17" s="170">
        <v>14</v>
      </c>
      <c r="V17" s="169" t="str">
        <f>IF(G25=E24,E26,E24)</f>
        <v>GORFOLOVÁ Viktória</v>
      </c>
      <c r="Y17" s="533"/>
      <c r="Z17" s="533"/>
      <c r="AA17" s="533"/>
      <c r="AC17" s="83"/>
      <c r="AD17" s="76"/>
      <c r="AE17" s="77"/>
      <c r="AK17" s="533"/>
      <c r="AL17" s="533"/>
      <c r="AM17" s="533"/>
      <c r="BB17" s="76"/>
      <c r="BC17" s="77"/>
      <c r="BD17" s="68"/>
      <c r="BE17" s="68"/>
      <c r="BF17" s="68"/>
      <c r="BG17" s="68"/>
      <c r="BH17" s="68"/>
      <c r="BI17" s="533"/>
      <c r="BJ17" s="533"/>
      <c r="BK17" s="533"/>
      <c r="BL17" s="67"/>
      <c r="BO17" s="531"/>
      <c r="BP17" s="531"/>
      <c r="BQ17" s="531"/>
      <c r="BR17" s="49">
        <f>IF(BS17="x",0,MAX(BR$5:$BR16)+1)</f>
        <v>4</v>
      </c>
      <c r="BS17" s="57" t="str">
        <f>IF(G17=E16,E18,E16)</f>
        <v>DZELINSKA Júlia</v>
      </c>
      <c r="BT17" s="63"/>
      <c r="BU17" s="64"/>
      <c r="CA17" s="531"/>
      <c r="CB17" s="531"/>
      <c r="CC17" s="531"/>
      <c r="CF17" s="63"/>
      <c r="CG17" s="64"/>
      <c r="CM17" s="531"/>
      <c r="CN17" s="531"/>
      <c r="CO17" s="531"/>
      <c r="CY17" s="49">
        <v>14</v>
      </c>
      <c r="CZ17" s="59" t="s">
        <v>120</v>
      </c>
      <c r="DA17" s="59" t="s">
        <v>120</v>
      </c>
      <c r="DB17" s="59" t="s">
        <v>120</v>
      </c>
      <c r="DC17" s="59" t="s">
        <v>120</v>
      </c>
      <c r="DD17" s="59" t="s">
        <v>120</v>
      </c>
      <c r="DE17" s="59" t="s">
        <v>120</v>
      </c>
      <c r="DF17" s="59" t="s">
        <v>120</v>
      </c>
      <c r="DG17" s="59" t="s">
        <v>121</v>
      </c>
    </row>
    <row r="18" spans="1:111" ht="60" customHeight="1" thickBot="1">
      <c r="A18" s="49" t="s">
        <v>170</v>
      </c>
      <c r="B18" s="542">
        <v>1</v>
      </c>
      <c r="C18" s="537" t="s">
        <v>92</v>
      </c>
      <c r="D18" s="538">
        <v>8</v>
      </c>
      <c r="E18" s="108" t="str">
        <f>IF(ISERROR(IF($J$1="n","",IF($J$1="a",VLOOKUP(C18,'poradie v skupinach'!$G$5:$I$37,2),"")))=TRUE,"",IF($J$1="n","",IF($J$1="a",VLOOKUP(C18,'poradie v skupinach'!$G$5:$I$37,2),"")))</f>
        <v>DZELINSKA Júlia</v>
      </c>
      <c r="F18" s="114" t="str">
        <f>IF(ISERROR(IF($J$1="n","",IF($J$1="a",VLOOKUP(C18,'poradie v skupinach'!$G$5:$IC$37,3),"")))=TRUE,"",IF($J$1="n","",IF($J$1="a",VLOOKUP(C18,'poradie v skupinach'!$G$5:$I$37,3),"")))</f>
        <v>ŠKST MICHALOVCE/STK LOKOMOTÍVA KOŠICE</v>
      </c>
      <c r="G18" s="144" t="str">
        <f>IF(G17="","",IF(OR(C16="x",C18="x"),"",VLOOKUP($A16,'zapisy k stolom'!$Y$5:$AC$3073,4,0)))</f>
        <v xml:space="preserve">3:1 ( 11,-7,9,8,,, ) </v>
      </c>
      <c r="H18" s="110"/>
      <c r="I18" s="110"/>
      <c r="J18" s="116"/>
      <c r="K18" s="57"/>
      <c r="L18" s="60" t="str">
        <f t="shared" si="0"/>
        <v>DP42</v>
      </c>
      <c r="M18" s="52" t="str">
        <f>E18</f>
        <v>DZELINSKA Júlia</v>
      </c>
      <c r="P18" s="52" t="str">
        <f>IF(('[1]S 4'!$Y90=4),'[1]S 4'!$E90,IF(('[1]S 4'!$Y91=4),'[1]S 4'!$E91,IF(('[1]S 4'!$Y92=4),'[1]S 4'!$E92,IF(('[1]S 4'!$Y93=4),'[1]S 4'!$E93," "))))</f>
        <v xml:space="preserve"> </v>
      </c>
      <c r="R18" s="76"/>
      <c r="T18" s="55">
        <f t="shared" si="1"/>
        <v>15</v>
      </c>
      <c r="U18" s="170">
        <v>15</v>
      </c>
      <c r="V18" s="169" t="str">
        <f>IF(G29=E28,E30,E28)</f>
        <v>VOJTASOVA Patrícia</v>
      </c>
      <c r="W18" s="69"/>
      <c r="X18" s="69"/>
      <c r="Y18" s="69"/>
      <c r="AC18" s="83"/>
      <c r="AD18" s="76"/>
      <c r="AG18" s="69"/>
      <c r="AH18" s="69"/>
      <c r="AI18" s="69"/>
      <c r="AJ18" s="69"/>
      <c r="AK18" s="69"/>
      <c r="BB18" s="76"/>
      <c r="BC18" s="67"/>
      <c r="BD18" s="68"/>
      <c r="BE18" s="69"/>
      <c r="BF18" s="69"/>
      <c r="BG18" s="69"/>
      <c r="BH18" s="69"/>
      <c r="BI18" s="69"/>
      <c r="BJ18" s="68"/>
      <c r="BK18" s="69"/>
      <c r="BL18" s="67"/>
      <c r="BN18" s="56"/>
      <c r="BO18" s="56"/>
      <c r="BR18" s="49"/>
      <c r="BT18" s="63"/>
      <c r="BW18" s="56"/>
      <c r="BX18" s="56"/>
      <c r="BY18" s="56"/>
      <c r="BZ18" s="56"/>
      <c r="CA18" s="56"/>
      <c r="CF18" s="63"/>
      <c r="CI18" s="56"/>
      <c r="CJ18" s="56"/>
      <c r="CK18" s="56"/>
      <c r="CL18" s="56"/>
      <c r="CM18" s="56"/>
      <c r="CY18" s="49">
        <v>15</v>
      </c>
      <c r="CZ18" s="59" t="s">
        <v>120</v>
      </c>
      <c r="DA18" s="59" t="s">
        <v>120</v>
      </c>
      <c r="DB18" s="59" t="s">
        <v>121</v>
      </c>
      <c r="DC18" s="59" t="s">
        <v>121</v>
      </c>
      <c r="DD18" s="59" t="s">
        <v>121</v>
      </c>
      <c r="DE18" s="59" t="s">
        <v>121</v>
      </c>
      <c r="DF18" s="59" t="s">
        <v>121</v>
      </c>
      <c r="DG18" s="59" t="s">
        <v>121</v>
      </c>
    </row>
    <row r="19" spans="1:111" ht="60" customHeight="1" thickBot="1">
      <c r="B19" s="542"/>
      <c r="C19" s="537"/>
      <c r="D19" s="538"/>
      <c r="G19" s="106"/>
      <c r="H19" s="110"/>
      <c r="I19" s="122" t="s">
        <v>139</v>
      </c>
      <c r="J19" s="142" t="str">
        <f>VLOOKUP($A11,'zapisy k stolom'!$Y$5:$AC$3073,3,0)</f>
        <v>LABOŠOVÁ Ema</v>
      </c>
      <c r="K19" s="82"/>
      <c r="L19" s="60"/>
      <c r="M19" s="52"/>
      <c r="P19" s="52" t="str">
        <f>IF(('[1]S 4'!$Y96=4),'[1]S 4'!$E96,IF(('[1]S 4'!$Y97=4),'[1]S 4'!$E97,IF(('[1]S 4'!$Y98=4),'[1]S 4'!$E98,IF(('[1]S 4'!$Y99=4),'[1]S 4'!$E99," "))))</f>
        <v xml:space="preserve"> </v>
      </c>
      <c r="R19" s="76"/>
      <c r="T19" s="55">
        <f t="shared" si="1"/>
        <v>16</v>
      </c>
      <c r="U19" s="170">
        <v>16</v>
      </c>
      <c r="V19" s="169" t="str">
        <f>IF(G33=E32,E34,E32)</f>
        <v>HUDÁKOVÁ Ivana</v>
      </c>
      <c r="W19" s="69"/>
      <c r="X19" s="69"/>
      <c r="Y19" s="69"/>
      <c r="AC19" s="83"/>
      <c r="AD19" s="76"/>
      <c r="AG19" s="69"/>
      <c r="AH19" s="69"/>
      <c r="AI19" s="69"/>
      <c r="AJ19" s="69"/>
      <c r="AK19" s="69"/>
      <c r="BB19" s="76"/>
      <c r="BC19" s="67"/>
      <c r="BD19" s="68"/>
      <c r="BE19" s="69"/>
      <c r="BF19" s="69"/>
      <c r="BG19" s="69"/>
      <c r="BH19" s="69"/>
      <c r="BI19" s="69"/>
      <c r="BJ19" s="68"/>
      <c r="BK19" s="69"/>
      <c r="BL19" s="67"/>
      <c r="BN19" s="56"/>
      <c r="BO19" s="56"/>
      <c r="BR19" s="49"/>
      <c r="BT19" s="63"/>
      <c r="BW19" s="56"/>
      <c r="BX19" s="56"/>
      <c r="BY19" s="56"/>
      <c r="BZ19" s="56"/>
      <c r="CA19" s="56"/>
      <c r="CF19" s="63"/>
      <c r="CI19" s="56"/>
      <c r="CJ19" s="56"/>
      <c r="CK19" s="56"/>
      <c r="CL19" s="56"/>
      <c r="CM19" s="56"/>
      <c r="CY19" s="49">
        <v>16</v>
      </c>
      <c r="CZ19" s="59" t="s">
        <v>120</v>
      </c>
      <c r="DA19" s="59" t="s">
        <v>120</v>
      </c>
      <c r="DB19" s="59" t="s">
        <v>120</v>
      </c>
      <c r="DC19" s="59" t="s">
        <v>120</v>
      </c>
      <c r="DD19" s="59" t="s">
        <v>120</v>
      </c>
      <c r="DE19" s="59" t="s">
        <v>120</v>
      </c>
      <c r="DF19" s="59" t="s">
        <v>120</v>
      </c>
      <c r="DG19" s="59" t="s">
        <v>120</v>
      </c>
    </row>
    <row r="20" spans="1:111" ht="60" customHeight="1" thickBot="1">
      <c r="A20" s="49" t="s">
        <v>171</v>
      </c>
      <c r="B20" s="542">
        <v>1</v>
      </c>
      <c r="C20" s="537" t="s">
        <v>88</v>
      </c>
      <c r="D20" s="538">
        <v>9</v>
      </c>
      <c r="E20" s="107" t="str">
        <f>IF(ISERROR(IF($J$1="n","",IF($J$1="a",VLOOKUP(C20,'poradie v skupinach'!$G$5:$H$37,2),"")))=TRUE,"",IF($J$1="n","",IF($J$1="a",VLOOKUP(C20,'poradie v skupinach'!$G$5:$H$37,2),"")))</f>
        <v>ŠINKAROVÁ Dáša</v>
      </c>
      <c r="F20" s="108" t="str">
        <f>IF(ISERROR(IF($J$1="n","",IF($J$1="a",VLOOKUP(C20,'poradie v skupinach'!$G$5:$I$37,3),"")))=TRUE,"",IF($J$1="n","",IF($J$1="a",VLOOKUP(C20,'poradie v skupinach'!$G$5:$I$37,3),"")))</f>
        <v>ŠKST MICHALOVCE</v>
      </c>
      <c r="G20" s="109"/>
      <c r="H20" s="110"/>
      <c r="I20" s="110" t="str">
        <f>VLOOKUP($A11,'zapisy k stolom'!$Y$5:$AC$3073,5,0)</f>
        <v>Tbl.: 2   H: 11.00   D: Ne</v>
      </c>
      <c r="J20" s="146" t="str">
        <f>IF(J19="","",VLOOKUP($A11,'zapisy k stolom'!$Y$5:$AC$3073,4,0))</f>
        <v xml:space="preserve">3:0 ( 8,7,10,,,, ) </v>
      </c>
      <c r="K20" s="82"/>
      <c r="L20" s="60" t="str">
        <f t="shared" si="0"/>
        <v>DP51</v>
      </c>
      <c r="M20" s="52" t="str">
        <f>E20</f>
        <v>ŠINKAROVÁ Dáša</v>
      </c>
      <c r="P20" s="52" t="str">
        <f>IF(('[1]S 4'!$Y102=4),'[1]S 4'!$E102,IF(('[1]S 4'!$Y103=4),'[1]S 4'!$E103,IF(('[1]S 4'!$Y104=4),'[1]S 4'!$E104,IF(('[1]S 4'!$Y105=4),'[1]S 4'!$E105," "))))</f>
        <v xml:space="preserve"> </v>
      </c>
      <c r="R20" s="76"/>
      <c r="S20" s="58" t="s">
        <v>385</v>
      </c>
      <c r="T20" s="169">
        <f>MAX(T4:T19)</f>
        <v>16</v>
      </c>
      <c r="V20" s="170"/>
      <c r="W20" s="69"/>
      <c r="X20" s="69"/>
      <c r="Y20" s="69"/>
      <c r="AC20" s="83"/>
      <c r="AD20" s="76"/>
      <c r="AG20" s="69"/>
      <c r="AH20" s="69"/>
      <c r="AI20" s="69"/>
      <c r="AJ20" s="69"/>
      <c r="AK20" s="69"/>
      <c r="BB20" s="76"/>
      <c r="BC20" s="67"/>
      <c r="BD20" s="68"/>
      <c r="BE20" s="69"/>
      <c r="BF20" s="69"/>
      <c r="BG20" s="69"/>
      <c r="BH20" s="69"/>
      <c r="BI20" s="69"/>
      <c r="BJ20" s="68"/>
      <c r="BK20" s="69"/>
      <c r="BL20" s="67"/>
      <c r="BN20" s="56"/>
      <c r="BO20" s="56"/>
      <c r="BR20" s="49"/>
      <c r="BT20" s="63"/>
      <c r="BW20" s="56"/>
      <c r="BX20" s="56"/>
      <c r="BY20" s="56"/>
      <c r="BZ20" s="56"/>
      <c r="CA20" s="56"/>
      <c r="CF20" s="63"/>
      <c r="CI20" s="56"/>
      <c r="CJ20" s="56"/>
      <c r="CK20" s="56"/>
      <c r="CL20" s="56"/>
      <c r="CM20" s="56"/>
    </row>
    <row r="21" spans="1:111" ht="60" customHeight="1" thickBot="1">
      <c r="A21" s="49" t="s">
        <v>183</v>
      </c>
      <c r="B21" s="542"/>
      <c r="C21" s="537"/>
      <c r="D21" s="538"/>
      <c r="E21" s="111" t="str">
        <f>VLOOKUP($A20,'zapisy k stolom'!$Y$5:$AC$3073,5,0)</f>
        <v>Tbl.: 5   H: 15.30   D: So</v>
      </c>
      <c r="F21" s="112" t="s">
        <v>136</v>
      </c>
      <c r="G21" s="113" t="str">
        <f>IF(C20="x",E22,IF(C22="x",E20,VLOOKUP($A20,'zapisy k stolom'!$Y$5:$AC$3073,3,0)))</f>
        <v>ŠINKAROVÁ Dáša</v>
      </c>
      <c r="H21" s="109"/>
      <c r="I21" s="110"/>
      <c r="J21" s="116"/>
      <c r="K21" s="57"/>
      <c r="L21" s="60" t="str">
        <f t="shared" si="0"/>
        <v>DP111</v>
      </c>
      <c r="M21" s="52" t="str">
        <f>G21</f>
        <v>ŠINKAROVÁ Dáša</v>
      </c>
      <c r="P21" s="52" t="str">
        <f>IF(('[1]S 4'!$Y108=4),'[1]S 4'!$E108,IF(('[1]S 4'!$Y109=4),'[1]S 4'!$E109,IF(('[1]S 4'!$Y110=4),'[1]S 4'!$E110,IF(('[1]S 4'!$Y111=4),'[1]S 4'!$E111," "))))</f>
        <v xml:space="preserve"> </v>
      </c>
      <c r="R21" s="76"/>
      <c r="V21" s="170"/>
      <c r="W21" s="69"/>
      <c r="X21" s="69"/>
      <c r="Y21" s="69"/>
      <c r="AC21" s="83"/>
      <c r="AD21" s="76"/>
      <c r="AG21" s="69"/>
      <c r="AH21" s="69"/>
      <c r="AI21" s="69"/>
      <c r="AJ21" s="69"/>
      <c r="AK21" s="69"/>
      <c r="BB21" s="76"/>
      <c r="BC21" s="67"/>
      <c r="BD21" s="68"/>
      <c r="BE21" s="69"/>
      <c r="BF21" s="69"/>
      <c r="BG21" s="69"/>
      <c r="BH21" s="69"/>
      <c r="BI21" s="69"/>
      <c r="BJ21" s="68"/>
      <c r="BK21" s="69"/>
      <c r="BL21" s="67"/>
      <c r="BN21" s="56"/>
      <c r="BO21" s="56"/>
      <c r="BR21" s="49">
        <f>IF(BS21="x",0,MAX(BR$5:$BR20)+1)</f>
        <v>5</v>
      </c>
      <c r="BS21" s="57" t="str">
        <f>IF(G21=E20,E22,E20)</f>
        <v>CHYLOVÁ Sabína</v>
      </c>
      <c r="BT21" s="63"/>
      <c r="BW21" s="56"/>
      <c r="BX21" s="56"/>
      <c r="BY21" s="56"/>
      <c r="BZ21" s="56"/>
      <c r="CA21" s="56"/>
      <c r="CF21" s="63"/>
      <c r="CI21" s="56"/>
      <c r="CJ21" s="56"/>
      <c r="CK21" s="56"/>
      <c r="CL21" s="56"/>
      <c r="CM21" s="56"/>
    </row>
    <row r="22" spans="1:111" ht="60" customHeight="1" thickBot="1">
      <c r="A22" s="49" t="s">
        <v>172</v>
      </c>
      <c r="B22" s="536">
        <v>3</v>
      </c>
      <c r="C22" s="537" t="s">
        <v>81</v>
      </c>
      <c r="D22" s="538">
        <v>10</v>
      </c>
      <c r="E22" s="108" t="str">
        <f>IF(ISERROR(IF($J$1="n","",IF($J$1="a",VLOOKUP(C22,'poradie v skupinach'!$G$5:$I$37,2),"")))=TRUE,"",IF($J$1="n","",IF($J$1="a",VLOOKUP(C22,'poradie v skupinach'!$G$5:$I$37,2),"")))</f>
        <v>CHYLOVÁ Sabína</v>
      </c>
      <c r="F22" s="114" t="str">
        <f>IF(ISERROR(IF($J$1="n","",IF($J$1="a",VLOOKUP(C22,'poradie v skupinach'!$G$5:$IC$37,3),"")))=TRUE,"",IF($J$1="n","",IF($J$1="a",VLOOKUP(C22,'poradie v skupinach'!$G$5:$I$37,3),"")))</f>
        <v>MSTK TVRDOŠÍN</v>
      </c>
      <c r="G22" s="115" t="str">
        <f>IF(G21="","",IF(OR(C20="x",C22="x"),"",VLOOKUP($A20,'zapisy k stolom'!$Y$5:$AC$3073,4,0)))</f>
        <v xml:space="preserve">3:1 ( 4,-8,9,3,,, ) </v>
      </c>
      <c r="H22" s="116"/>
      <c r="I22" s="110"/>
      <c r="J22" s="116"/>
      <c r="K22" s="57"/>
      <c r="L22" s="60" t="str">
        <f t="shared" si="0"/>
        <v>DP52</v>
      </c>
      <c r="M22" s="52" t="str">
        <f>E22</f>
        <v>CHYLOVÁ Sabína</v>
      </c>
      <c r="P22" s="52" t="str">
        <f>IF(('[1]S 4'!$Y114=4),'[1]S 4'!$E114,IF(('[1]S 4'!$Y115=4),'[1]S 4'!$E115,IF(('[1]S 4'!$Y116=4),'[1]S 4'!$E116,IF(('[1]S 4'!$Y117=4),'[1]S 4'!$E117," "))))</f>
        <v xml:space="preserve"> </v>
      </c>
      <c r="AC22" s="83"/>
      <c r="BB22" s="67"/>
      <c r="BC22" s="67"/>
      <c r="BD22" s="68"/>
      <c r="BE22" s="68"/>
      <c r="BF22" s="68"/>
      <c r="BG22" s="68"/>
      <c r="BH22" s="68"/>
      <c r="BI22" s="68"/>
      <c r="BJ22" s="68"/>
      <c r="BK22" s="69"/>
      <c r="BL22" s="67"/>
      <c r="BR22" s="49"/>
    </row>
    <row r="23" spans="1:111" ht="60" customHeight="1" thickBot="1">
      <c r="A23" s="49" t="s">
        <v>189</v>
      </c>
      <c r="B23" s="536"/>
      <c r="C23" s="537"/>
      <c r="D23" s="538"/>
      <c r="G23" s="117" t="s">
        <v>137</v>
      </c>
      <c r="H23" s="118" t="str">
        <f>VLOOKUP($A21,'zapisy k stolom'!$Y$5:$AC$3073,3,0)</f>
        <v>ŠINKAROVÁ Dáša</v>
      </c>
      <c r="I23" s="109"/>
      <c r="J23" s="127"/>
      <c r="K23" s="57"/>
      <c r="L23" s="60" t="str">
        <f t="shared" si="0"/>
        <v>DP141</v>
      </c>
      <c r="M23" s="52" t="str">
        <f>H23</f>
        <v>ŠINKAROVÁ Dáša</v>
      </c>
      <c r="P23" s="52" t="str">
        <f>IF(('[1]S 4'!$Y120=4),'[1]S 4'!$E120,IF(('[1]S 4'!$Y121=4),'[1]S 4'!$E121,IF(('[1]S 4'!$Y122=4),'[1]S 4'!$E122,IF(('[1]S 4'!$Y123=4),'[1]S 4'!$E123," "))))</f>
        <v xml:space="preserve"> </v>
      </c>
      <c r="R23" s="76"/>
      <c r="S23" s="77"/>
      <c r="Y23" s="533"/>
      <c r="Z23" s="533"/>
      <c r="AA23" s="533"/>
      <c r="AC23" s="83"/>
      <c r="AD23" s="76"/>
      <c r="AE23" s="77"/>
      <c r="AK23" s="533"/>
      <c r="AL23" s="533"/>
      <c r="AM23" s="533"/>
      <c r="BB23" s="76"/>
      <c r="BC23" s="77"/>
      <c r="BD23" s="68"/>
      <c r="BE23" s="68"/>
      <c r="BF23" s="68"/>
      <c r="BG23" s="68"/>
      <c r="BH23" s="68"/>
      <c r="BI23" s="533"/>
      <c r="BJ23" s="533"/>
      <c r="BK23" s="533"/>
      <c r="BL23" s="67"/>
      <c r="BO23" s="531"/>
      <c r="BP23" s="531"/>
      <c r="BQ23" s="531"/>
      <c r="BR23" s="49"/>
      <c r="BT23" s="72" t="str">
        <f>IF(H23=G21,G25,G21)</f>
        <v>DIVINSKÁ Natália</v>
      </c>
      <c r="BU23" s="64"/>
      <c r="CA23" s="531"/>
      <c r="CB23" s="531"/>
      <c r="CC23" s="531"/>
      <c r="CF23" s="63"/>
      <c r="CG23" s="64"/>
      <c r="CM23" s="531"/>
      <c r="CN23" s="531"/>
      <c r="CO23" s="531"/>
    </row>
    <row r="24" spans="1:111" ht="60" customHeight="1" thickBot="1">
      <c r="A24" s="49" t="s">
        <v>173</v>
      </c>
      <c r="B24" s="536">
        <v>3</v>
      </c>
      <c r="C24" s="537" t="s">
        <v>105</v>
      </c>
      <c r="D24" s="538">
        <v>11</v>
      </c>
      <c r="E24" s="107" t="str">
        <f>IF(ISERROR(IF($J$1="n","",IF($J$1="a",VLOOKUP(C24,'poradie v skupinach'!$G$5:$H$37,2),"")))=TRUE,"",IF($J$1="n","",IF($J$1="a",VLOOKUP(C24,'poradie v skupinach'!$G$5:$H$37,2),"")))</f>
        <v>GORFOLOVÁ Viktória</v>
      </c>
      <c r="F24" s="108" t="str">
        <f>IF(ISERROR(IF($J$1="n","",IF($J$1="a",VLOOKUP(C24,'poradie v skupinach'!$G$5:$I$37,3),"")))=TRUE,"",IF($J$1="n","",IF($J$1="a",VLOOKUP(C24,'poradie v skupinach'!$G$5:$I$37,3),"")))</f>
        <v>GASTO METALFIN GALANTA</v>
      </c>
      <c r="G24" s="109" t="str">
        <f>VLOOKUP($A21,'zapisy k stolom'!$Y$5:$AC$3073,5,0)</f>
        <v>Tbl.: 7   H: 16.30   D: So</v>
      </c>
      <c r="H24" s="120" t="str">
        <f>IF(H23="","",VLOOKUP($A21,'zapisy k stolom'!$Y$5:$AC$3073,4,0))</f>
        <v xml:space="preserve">3:0 ( 4,8,5,,,, ) </v>
      </c>
      <c r="I24" s="116"/>
      <c r="J24" s="116"/>
      <c r="K24" s="57"/>
      <c r="L24" s="60" t="str">
        <f t="shared" si="0"/>
        <v>DP61</v>
      </c>
      <c r="M24" s="52" t="str">
        <f>E24</f>
        <v>GORFOLOVÁ Viktória</v>
      </c>
      <c r="P24" s="52" t="str">
        <f>IF(('[1]S 4'!$Y126=4),'[1]S 4'!$E126,IF(('[1]S 4'!$Y127=4),'[1]S 4'!$E127,IF(('[1]S 4'!$Y128=4),'[1]S 4'!$E128,IF(('[1]S 4'!$Y129=4),'[1]S 4'!$E129," "))))</f>
        <v xml:space="preserve"> </v>
      </c>
      <c r="R24" s="76"/>
      <c r="V24" s="170"/>
      <c r="W24" s="69"/>
      <c r="X24" s="69"/>
      <c r="Y24" s="69"/>
      <c r="AC24" s="83"/>
      <c r="AD24" s="76"/>
      <c r="AG24" s="69"/>
      <c r="AH24" s="69"/>
      <c r="AI24" s="69"/>
      <c r="AJ24" s="69"/>
      <c r="AK24" s="69"/>
      <c r="BB24" s="76"/>
      <c r="BC24" s="67"/>
      <c r="BD24" s="68"/>
      <c r="BE24" s="69"/>
      <c r="BF24" s="69"/>
      <c r="BG24" s="69"/>
      <c r="BH24" s="69"/>
      <c r="BI24" s="69"/>
      <c r="BJ24" s="68"/>
      <c r="BK24" s="69"/>
      <c r="BL24" s="67"/>
      <c r="BN24" s="56"/>
      <c r="BO24" s="56"/>
      <c r="BR24" s="49"/>
      <c r="BT24" s="63"/>
      <c r="BW24" s="56"/>
      <c r="BX24" s="56"/>
      <c r="BY24" s="56"/>
      <c r="BZ24" s="56"/>
      <c r="CA24" s="56"/>
      <c r="CF24" s="63"/>
      <c r="CI24" s="56"/>
      <c r="CJ24" s="56"/>
      <c r="CK24" s="56"/>
      <c r="CL24" s="56"/>
      <c r="CM24" s="56"/>
    </row>
    <row r="25" spans="1:111" ht="60" customHeight="1" thickBot="1">
      <c r="A25" s="49" t="s">
        <v>184</v>
      </c>
      <c r="B25" s="536"/>
      <c r="C25" s="537"/>
      <c r="D25" s="538"/>
      <c r="E25" s="111" t="str">
        <f>VLOOKUP($A24,'zapisy k stolom'!$Y$5:$AC$3073,5,0)</f>
        <v>Tbl.: 6   H: 15.30   D: So</v>
      </c>
      <c r="F25" s="117" t="s">
        <v>138</v>
      </c>
      <c r="G25" s="121" t="str">
        <f>IF(C24="x",E26,IF(C26="x",E24,VLOOKUP($A24,'zapisy k stolom'!$Y$5:$AC$3073,3,0)))</f>
        <v>DIVINSKÁ Natália</v>
      </c>
      <c r="H25" s="116"/>
      <c r="I25" s="116"/>
      <c r="J25" s="116"/>
      <c r="K25" s="57"/>
      <c r="L25" s="60" t="str">
        <f t="shared" si="0"/>
        <v>DP112</v>
      </c>
      <c r="M25" s="52" t="str">
        <f>G25</f>
        <v>DIVINSKÁ Natália</v>
      </c>
      <c r="P25" s="52" t="str">
        <f>IF(('[1]S 4'!$Y132=4),'[1]S 4'!$E132,IF(('[1]S 4'!$Y133=4),'[1]S 4'!$E133,IF(('[1]S 4'!$Y134=4),'[1]S 4'!$E134,IF(('[1]S 4'!$Y135=4),'[1]S 4'!$E135," "))))</f>
        <v xml:space="preserve"> </v>
      </c>
      <c r="R25" s="76"/>
      <c r="V25" s="170"/>
      <c r="W25" s="69"/>
      <c r="X25" s="69"/>
      <c r="Y25" s="69"/>
      <c r="AC25" s="83"/>
      <c r="AD25" s="76"/>
      <c r="AG25" s="69"/>
      <c r="AH25" s="69"/>
      <c r="AI25" s="69"/>
      <c r="AJ25" s="69"/>
      <c r="AK25" s="69"/>
      <c r="BB25" s="76"/>
      <c r="BC25" s="67"/>
      <c r="BD25" s="68"/>
      <c r="BE25" s="69"/>
      <c r="BF25" s="69"/>
      <c r="BG25" s="69"/>
      <c r="BH25" s="69"/>
      <c r="BI25" s="69"/>
      <c r="BJ25" s="68"/>
      <c r="BK25" s="69"/>
      <c r="BL25" s="67"/>
      <c r="BN25" s="56"/>
      <c r="BO25" s="56"/>
      <c r="BR25" s="49">
        <f>IF(BS25="x",0,MAX(BR$5:$BR24)+1)</f>
        <v>6</v>
      </c>
      <c r="BS25" s="57" t="str">
        <f>IF(G25=E24,E26,E24)</f>
        <v>GORFOLOVÁ Viktória</v>
      </c>
      <c r="BT25" s="63"/>
      <c r="BW25" s="56"/>
      <c r="BX25" s="56"/>
      <c r="BY25" s="56"/>
      <c r="BZ25" s="56"/>
      <c r="CA25" s="56"/>
      <c r="CF25" s="63"/>
      <c r="CI25" s="56"/>
      <c r="CJ25" s="56"/>
      <c r="CK25" s="56"/>
      <c r="CL25" s="56"/>
      <c r="CM25" s="56"/>
    </row>
    <row r="26" spans="1:111" ht="60" customHeight="1" thickBot="1">
      <c r="A26" s="49" t="s">
        <v>174</v>
      </c>
      <c r="B26" s="541">
        <v>2</v>
      </c>
      <c r="C26" s="537" t="s">
        <v>96</v>
      </c>
      <c r="D26" s="538">
        <v>12</v>
      </c>
      <c r="E26" s="108" t="str">
        <f>IF(ISERROR(IF($J$1="n","",IF($J$1="a",VLOOKUP(C26,'poradie v skupinach'!$G$5:$I$37,2),"")))=TRUE,"",IF($J$1="n","",IF($J$1="a",VLOOKUP(C26,'poradie v skupinach'!$G$5:$I$37,2),"")))</f>
        <v>DIVINSKÁ Natália</v>
      </c>
      <c r="F26" s="114" t="str">
        <f>IF(ISERROR(IF($J$1="n","",IF($J$1="a",VLOOKUP(C26,'poradie v skupinach'!$G$5:$IC$37,3),"")))=TRUE,"",IF($J$1="n","",IF($J$1="a",VLOOKUP(C26,'poradie v skupinach'!$G$5:$I$37,3),"")))</f>
        <v>MSTK TVRDOŠÍN</v>
      </c>
      <c r="G26" s="144" t="str">
        <f>IF(G25="","",IF(OR(C24="x",C26="x"),"",VLOOKUP($A24,'zapisy k stolom'!$Y$5:$AC$3073,4,0)))</f>
        <v xml:space="preserve">3:1 ( 10,1,-8,6,,, ) </v>
      </c>
      <c r="H26" s="110"/>
      <c r="I26" s="116"/>
      <c r="J26" s="116"/>
      <c r="K26" s="57"/>
      <c r="L26" s="60" t="str">
        <f t="shared" si="0"/>
        <v>DP62</v>
      </c>
      <c r="M26" s="52" t="str">
        <f>E26</f>
        <v>DIVINSKÁ Natália</v>
      </c>
      <c r="P26" s="52" t="str">
        <f>IF(('[1]S 4'!$Y138=4),'[1]S 4'!$E138,IF(('[1]S 4'!$Y139=4),'[1]S 4'!$E139,IF(('[1]S 4'!$Y140=4),'[1]S 4'!$E140,IF(('[1]S 4'!$Y141=4),'[1]S 4'!$E141," "))))</f>
        <v xml:space="preserve"> </v>
      </c>
      <c r="R26" s="76"/>
      <c r="V26" s="170"/>
      <c r="W26" s="69"/>
      <c r="X26" s="69"/>
      <c r="Y26" s="69"/>
      <c r="AC26" s="83"/>
      <c r="AD26" s="76"/>
      <c r="AG26" s="69"/>
      <c r="AH26" s="69"/>
      <c r="AI26" s="69"/>
      <c r="AJ26" s="69"/>
      <c r="AK26" s="69"/>
      <c r="BB26" s="76"/>
      <c r="BC26" s="67"/>
      <c r="BD26" s="68"/>
      <c r="BE26" s="69"/>
      <c r="BF26" s="69"/>
      <c r="BG26" s="69"/>
      <c r="BH26" s="69"/>
      <c r="BI26" s="69"/>
      <c r="BJ26" s="68"/>
      <c r="BK26" s="69"/>
      <c r="BL26" s="67"/>
      <c r="BN26" s="56"/>
      <c r="BO26" s="56"/>
      <c r="BR26" s="49"/>
      <c r="BT26" s="63"/>
      <c r="BW26" s="56"/>
      <c r="BX26" s="56"/>
      <c r="BY26" s="56"/>
      <c r="BZ26" s="56"/>
      <c r="CA26" s="56"/>
      <c r="CF26" s="63"/>
      <c r="CI26" s="56"/>
      <c r="CJ26" s="56"/>
      <c r="CK26" s="56"/>
      <c r="CL26" s="56"/>
      <c r="CM26" s="56"/>
    </row>
    <row r="27" spans="1:111" ht="60" customHeight="1" thickBot="1">
      <c r="A27" s="49" t="s">
        <v>191</v>
      </c>
      <c r="B27" s="541"/>
      <c r="C27" s="537"/>
      <c r="D27" s="538"/>
      <c r="G27" s="106"/>
      <c r="H27" s="122" t="s">
        <v>141</v>
      </c>
      <c r="I27" s="143" t="str">
        <f>VLOOKUP($A23,'zapisy k stolom'!$Y$5:$AC$3073,3,0)</f>
        <v>ŠINKAROVÁ Dáša</v>
      </c>
      <c r="J27" s="116"/>
      <c r="K27" s="57"/>
      <c r="L27" s="60" t="str">
        <f t="shared" si="0"/>
        <v>DP152</v>
      </c>
      <c r="M27" s="52" t="str">
        <f>I27</f>
        <v>ŠINKAROVÁ Dáša</v>
      </c>
      <c r="P27" s="52" t="str">
        <f>IF(('[1]S 4'!$Y144=4),'[1]S 4'!$E144,IF(('[1]S 4'!$Y145=4),'[1]S 4'!$E145,IF(('[1]S 4'!$Y146=4),'[1]S 4'!$E146,IF(('[1]S 4'!$Y147=4),'[1]S 4'!$E147," "))))</f>
        <v xml:space="preserve"> </v>
      </c>
      <c r="R27" s="76"/>
      <c r="V27" s="170"/>
      <c r="W27" s="69"/>
      <c r="X27" s="69"/>
      <c r="Y27" s="69"/>
      <c r="AC27" s="83"/>
      <c r="AD27" s="76"/>
      <c r="AG27" s="69"/>
      <c r="AH27" s="69"/>
      <c r="AI27" s="69"/>
      <c r="AJ27" s="69"/>
      <c r="AK27" s="69"/>
      <c r="BB27" s="76"/>
      <c r="BC27" s="67"/>
      <c r="BD27" s="68"/>
      <c r="BE27" s="69"/>
      <c r="BF27" s="69"/>
      <c r="BG27" s="69"/>
      <c r="BH27" s="69"/>
      <c r="BI27" s="69"/>
      <c r="BJ27" s="68"/>
      <c r="BK27" s="69"/>
      <c r="BL27" s="67"/>
      <c r="BN27" s="56"/>
      <c r="BO27" s="56"/>
      <c r="BR27" s="49"/>
      <c r="BT27" s="63"/>
      <c r="BW27" s="56"/>
      <c r="BX27" s="56"/>
      <c r="BY27" s="56"/>
      <c r="BZ27" s="56"/>
      <c r="CA27" s="56"/>
      <c r="CF27" s="63"/>
      <c r="CI27" s="56"/>
      <c r="CJ27" s="56"/>
      <c r="CK27" s="56"/>
      <c r="CL27" s="56"/>
      <c r="CM27" s="56"/>
    </row>
    <row r="28" spans="1:111" ht="60" customHeight="1" thickBot="1">
      <c r="A28" s="49" t="s">
        <v>175</v>
      </c>
      <c r="B28" s="541">
        <v>2</v>
      </c>
      <c r="C28" s="537" t="s">
        <v>100</v>
      </c>
      <c r="D28" s="538">
        <v>13</v>
      </c>
      <c r="E28" s="107" t="str">
        <f>IF(ISERROR(IF($J$1="n","",IF($J$1="a",VLOOKUP(C28,'poradie v skupinach'!$G$5:$H$37,2),"")))=TRUE,"",IF($J$1="n","",IF($J$1="a",VLOOKUP(C28,'poradie v skupinach'!$G$5:$H$37,2),"")))</f>
        <v>ŠVAJDLENKOVÁ Laura</v>
      </c>
      <c r="F28" s="108" t="str">
        <f>IF(ISERROR(IF($J$1="n","",IF($J$1="a",VLOOKUP(C28,'poradie v skupinach'!$G$5:$I$37,3),"")))=TRUE,"",IF($J$1="n","",IF($J$1="a",VLOOKUP(C28,'poradie v skupinach'!$G$5:$I$37,3),"")))</f>
        <v>MSK MALACKY</v>
      </c>
      <c r="G28" s="109"/>
      <c r="H28" s="139" t="str">
        <f>VLOOKUP($A23,'zapisy k stolom'!$Y$5:$AC$3073,5,0)</f>
        <v>Tbl.: 4   H: 10.00   D: Ne</v>
      </c>
      <c r="I28" s="144" t="str">
        <f>IF(I27="","",VLOOKUP($A23,'zapisy k stolom'!$Y$5:$AC$3073,4,0))</f>
        <v xml:space="preserve">3:2 ( 9,10,-10,-9,9,, ) </v>
      </c>
      <c r="J28" s="110"/>
      <c r="K28" s="57"/>
      <c r="L28" s="60" t="str">
        <f t="shared" si="0"/>
        <v>DP71</v>
      </c>
      <c r="M28" s="52" t="str">
        <f>E28</f>
        <v>ŠVAJDLENKOVÁ Laura</v>
      </c>
      <c r="P28" s="52" t="str">
        <f>IF(('[1]S 4'!$Y150=4),'[1]S 4'!$E150,IF(('[1]S 4'!$Y151=4),'[1]S 4'!$E151,IF(('[1]S 4'!$Y152=4),'[1]S 4'!$E152,IF(('[1]S 4'!$Y153=4),'[1]S 4'!$E153," "))))</f>
        <v xml:space="preserve"> </v>
      </c>
      <c r="BR28" s="49"/>
    </row>
    <row r="29" spans="1:111" ht="60" customHeight="1" thickBot="1">
      <c r="A29" s="49" t="s">
        <v>186</v>
      </c>
      <c r="B29" s="541"/>
      <c r="C29" s="537"/>
      <c r="D29" s="538"/>
      <c r="E29" s="111" t="str">
        <f>VLOOKUP($A28,'zapisy k stolom'!$Y$5:$AC$3073,5,0)</f>
        <v>Tbl.: 7   H: 15.30   D: So</v>
      </c>
      <c r="F29" s="112" t="s">
        <v>140</v>
      </c>
      <c r="G29" s="113" t="str">
        <f>IF(C28="x",E30,IF(C30="x",E28,VLOOKUP($A28,'zapisy k stolom'!$Y$5:$AC$3073,3,0)))</f>
        <v>ŠVAJDLENKOVÁ Laura</v>
      </c>
      <c r="H29" s="109"/>
      <c r="I29" s="116"/>
      <c r="J29" s="110"/>
      <c r="K29" s="57"/>
      <c r="L29" s="60" t="str">
        <f t="shared" si="0"/>
        <v>DP121</v>
      </c>
      <c r="M29" s="52" t="str">
        <f>G29</f>
        <v>ŠVAJDLENKOVÁ Laura</v>
      </c>
      <c r="P29" s="52" t="str">
        <f>IF(('[1]S 4'!$Y156=4),'[1]S 4'!$E156,IF(('[1]S 4'!$Y157=4),'[1]S 4'!$E157,IF(('[1]S 4'!$Y158=4),'[1]S 4'!$E158,IF(('[1]S 4'!$Y159=4),'[1]S 4'!$E159," "))))</f>
        <v xml:space="preserve"> </v>
      </c>
      <c r="R29" s="76"/>
      <c r="S29" s="77"/>
      <c r="Y29" s="533"/>
      <c r="Z29" s="533"/>
      <c r="AA29" s="533"/>
      <c r="AC29" s="83"/>
      <c r="AD29" s="76"/>
      <c r="AE29" s="77"/>
      <c r="AK29" s="533"/>
      <c r="AL29" s="533"/>
      <c r="AM29" s="533"/>
      <c r="AP29" s="76"/>
      <c r="AQ29" s="77"/>
      <c r="AR29" s="68"/>
      <c r="AS29" s="68"/>
      <c r="AT29" s="68"/>
      <c r="AU29" s="68"/>
      <c r="AV29" s="68"/>
      <c r="AW29" s="533"/>
      <c r="AX29" s="533"/>
      <c r="AY29" s="533"/>
      <c r="AZ29" s="67"/>
      <c r="BB29" s="76"/>
      <c r="BC29" s="77"/>
      <c r="BD29" s="68"/>
      <c r="BE29" s="68"/>
      <c r="BF29" s="68"/>
      <c r="BG29" s="68"/>
      <c r="BH29" s="68"/>
      <c r="BI29" s="533"/>
      <c r="BJ29" s="533"/>
      <c r="BK29" s="533"/>
      <c r="BL29" s="67"/>
      <c r="BO29" s="531"/>
      <c r="BP29" s="531"/>
      <c r="BQ29" s="531"/>
      <c r="BR29" s="49">
        <f>IF(BS29="x",0,MAX(BR$5:$BR28)+1)</f>
        <v>7</v>
      </c>
      <c r="BS29" s="57" t="str">
        <f>IF(G29=E28,E30,E28)</f>
        <v>VOJTASOVA Patrícia</v>
      </c>
      <c r="BT29" s="63"/>
      <c r="BU29" s="64"/>
      <c r="CA29" s="531"/>
      <c r="CB29" s="531"/>
      <c r="CC29" s="531"/>
      <c r="CF29" s="63"/>
      <c r="CG29" s="64"/>
      <c r="CM29" s="531"/>
      <c r="CN29" s="531"/>
      <c r="CO29" s="531"/>
    </row>
    <row r="30" spans="1:111" ht="60" customHeight="1" thickBot="1">
      <c r="A30" s="49" t="s">
        <v>176</v>
      </c>
      <c r="B30" s="536">
        <v>3</v>
      </c>
      <c r="C30" s="537" t="s">
        <v>109</v>
      </c>
      <c r="D30" s="538">
        <v>14</v>
      </c>
      <c r="E30" s="108" t="str">
        <f>IF(ISERROR(IF($J$1="n","",IF($J$1="a",VLOOKUP(C30,'poradie v skupinach'!$G$5:$I$37,2),"")))=TRUE,"",IF($J$1="n","",IF($J$1="a",VLOOKUP(C30,'poradie v skupinach'!$G$5:$I$37,2),"")))</f>
        <v>VOJTASOVA Patrícia</v>
      </c>
      <c r="F30" s="114" t="str">
        <f>IF(ISERROR(IF($J$1="n","",IF($J$1="a",VLOOKUP(C30,'poradie v skupinach'!$G$5:$IC$37,3),"")))=TRUE,"",IF($J$1="n","",IF($J$1="a",VLOOKUP(C30,'poradie v skupinach'!$G$5:$I$37,3),"")))</f>
        <v>ZŠ LIETAVSKÁ LÚČKA</v>
      </c>
      <c r="G30" s="115" t="str">
        <f>IF(G29="","",IF(OR(C28="x",C30="x"),"",VLOOKUP($A28,'zapisy k stolom'!$Y$5:$AC$3073,4,0)))</f>
        <v xml:space="preserve">3:0 ( ,4,9,5,,, ) </v>
      </c>
      <c r="H30" s="116"/>
      <c r="I30" s="116"/>
      <c r="L30" s="60" t="str">
        <f t="shared" si="0"/>
        <v>DP72</v>
      </c>
      <c r="M30" s="49" t="str">
        <f>E30</f>
        <v>VOJTASOVA Patrícia</v>
      </c>
      <c r="P30" s="52" t="str">
        <f>IF(('[1]S 4'!$Y162=4),'[1]S 4'!$E162,IF(('[1]S 4'!$Y163=4),'[1]S 4'!$E163,IF(('[1]S 4'!$Y164=4),'[1]S 4'!$E164,IF(('[1]S 4'!$Y165=4),'[1]S 4'!$E165," "))))</f>
        <v xml:space="preserve"> </v>
      </c>
      <c r="R30" s="78"/>
      <c r="V30" s="170"/>
      <c r="W30" s="69"/>
      <c r="X30" s="69"/>
      <c r="Y30" s="69"/>
      <c r="AC30" s="83"/>
      <c r="AD30" s="78"/>
      <c r="AG30" s="69"/>
      <c r="AH30" s="69"/>
      <c r="AI30" s="69"/>
      <c r="AJ30" s="69"/>
      <c r="AK30" s="69"/>
      <c r="AP30" s="78"/>
      <c r="AQ30" s="67"/>
      <c r="AR30" s="68"/>
      <c r="AS30" s="69"/>
      <c r="AT30" s="69"/>
      <c r="AU30" s="69"/>
      <c r="AV30" s="69"/>
      <c r="AW30" s="69"/>
      <c r="AX30" s="68"/>
      <c r="AY30" s="69"/>
      <c r="AZ30" s="67"/>
      <c r="BB30" s="78"/>
      <c r="BC30" s="67"/>
      <c r="BD30" s="68"/>
      <c r="BE30" s="69"/>
      <c r="BF30" s="69"/>
      <c r="BG30" s="69"/>
      <c r="BH30" s="69"/>
      <c r="BI30" s="69"/>
      <c r="BJ30" s="68"/>
      <c r="BK30" s="69"/>
      <c r="BL30" s="67"/>
      <c r="BN30" s="56"/>
      <c r="BO30" s="56"/>
      <c r="BR30" s="49"/>
      <c r="BT30" s="63"/>
      <c r="BW30" s="56"/>
      <c r="BX30" s="56"/>
      <c r="BY30" s="56"/>
      <c r="BZ30" s="56"/>
      <c r="CA30" s="56"/>
      <c r="CF30" s="63"/>
      <c r="CI30" s="56"/>
      <c r="CJ30" s="56"/>
      <c r="CK30" s="56"/>
      <c r="CL30" s="56"/>
      <c r="CM30" s="56"/>
    </row>
    <row r="31" spans="1:111" ht="60" customHeight="1" thickBot="1">
      <c r="A31" s="49" t="s">
        <v>190</v>
      </c>
      <c r="B31" s="536"/>
      <c r="C31" s="537"/>
      <c r="D31" s="538"/>
      <c r="G31" s="117" t="s">
        <v>142</v>
      </c>
      <c r="H31" s="121" t="str">
        <f>VLOOKUP($A29,'zapisy k stolom'!$Y$5:$AC$3073,3,0)</f>
        <v>PEKOVÁ Zuzana</v>
      </c>
      <c r="I31" s="116"/>
      <c r="L31" s="60" t="str">
        <f t="shared" si="0"/>
        <v>DP142</v>
      </c>
      <c r="M31" s="49" t="str">
        <f>H31</f>
        <v>PEKOVÁ Zuzana</v>
      </c>
      <c r="P31" s="52" t="str">
        <f>IF(('[1]S 4'!$Y168=4),'[1]S 4'!$E168,IF(('[1]S 4'!$Y169=4),'[1]S 4'!$E169,IF(('[1]S 4'!$Y170=4),'[1]S 4'!$E170,IF(('[1]S 4'!$Y171=4),'[1]S 4'!$E171," "))))</f>
        <v xml:space="preserve"> </v>
      </c>
      <c r="R31" s="76"/>
      <c r="V31" s="170"/>
      <c r="W31" s="69"/>
      <c r="X31" s="69"/>
      <c r="Y31" s="69"/>
      <c r="AC31" s="83"/>
      <c r="AD31" s="76"/>
      <c r="AG31" s="69"/>
      <c r="AH31" s="69"/>
      <c r="AI31" s="69"/>
      <c r="AJ31" s="69"/>
      <c r="AK31" s="69"/>
      <c r="AP31" s="76"/>
      <c r="AQ31" s="67"/>
      <c r="AR31" s="68"/>
      <c r="AS31" s="69"/>
      <c r="AT31" s="69"/>
      <c r="AU31" s="69"/>
      <c r="AV31" s="69"/>
      <c r="AW31" s="69"/>
      <c r="AX31" s="68"/>
      <c r="AY31" s="69"/>
      <c r="AZ31" s="67"/>
      <c r="BB31" s="76"/>
      <c r="BC31" s="67"/>
      <c r="BD31" s="68"/>
      <c r="BE31" s="69"/>
      <c r="BF31" s="69"/>
      <c r="BG31" s="69"/>
      <c r="BH31" s="69"/>
      <c r="BI31" s="69"/>
      <c r="BJ31" s="68"/>
      <c r="BK31" s="69"/>
      <c r="BL31" s="67"/>
      <c r="BN31" s="56"/>
      <c r="BO31" s="56"/>
      <c r="BR31" s="49"/>
      <c r="BT31" s="72" t="str">
        <f>IF(H31=G29,G33,G29)</f>
        <v>ŠVAJDLENKOVÁ Laura</v>
      </c>
      <c r="BW31" s="56"/>
      <c r="BX31" s="56"/>
      <c r="BY31" s="56"/>
      <c r="BZ31" s="56"/>
      <c r="CA31" s="56"/>
      <c r="CF31" s="63"/>
      <c r="CI31" s="56"/>
      <c r="CJ31" s="56"/>
      <c r="CK31" s="56"/>
      <c r="CL31" s="56"/>
      <c r="CM31" s="56"/>
    </row>
    <row r="32" spans="1:111" ht="60" customHeight="1" thickBot="1">
      <c r="A32" s="49" t="s">
        <v>177</v>
      </c>
      <c r="B32" s="536">
        <v>3</v>
      </c>
      <c r="C32" s="537" t="s">
        <v>93</v>
      </c>
      <c r="D32" s="538">
        <v>15</v>
      </c>
      <c r="E32" s="107" t="str">
        <f>IF(ISERROR(IF($J$1="n","",IF($J$1="a",VLOOKUP(C32,'poradie v skupinach'!$G$5:$H$37,2),"")))=TRUE,"",IF($J$1="n","",IF($J$1="a",VLOOKUP(C32,'poradie v skupinach'!$G$5:$H$37,2),"")))</f>
        <v>HUDÁKOVÁ Ivana</v>
      </c>
      <c r="F32" s="108" t="str">
        <f>IF(ISERROR(IF($J$1="n","",IF($J$1="a",VLOOKUP(C32,'poradie v skupinach'!$G$5:$I$37,3),"")))=TRUE,"",IF($J$1="n","",IF($J$1="a",VLOOKUP(C32,'poradie v skupinach'!$G$5:$I$37,3),"")))</f>
        <v>ZŠ VYŠNÝ ŽIPOV</v>
      </c>
      <c r="G32" s="140" t="str">
        <f>VLOOKUP($A29,'zapisy k stolom'!$Y$5:$AC$3073,5,0)</f>
        <v>Tbl.: 8   H: 16.30   D: So</v>
      </c>
      <c r="H32" s="144" t="str">
        <f>IF(H31="","",VLOOKUP($A29,'zapisy k stolom'!$Y$5:$AC$3073,4,0))</f>
        <v xml:space="preserve">3:0 ( 9,10,6,,,, ) </v>
      </c>
      <c r="I32" s="110"/>
      <c r="L32" s="60" t="str">
        <f t="shared" si="0"/>
        <v>DP81</v>
      </c>
      <c r="M32" s="49" t="str">
        <f>E32</f>
        <v>HUDÁKOVÁ Ivana</v>
      </c>
      <c r="P32" s="52" t="str">
        <f>IF(('[1]S 4'!$Y174=4),'[1]S 4'!$E174,IF(('[1]S 4'!$Y175=4),'[1]S 4'!$E175,IF(('[1]S 4'!$Y176=4),'[1]S 4'!$E176,IF(('[1]S 4'!$Y177=4),'[1]S 4'!$E177," "))))</f>
        <v xml:space="preserve"> </v>
      </c>
      <c r="R32" s="76"/>
      <c r="V32" s="170"/>
      <c r="W32" s="69"/>
      <c r="X32" s="69"/>
      <c r="Y32" s="69"/>
      <c r="AC32" s="83"/>
      <c r="AD32" s="76"/>
      <c r="AG32" s="69"/>
      <c r="AH32" s="69"/>
      <c r="AI32" s="69"/>
      <c r="AJ32" s="69"/>
      <c r="AK32" s="69"/>
      <c r="AP32" s="76"/>
      <c r="AQ32" s="67"/>
      <c r="AR32" s="68"/>
      <c r="AS32" s="69"/>
      <c r="AT32" s="69"/>
      <c r="AU32" s="69"/>
      <c r="AV32" s="69"/>
      <c r="AW32" s="69"/>
      <c r="AX32" s="68"/>
      <c r="AY32" s="69"/>
      <c r="AZ32" s="67"/>
      <c r="BB32" s="76"/>
      <c r="BC32" s="67"/>
      <c r="BD32" s="68"/>
      <c r="BE32" s="69"/>
      <c r="BF32" s="69"/>
      <c r="BG32" s="69"/>
      <c r="BH32" s="69"/>
      <c r="BI32" s="69"/>
      <c r="BJ32" s="68"/>
      <c r="BK32" s="69"/>
      <c r="BL32" s="67"/>
      <c r="BN32" s="56"/>
      <c r="BO32" s="56"/>
      <c r="BR32" s="49"/>
      <c r="BT32" s="63"/>
      <c r="BW32" s="56"/>
      <c r="BX32" s="56"/>
      <c r="BY32" s="56"/>
      <c r="BZ32" s="56"/>
      <c r="CA32" s="56"/>
      <c r="CF32" s="63"/>
      <c r="CI32" s="56"/>
      <c r="CJ32" s="56"/>
      <c r="CK32" s="56"/>
      <c r="CL32" s="56"/>
      <c r="CM32" s="56"/>
    </row>
    <row r="33" spans="1:93" ht="60" customHeight="1" thickBot="1">
      <c r="A33" s="49" t="s">
        <v>185</v>
      </c>
      <c r="B33" s="536"/>
      <c r="C33" s="537"/>
      <c r="D33" s="538"/>
      <c r="E33" s="111" t="str">
        <f>VLOOKUP($A32,'zapisy k stolom'!$Y$5:$AC$3073,5,0)</f>
        <v>Tbl.: 8   H: 15.30   D: So</v>
      </c>
      <c r="F33" s="117" t="s">
        <v>143</v>
      </c>
      <c r="G33" s="121" t="str">
        <f>IF(C32="x",E34,IF(C34="x",E32,VLOOKUP($A32,'zapisy k stolom'!$Y$5:$AC$3073,3,0)))</f>
        <v>PEKOVÁ Zuzana</v>
      </c>
      <c r="H33" s="116"/>
      <c r="I33" s="110"/>
      <c r="L33" s="60" t="str">
        <f t="shared" si="0"/>
        <v>DP122</v>
      </c>
      <c r="M33" s="49" t="str">
        <f>G33</f>
        <v>PEKOVÁ Zuzana</v>
      </c>
      <c r="P33" s="52" t="str">
        <f>IF(('[1]S 4'!$Y180=4),'[1]S 4'!$E180,IF(('[1]S 4'!$Y181=4),'[1]S 4'!$E181,IF(('[1]S 4'!$Y182=4),'[1]S 4'!$E182,IF(('[1]S 4'!$Y183=4),'[1]S 4'!$E183," "))))</f>
        <v xml:space="preserve"> </v>
      </c>
      <c r="R33" s="76"/>
      <c r="V33" s="170"/>
      <c r="W33" s="69"/>
      <c r="X33" s="69"/>
      <c r="Y33" s="69"/>
      <c r="AC33" s="83"/>
      <c r="AD33" s="76"/>
      <c r="AG33" s="69"/>
      <c r="AH33" s="69"/>
      <c r="AI33" s="69"/>
      <c r="AJ33" s="69"/>
      <c r="AK33" s="69"/>
      <c r="AP33" s="76"/>
      <c r="AQ33" s="67"/>
      <c r="AR33" s="68"/>
      <c r="AS33" s="69"/>
      <c r="AT33" s="69"/>
      <c r="AU33" s="69"/>
      <c r="AV33" s="69"/>
      <c r="AW33" s="69"/>
      <c r="AX33" s="68"/>
      <c r="AY33" s="69"/>
      <c r="AZ33" s="67"/>
      <c r="BB33" s="76"/>
      <c r="BC33" s="67"/>
      <c r="BD33" s="68"/>
      <c r="BE33" s="69"/>
      <c r="BF33" s="69"/>
      <c r="BG33" s="69"/>
      <c r="BH33" s="69"/>
      <c r="BI33" s="69"/>
      <c r="BJ33" s="68"/>
      <c r="BK33" s="69"/>
      <c r="BL33" s="67"/>
      <c r="BN33" s="56"/>
      <c r="BO33" s="56"/>
      <c r="BR33" s="49">
        <f>IF(BS33="x",0,MAX(BR$5:$BR32)+1)</f>
        <v>8</v>
      </c>
      <c r="BS33" s="57" t="str">
        <f>IF(G33=E32,E34,E32)</f>
        <v>HUDÁKOVÁ Ivana</v>
      </c>
      <c r="BT33" s="63"/>
      <c r="BW33" s="56"/>
      <c r="BX33" s="56"/>
      <c r="BY33" s="56"/>
      <c r="BZ33" s="56"/>
      <c r="CA33" s="56"/>
      <c r="CF33" s="63"/>
      <c r="CI33" s="56"/>
      <c r="CJ33" s="56"/>
      <c r="CK33" s="56"/>
      <c r="CL33" s="56"/>
      <c r="CM33" s="56"/>
    </row>
    <row r="34" spans="1:93" ht="60" customHeight="1" thickBot="1">
      <c r="A34" s="49" t="s">
        <v>178</v>
      </c>
      <c r="B34" s="539"/>
      <c r="C34" s="543" t="s">
        <v>84</v>
      </c>
      <c r="D34" s="538">
        <v>16</v>
      </c>
      <c r="E34" s="108" t="str">
        <f>IF(ISERROR(IF($J$1="n","",IF($J$1="a",VLOOKUP(C34,'poradie v skupinach'!$G$5:$I$37,2),"")))=TRUE,"",IF($J$1="n","",IF($J$1="a",VLOOKUP(C34,'poradie v skupinach'!$G$5:$I$37,2),"")))</f>
        <v>PEKOVÁ Zuzana</v>
      </c>
      <c r="F34" s="114" t="str">
        <f>IF(ISERROR(IF($J$1="n","",IF($J$1="a",VLOOKUP(C34,'poradie v skupinach'!$G$5:$IC$37,3),"")))=TRUE,"",IF($J$1="n","",IF($J$1="a",VLOOKUP(C34,'poradie v skupinach'!$G$5:$I$37,3),"")))</f>
        <v>KST VIKTÓRIA TRNAVA</v>
      </c>
      <c r="G34" s="144" t="str">
        <f>IF(G33="","",IF(OR(C32="x",C34="x"),"",VLOOKUP($A32,'zapisy k stolom'!$Y$5:$AC$3073,4,0)))</f>
        <v xml:space="preserve">3:0 ( 5,5,6,,,, ) </v>
      </c>
      <c r="H34" s="110"/>
      <c r="I34" s="128"/>
      <c r="L34" s="60" t="str">
        <f t="shared" si="0"/>
        <v>DP82</v>
      </c>
      <c r="M34" s="49" t="str">
        <f>E34</f>
        <v>PEKOVÁ Zuzana</v>
      </c>
      <c r="P34" s="52" t="str">
        <f>IF(('[1]S 4'!$Y186=4),'[1]S 4'!$E186,IF(('[1]S 4'!$Y187=4),'[1]S 4'!$E187,IF(('[1]S 4'!$Y188=4),'[1]S 4'!$E188,IF(('[1]S 4'!$Y189=4),'[1]S 4'!$E189," "))))</f>
        <v xml:space="preserve"> </v>
      </c>
      <c r="AC34" s="83"/>
      <c r="AQ34" s="67"/>
      <c r="AR34" s="68"/>
      <c r="AS34" s="68"/>
      <c r="AT34" s="68"/>
      <c r="AU34" s="68"/>
      <c r="AV34" s="68"/>
      <c r="AW34" s="68"/>
      <c r="AX34" s="68"/>
      <c r="AY34" s="69"/>
      <c r="AZ34" s="67"/>
      <c r="BB34" s="67"/>
      <c r="BC34" s="67"/>
      <c r="BD34" s="68"/>
      <c r="BE34" s="68"/>
      <c r="BF34" s="68"/>
      <c r="BG34" s="68"/>
      <c r="BH34" s="68"/>
      <c r="BI34" s="68"/>
      <c r="BJ34" s="68"/>
      <c r="BK34" s="69"/>
      <c r="BL34" s="67"/>
      <c r="BR34" s="49"/>
    </row>
    <row r="35" spans="1:93" ht="60" customHeight="1">
      <c r="B35" s="539"/>
      <c r="C35" s="543"/>
      <c r="D35" s="538"/>
      <c r="G35" s="106"/>
      <c r="H35" s="110"/>
      <c r="I35" s="128"/>
      <c r="J35" s="128"/>
      <c r="K35" s="79"/>
      <c r="L35" s="60"/>
      <c r="M35" s="52"/>
      <c r="P35" s="52" t="str">
        <f>IF(('[1]S 4'!$Y192=4),'[1]S 4'!$E192,IF(('[1]S 4'!$Y193=4),'[1]S 4'!$E193,IF(('[1]S 4'!$Y194=4),'[1]S 4'!$E194,IF(('[1]S 4'!$Y195=4),'[1]S 4'!$E195," "))))</f>
        <v xml:space="preserve"> </v>
      </c>
      <c r="R35" s="76"/>
      <c r="S35" s="77"/>
      <c r="Y35" s="533"/>
      <c r="Z35" s="533"/>
      <c r="AA35" s="533"/>
      <c r="AC35" s="83"/>
      <c r="AD35" s="76"/>
      <c r="AE35" s="77"/>
      <c r="AK35" s="533"/>
      <c r="AL35" s="533"/>
      <c r="AM35" s="533"/>
      <c r="AP35" s="76"/>
      <c r="AQ35" s="77"/>
      <c r="AR35" s="68"/>
      <c r="AS35" s="68"/>
      <c r="AT35" s="68"/>
      <c r="AU35" s="68"/>
      <c r="AV35" s="68"/>
      <c r="AW35" s="533"/>
      <c r="AX35" s="533"/>
      <c r="AY35" s="533"/>
      <c r="AZ35" s="67"/>
      <c r="BB35" s="76"/>
      <c r="BC35" s="77"/>
      <c r="BD35" s="68"/>
      <c r="BE35" s="68"/>
      <c r="BF35" s="68"/>
      <c r="BG35" s="68"/>
      <c r="BH35" s="68"/>
      <c r="BI35" s="533"/>
      <c r="BJ35" s="533"/>
      <c r="BK35" s="533"/>
      <c r="BL35" s="67"/>
      <c r="BO35" s="531"/>
      <c r="BP35" s="531"/>
      <c r="BQ35" s="531"/>
      <c r="BR35" s="49"/>
      <c r="BT35" s="63"/>
      <c r="BU35" s="64"/>
      <c r="CA35" s="531"/>
      <c r="CB35" s="531"/>
      <c r="CC35" s="531"/>
      <c r="CF35" s="63"/>
      <c r="CG35" s="64"/>
      <c r="CM35" s="531"/>
      <c r="CN35" s="531"/>
      <c r="CO35" s="531"/>
    </row>
    <row r="36" spans="1:93" ht="39.950000000000003" customHeight="1">
      <c r="C36" s="534" t="s">
        <v>120</v>
      </c>
      <c r="D36" s="535"/>
      <c r="F36" s="105"/>
      <c r="G36" s="110"/>
      <c r="H36" s="110"/>
      <c r="I36" s="128"/>
      <c r="J36" s="128"/>
      <c r="K36" s="79"/>
      <c r="L36" s="60"/>
      <c r="M36" s="52"/>
      <c r="P36" s="52" t="str">
        <f>IF(('[1]S 4'!$Y198=4),'[1]S 4'!$E198,IF(('[1]S 4'!$Y199=4),'[1]S 4'!$E199,IF(('[1]S 4'!$Y200=4),'[1]S 4'!$E200,IF(('[1]S 4'!$Y201=4),'[1]S 4'!$E201," "))))</f>
        <v xml:space="preserve"> </v>
      </c>
      <c r="R36" s="76"/>
      <c r="V36" s="170"/>
      <c r="W36" s="69"/>
      <c r="X36" s="69"/>
      <c r="Y36" s="69"/>
      <c r="AC36" s="83"/>
      <c r="AD36" s="76"/>
      <c r="AG36" s="69"/>
      <c r="AH36" s="69"/>
      <c r="AI36" s="69"/>
      <c r="AJ36" s="69"/>
      <c r="AK36" s="69"/>
      <c r="AP36" s="76"/>
      <c r="AQ36" s="67"/>
      <c r="AR36" s="68"/>
      <c r="AS36" s="69"/>
      <c r="AT36" s="69"/>
      <c r="AU36" s="69"/>
      <c r="AV36" s="69"/>
      <c r="AW36" s="69"/>
      <c r="AX36" s="68"/>
      <c r="AY36" s="69"/>
      <c r="AZ36" s="67"/>
      <c r="BB36" s="76"/>
      <c r="BC36" s="67"/>
      <c r="BD36" s="68"/>
      <c r="BE36" s="69"/>
      <c r="BF36" s="69"/>
      <c r="BG36" s="69"/>
      <c r="BH36" s="69"/>
      <c r="BI36" s="69"/>
      <c r="BJ36" s="68"/>
      <c r="BK36" s="69"/>
      <c r="BL36" s="67"/>
      <c r="BN36" s="56"/>
      <c r="BO36" s="56"/>
      <c r="BR36" s="49"/>
      <c r="BT36" s="63"/>
      <c r="BW36" s="56"/>
      <c r="BX36" s="56"/>
      <c r="BY36" s="56"/>
      <c r="BZ36" s="56"/>
      <c r="CA36" s="56"/>
      <c r="CF36" s="63"/>
      <c r="CI36" s="56"/>
      <c r="CJ36" s="56"/>
      <c r="CK36" s="56"/>
      <c r="CL36" s="56"/>
      <c r="CM36" s="56"/>
    </row>
    <row r="37" spans="1:93" ht="39.950000000000003" customHeight="1">
      <c r="C37" s="534"/>
      <c r="D37" s="535"/>
      <c r="G37" s="106"/>
      <c r="H37" s="110"/>
      <c r="I37" s="128"/>
      <c r="J37" s="128"/>
      <c r="K37" s="79"/>
      <c r="L37" s="60"/>
      <c r="M37" s="52"/>
      <c r="P37" s="52" t="str">
        <f>IF(('[1]S 4'!$Y204=4),'[1]S 4'!$E204,IF(('[1]S 4'!$Y205=4),'[1]S 4'!$E205,IF(('[1]S 4'!$Y206=4),'[1]S 4'!$E206,IF(('[1]S 4'!$Y207=4),'[1]S 4'!$E207," "))))</f>
        <v xml:space="preserve"> </v>
      </c>
      <c r="R37" s="76"/>
      <c r="V37" s="170"/>
      <c r="W37" s="69"/>
      <c r="X37" s="69"/>
      <c r="Y37" s="69"/>
      <c r="AC37" s="83"/>
      <c r="AD37" s="76"/>
      <c r="AG37" s="69"/>
      <c r="AH37" s="69"/>
      <c r="AI37" s="69"/>
      <c r="AJ37" s="69"/>
      <c r="AK37" s="69"/>
      <c r="AP37" s="76"/>
      <c r="AQ37" s="67"/>
      <c r="AR37" s="68"/>
      <c r="AS37" s="69"/>
      <c r="AT37" s="69"/>
      <c r="AU37" s="69"/>
      <c r="AV37" s="69"/>
      <c r="AW37" s="69"/>
      <c r="AX37" s="68"/>
      <c r="AY37" s="69"/>
      <c r="AZ37" s="67"/>
      <c r="BB37" s="76"/>
      <c r="BC37" s="67"/>
      <c r="BD37" s="68"/>
      <c r="BE37" s="69"/>
      <c r="BF37" s="69"/>
      <c r="BG37" s="69"/>
      <c r="BH37" s="69"/>
      <c r="BI37" s="69"/>
      <c r="BJ37" s="68"/>
      <c r="BK37" s="69"/>
      <c r="BL37" s="67"/>
      <c r="BN37" s="56"/>
      <c r="BO37" s="56"/>
      <c r="BR37" s="49"/>
      <c r="BT37" s="63"/>
      <c r="BW37" s="56"/>
      <c r="BX37" s="56"/>
      <c r="BY37" s="56"/>
      <c r="BZ37" s="56"/>
      <c r="CA37" s="56"/>
      <c r="CF37" s="63"/>
      <c r="CI37" s="56"/>
      <c r="CJ37" s="56"/>
      <c r="CK37" s="56"/>
      <c r="CL37" s="56"/>
      <c r="CM37" s="56"/>
    </row>
    <row r="38" spans="1:93" ht="39.950000000000003" customHeight="1">
      <c r="C38" s="534"/>
      <c r="D38" s="535"/>
      <c r="H38" s="105"/>
      <c r="I38" s="129"/>
      <c r="J38" s="129"/>
      <c r="K38" s="80"/>
      <c r="L38" s="60"/>
      <c r="M38" s="52"/>
      <c r="P38" s="52" t="str">
        <f>IF(('[1]S 4'!$Y210=4),'[1]S 4'!$E210,IF(('[1]S 4'!$Y211=4),'[1]S 4'!$E211,IF(('[1]S 4'!$Y212=4),'[1]S 4'!$E212,IF(('[1]S 4'!$Y213=4),'[1]S 4'!$E213," "))))</f>
        <v xml:space="preserve"> </v>
      </c>
      <c r="R38" s="76"/>
      <c r="V38" s="170"/>
      <c r="W38" s="69"/>
      <c r="X38" s="69"/>
      <c r="Y38" s="69"/>
      <c r="AC38" s="83"/>
      <c r="AD38" s="76"/>
      <c r="AG38" s="69"/>
      <c r="AH38" s="69"/>
      <c r="AI38" s="69"/>
      <c r="AJ38" s="69"/>
      <c r="AK38" s="69"/>
      <c r="AP38" s="76"/>
      <c r="AQ38" s="67"/>
      <c r="AR38" s="68"/>
      <c r="AS38" s="69"/>
      <c r="AT38" s="69"/>
      <c r="AU38" s="69"/>
      <c r="AV38" s="69"/>
      <c r="AW38" s="69"/>
      <c r="AX38" s="68"/>
      <c r="AY38" s="69"/>
      <c r="AZ38" s="67"/>
      <c r="BB38" s="76"/>
      <c r="BC38" s="67"/>
      <c r="BD38" s="68"/>
      <c r="BE38" s="69"/>
      <c r="BF38" s="69"/>
      <c r="BG38" s="69"/>
      <c r="BH38" s="69"/>
      <c r="BI38" s="69"/>
      <c r="BJ38" s="68"/>
      <c r="BK38" s="69"/>
      <c r="BL38" s="67"/>
      <c r="BN38" s="56"/>
      <c r="BO38" s="56"/>
      <c r="BR38" s="49"/>
      <c r="BT38" s="63"/>
      <c r="BW38" s="56"/>
      <c r="BX38" s="56"/>
      <c r="BY38" s="56"/>
      <c r="BZ38" s="56"/>
      <c r="CA38" s="56"/>
      <c r="CF38" s="63"/>
      <c r="CI38" s="56"/>
      <c r="CJ38" s="56"/>
      <c r="CK38" s="56"/>
      <c r="CL38" s="56"/>
      <c r="CM38" s="56"/>
    </row>
    <row r="39" spans="1:93" ht="39.950000000000003" customHeight="1">
      <c r="C39" s="534"/>
      <c r="D39" s="535"/>
      <c r="H39" s="105"/>
      <c r="I39" s="129"/>
      <c r="J39" s="129"/>
      <c r="K39" s="80"/>
      <c r="L39" s="60"/>
      <c r="M39" s="52"/>
      <c r="P39" s="52" t="str">
        <f>IF(('[1]S 4'!$Y216=4),'[1]S 4'!$E216,IF(('[1]S 4'!$Y217=4),'[1]S 4'!$E217,IF(('[1]S 4'!$Y218=4),'[1]S 4'!$E218,IF(('[1]S 4'!$Y219=4),'[1]S 4'!$E219," "))))</f>
        <v xml:space="preserve"> </v>
      </c>
      <c r="R39" s="76"/>
      <c r="V39" s="170"/>
      <c r="W39" s="69"/>
      <c r="X39" s="69"/>
      <c r="Y39" s="69"/>
      <c r="AC39" s="83"/>
      <c r="AD39" s="76"/>
      <c r="AG39" s="69"/>
      <c r="AH39" s="69"/>
      <c r="AI39" s="69"/>
      <c r="AJ39" s="69"/>
      <c r="AK39" s="69"/>
      <c r="AP39" s="76"/>
      <c r="AQ39" s="67"/>
      <c r="AR39" s="68"/>
      <c r="AS39" s="69"/>
      <c r="AT39" s="69"/>
      <c r="AU39" s="69"/>
      <c r="AV39" s="69"/>
      <c r="AW39" s="69"/>
      <c r="AX39" s="68"/>
      <c r="AY39" s="69"/>
      <c r="AZ39" s="67"/>
      <c r="BB39" s="76"/>
      <c r="BC39" s="67"/>
      <c r="BD39" s="68"/>
      <c r="BE39" s="69"/>
      <c r="BF39" s="69"/>
      <c r="BG39" s="69"/>
      <c r="BH39" s="69"/>
      <c r="BI39" s="69"/>
      <c r="BJ39" s="68"/>
      <c r="BK39" s="69"/>
      <c r="BL39" s="67"/>
      <c r="BN39" s="56"/>
      <c r="BO39" s="56"/>
      <c r="BR39" s="49"/>
      <c r="BT39" s="63"/>
      <c r="BW39" s="56"/>
      <c r="BX39" s="56"/>
      <c r="BY39" s="56"/>
      <c r="BZ39" s="56"/>
      <c r="CA39" s="56"/>
      <c r="CF39" s="63"/>
      <c r="CI39" s="56"/>
      <c r="CJ39" s="56"/>
      <c r="CK39" s="56"/>
      <c r="CL39" s="56"/>
      <c r="CM39" s="56"/>
    </row>
    <row r="40" spans="1:93" ht="39.950000000000003" customHeight="1">
      <c r="C40" s="534"/>
      <c r="D40" s="535"/>
      <c r="H40" s="105"/>
      <c r="I40" s="129"/>
      <c r="J40" s="129"/>
      <c r="K40" s="80"/>
      <c r="L40" s="60"/>
      <c r="M40" s="52"/>
      <c r="P40" s="52" t="str">
        <f>IF(('[1]S 4'!$Y222=4),'[1]S 4'!$E222,IF(('[1]S 4'!$Y223=4),'[1]S 4'!$E223,IF(('[1]S 4'!$Y224=4),'[1]S 4'!$E224,IF(('[1]S 4'!$Y225=4),'[1]S 4'!$E225," "))))</f>
        <v xml:space="preserve"> </v>
      </c>
      <c r="AC40" s="83"/>
      <c r="AQ40" s="67"/>
      <c r="AR40" s="68"/>
      <c r="AS40" s="68"/>
      <c r="AT40" s="68"/>
      <c r="AU40" s="68"/>
      <c r="AV40" s="68"/>
      <c r="AW40" s="68"/>
      <c r="AX40" s="68"/>
      <c r="AY40" s="69"/>
      <c r="AZ40" s="67"/>
      <c r="BB40" s="67"/>
      <c r="BC40" s="67"/>
      <c r="BD40" s="68"/>
      <c r="BE40" s="68"/>
      <c r="BF40" s="68"/>
      <c r="BG40" s="68"/>
      <c r="BH40" s="68"/>
      <c r="BI40" s="68"/>
      <c r="BJ40" s="68"/>
      <c r="BK40" s="69"/>
      <c r="BL40" s="67"/>
      <c r="BR40" s="49"/>
    </row>
    <row r="41" spans="1:93" ht="39.950000000000003" customHeight="1">
      <c r="C41" s="534"/>
      <c r="D41" s="535"/>
      <c r="G41" s="105"/>
      <c r="H41" s="105"/>
      <c r="I41" s="129"/>
      <c r="J41" s="129"/>
      <c r="K41" s="80"/>
      <c r="L41" s="60"/>
      <c r="M41" s="52"/>
      <c r="P41" s="52" t="str">
        <f>IF(('[1]S 4'!$Y228=4),'[1]S 4'!$E228,IF(('[1]S 4'!$Y229=4),'[1]S 4'!$E229,IF(('[1]S 4'!$Y230=4),'[1]S 4'!$E230,IF(('[1]S 4'!$Y231=4),'[1]S 4'!$E231," "))))</f>
        <v xml:space="preserve"> </v>
      </c>
      <c r="R41" s="76"/>
      <c r="S41" s="77"/>
      <c r="Y41" s="533"/>
      <c r="Z41" s="533"/>
      <c r="AA41" s="533"/>
      <c r="AC41" s="83"/>
      <c r="AD41" s="76"/>
      <c r="AE41" s="77"/>
      <c r="AK41" s="533"/>
      <c r="AL41" s="533"/>
      <c r="AM41" s="533"/>
      <c r="AP41" s="76"/>
      <c r="AQ41" s="77"/>
      <c r="AR41" s="68"/>
      <c r="AS41" s="68"/>
      <c r="AT41" s="68"/>
      <c r="AU41" s="68"/>
      <c r="AV41" s="68"/>
      <c r="AW41" s="533"/>
      <c r="AX41" s="533"/>
      <c r="AY41" s="533"/>
      <c r="AZ41" s="67"/>
      <c r="BB41" s="76"/>
      <c r="BC41" s="77"/>
      <c r="BD41" s="68"/>
      <c r="BE41" s="68"/>
      <c r="BF41" s="68"/>
      <c r="BG41" s="68"/>
      <c r="BH41" s="68"/>
      <c r="BI41" s="533"/>
      <c r="BJ41" s="533"/>
      <c r="BK41" s="533"/>
      <c r="BL41" s="67"/>
      <c r="BO41" s="531"/>
      <c r="BP41" s="531"/>
      <c r="BQ41" s="531"/>
      <c r="BR41" s="49"/>
      <c r="BT41" s="63"/>
      <c r="BU41" s="64"/>
      <c r="CA41" s="531"/>
      <c r="CB41" s="531"/>
      <c r="CC41" s="531"/>
      <c r="CF41" s="63"/>
      <c r="CG41" s="64"/>
      <c r="CM41" s="531"/>
      <c r="CN41" s="531"/>
      <c r="CO41" s="531"/>
    </row>
    <row r="42" spans="1:93" ht="39.950000000000003" customHeight="1">
      <c r="C42" s="534"/>
      <c r="D42" s="535"/>
      <c r="F42" s="130" t="s">
        <v>122</v>
      </c>
      <c r="G42" s="130" t="s">
        <v>123</v>
      </c>
      <c r="H42" s="105"/>
      <c r="I42" s="105"/>
      <c r="J42" s="105"/>
      <c r="K42" s="52"/>
      <c r="L42" s="60"/>
      <c r="M42" s="52"/>
      <c r="P42" s="52" t="str">
        <f>IF(('[1]S 4'!$Y234=4),'[1]S 4'!$E234,IF(('[1]S 4'!$Y235=4),'[1]S 4'!$E235,IF(('[1]S 4'!$Y236=4),'[1]S 4'!$E236,IF(('[1]S 4'!$Y237=4),'[1]S 4'!$E237," "))))</f>
        <v xml:space="preserve"> </v>
      </c>
      <c r="R42" s="76"/>
      <c r="V42" s="170"/>
      <c r="W42" s="69"/>
      <c r="X42" s="69"/>
      <c r="Y42" s="69"/>
      <c r="AC42" s="83"/>
      <c r="AD42" s="78"/>
      <c r="AG42" s="69"/>
      <c r="AH42" s="69"/>
      <c r="AI42" s="69"/>
      <c r="AJ42" s="69"/>
      <c r="AK42" s="69"/>
      <c r="AP42" s="76"/>
      <c r="AQ42" s="67"/>
      <c r="AR42" s="68"/>
      <c r="AS42" s="69"/>
      <c r="AT42" s="69"/>
      <c r="AU42" s="69"/>
      <c r="AV42" s="69"/>
      <c r="AW42" s="69"/>
      <c r="AX42" s="68"/>
      <c r="AY42" s="69"/>
      <c r="AZ42" s="67"/>
      <c r="BB42" s="76"/>
      <c r="BC42" s="67"/>
      <c r="BD42" s="68"/>
      <c r="BE42" s="69"/>
      <c r="BF42" s="69"/>
      <c r="BG42" s="69"/>
      <c r="BH42" s="69"/>
      <c r="BI42" s="69"/>
      <c r="BJ42" s="68"/>
      <c r="BK42" s="69"/>
      <c r="BL42" s="67"/>
      <c r="BN42" s="56"/>
      <c r="BO42" s="56"/>
      <c r="BR42" s="49"/>
      <c r="BT42" s="63"/>
      <c r="BW42" s="56"/>
      <c r="BX42" s="56"/>
      <c r="BY42" s="56"/>
      <c r="BZ42" s="56"/>
      <c r="CA42" s="56"/>
      <c r="CF42" s="63"/>
      <c r="CI42" s="56"/>
      <c r="CJ42" s="56"/>
      <c r="CK42" s="56"/>
      <c r="CL42" s="56"/>
      <c r="CM42" s="56"/>
    </row>
    <row r="43" spans="1:93" ht="39.950000000000003" customHeight="1">
      <c r="C43" s="534"/>
      <c r="D43" s="535"/>
      <c r="F43" s="131" t="s">
        <v>124</v>
      </c>
      <c r="G43" s="132" t="s">
        <v>125</v>
      </c>
      <c r="H43" s="105"/>
      <c r="I43" s="105"/>
      <c r="J43" s="110"/>
      <c r="K43" s="71"/>
      <c r="L43" s="60"/>
      <c r="M43" s="52"/>
      <c r="P43" s="52" t="str">
        <f>IF(('[1]S 4'!$Y240=4),'[1]S 4'!$E240,IF(('[1]S 4'!$Y241=4),'[1]S 4'!$E241,IF(('[1]S 4'!$Y242=4),'[1]S 4'!$E242,IF(('[1]S 4'!$Y243=4),'[1]S 4'!$E243," "))))</f>
        <v xml:space="preserve"> </v>
      </c>
      <c r="R43" s="76"/>
      <c r="V43" s="170"/>
      <c r="W43" s="69"/>
      <c r="X43" s="69"/>
      <c r="Y43" s="69"/>
      <c r="AC43" s="83"/>
      <c r="AD43" s="76"/>
      <c r="AG43" s="69"/>
      <c r="AH43" s="69"/>
      <c r="AI43" s="69"/>
      <c r="AJ43" s="69"/>
      <c r="AK43" s="69"/>
      <c r="AP43" s="76"/>
      <c r="AQ43" s="67"/>
      <c r="AR43" s="68"/>
      <c r="AS43" s="69"/>
      <c r="AT43" s="69"/>
      <c r="AU43" s="69"/>
      <c r="AV43" s="69"/>
      <c r="AW43" s="69"/>
      <c r="AX43" s="68"/>
      <c r="AY43" s="69"/>
      <c r="AZ43" s="67"/>
      <c r="BB43" s="76"/>
      <c r="BC43" s="67"/>
      <c r="BD43" s="68"/>
      <c r="BE43" s="69"/>
      <c r="BF43" s="69"/>
      <c r="BG43" s="69"/>
      <c r="BH43" s="69"/>
      <c r="BI43" s="69"/>
      <c r="BJ43" s="68"/>
      <c r="BK43" s="69"/>
      <c r="BL43" s="67"/>
      <c r="BN43" s="56"/>
      <c r="BO43" s="56"/>
      <c r="BR43" s="49"/>
      <c r="BT43" s="63"/>
      <c r="BW43" s="56"/>
      <c r="BX43" s="56"/>
      <c r="BY43" s="56"/>
      <c r="BZ43" s="56"/>
      <c r="CA43" s="56"/>
      <c r="CF43" s="63"/>
      <c r="CI43" s="56"/>
      <c r="CJ43" s="56"/>
      <c r="CK43" s="56"/>
      <c r="CL43" s="56"/>
      <c r="CM43" s="56"/>
    </row>
    <row r="44" spans="1:93" ht="39.950000000000003" customHeight="1">
      <c r="C44" s="534"/>
      <c r="D44" s="535"/>
      <c r="F44" s="133" t="s">
        <v>126</v>
      </c>
      <c r="G44" s="133" t="s">
        <v>127</v>
      </c>
      <c r="H44" s="105"/>
      <c r="I44" s="105"/>
      <c r="J44" s="110"/>
      <c r="K44" s="57"/>
      <c r="L44" s="60"/>
      <c r="M44" s="52"/>
      <c r="P44" s="52" t="str">
        <f>IF(('[1]S 4'!$Y246=4),'[1]S 4'!$E246,IF(('[1]S 4'!$Y247=4),'[1]S 4'!$E247,IF(('[1]S 4'!$Y248=4),'[1]S 4'!$E248,IF(('[1]S 4'!$Y249=4),'[1]S 4'!$E249," "))))</f>
        <v xml:space="preserve"> </v>
      </c>
      <c r="R44" s="76"/>
      <c r="V44" s="170"/>
      <c r="W44" s="69"/>
      <c r="X44" s="69"/>
      <c r="Y44" s="69"/>
      <c r="AC44" s="83"/>
      <c r="AD44" s="76"/>
      <c r="AG44" s="69"/>
      <c r="AH44" s="69"/>
      <c r="AI44" s="69"/>
      <c r="AJ44" s="69"/>
      <c r="AK44" s="69"/>
      <c r="AP44" s="76"/>
      <c r="AQ44" s="67"/>
      <c r="AR44" s="68"/>
      <c r="AS44" s="69"/>
      <c r="AT44" s="69"/>
      <c r="AU44" s="69"/>
      <c r="AV44" s="69"/>
      <c r="AW44" s="69"/>
      <c r="AX44" s="68"/>
      <c r="AY44" s="69"/>
      <c r="AZ44" s="67"/>
      <c r="BB44" s="76"/>
      <c r="BC44" s="67"/>
      <c r="BD44" s="68"/>
      <c r="BE44" s="69"/>
      <c r="BF44" s="69"/>
      <c r="BG44" s="69"/>
      <c r="BH44" s="69"/>
      <c r="BI44" s="69"/>
      <c r="BJ44" s="68"/>
      <c r="BK44" s="69"/>
      <c r="BL44" s="67"/>
      <c r="BN44" s="56"/>
      <c r="BO44" s="56"/>
      <c r="BR44" s="49"/>
      <c r="BT44" s="63"/>
      <c r="BW44" s="56"/>
      <c r="BX44" s="56"/>
      <c r="BY44" s="56"/>
      <c r="BZ44" s="56"/>
      <c r="CA44" s="56"/>
      <c r="CF44" s="63"/>
      <c r="CI44" s="56"/>
      <c r="CJ44" s="56"/>
      <c r="CK44" s="56"/>
      <c r="CL44" s="56"/>
      <c r="CM44" s="56"/>
    </row>
    <row r="45" spans="1:93" ht="39.950000000000003" customHeight="1">
      <c r="C45" s="534"/>
      <c r="D45" s="535"/>
      <c r="F45" s="105"/>
      <c r="G45" s="105"/>
      <c r="H45" s="105"/>
      <c r="I45" s="105"/>
      <c r="J45" s="110"/>
      <c r="K45" s="57"/>
      <c r="L45" s="60"/>
      <c r="M45" s="52"/>
      <c r="P45" s="52" t="str">
        <f>IF(('[1]S 4'!$Y252=4),'[1]S 4'!$E252,IF(('[1]S 4'!$Y253=4),'[1]S 4'!$E253,IF(('[1]S 4'!$Y254=4),'[1]S 4'!$E254,IF(('[1]S 4'!$Y255=4),'[1]S 4'!$E255," "))))</f>
        <v xml:space="preserve"> </v>
      </c>
      <c r="R45" s="76"/>
      <c r="V45" s="170"/>
      <c r="W45" s="69"/>
      <c r="X45" s="69"/>
      <c r="Y45" s="69"/>
      <c r="AC45" s="83"/>
      <c r="AD45" s="76"/>
      <c r="AG45" s="69"/>
      <c r="AH45" s="69"/>
      <c r="AI45" s="69"/>
      <c r="AJ45" s="69"/>
      <c r="AK45" s="69"/>
      <c r="AP45" s="76"/>
      <c r="AQ45" s="67"/>
      <c r="AR45" s="68"/>
      <c r="AS45" s="69"/>
      <c r="AT45" s="69"/>
      <c r="AU45" s="69"/>
      <c r="AV45" s="69"/>
      <c r="AW45" s="69"/>
      <c r="AX45" s="68"/>
      <c r="AY45" s="69"/>
      <c r="AZ45" s="67"/>
      <c r="BB45" s="76"/>
      <c r="BC45" s="67"/>
      <c r="BD45" s="68"/>
      <c r="BE45" s="69"/>
      <c r="BF45" s="69"/>
      <c r="BG45" s="69"/>
      <c r="BH45" s="69"/>
      <c r="BI45" s="69"/>
      <c r="BJ45" s="68"/>
      <c r="BK45" s="69"/>
      <c r="BL45" s="67"/>
      <c r="BN45" s="56"/>
      <c r="BO45" s="56"/>
      <c r="BR45" s="49"/>
      <c r="BT45" s="63"/>
      <c r="BW45" s="56"/>
      <c r="BX45" s="56"/>
      <c r="BY45" s="56"/>
      <c r="BZ45" s="56"/>
      <c r="CA45" s="56"/>
      <c r="CF45" s="63"/>
      <c r="CI45" s="56"/>
      <c r="CJ45" s="56"/>
      <c r="CK45" s="56"/>
      <c r="CL45" s="56"/>
      <c r="CM45" s="56"/>
    </row>
    <row r="46" spans="1:93" ht="39.950000000000003" customHeight="1">
      <c r="C46" s="534"/>
      <c r="D46" s="535"/>
      <c r="F46" s="105"/>
      <c r="G46" s="105"/>
      <c r="H46" s="105"/>
      <c r="I46" s="105"/>
      <c r="J46" s="110"/>
      <c r="K46" s="57"/>
      <c r="L46" s="60"/>
      <c r="M46" s="52"/>
      <c r="P46" s="52" t="str">
        <f>IF(('[1]S 4'!$Y258=4),'[1]S 4'!$E258,IF(('[1]S 4'!$Y259=4),'[1]S 4'!$E259,IF(('[1]S 4'!$Y260=4),'[1]S 4'!$E260,IF(('[1]S 4'!$Y261=4),'[1]S 4'!$E261," "))))</f>
        <v xml:space="preserve"> </v>
      </c>
      <c r="AC46" s="83"/>
      <c r="AQ46" s="67"/>
      <c r="AR46" s="68"/>
      <c r="AS46" s="68"/>
      <c r="AT46" s="68"/>
      <c r="AU46" s="68"/>
      <c r="AV46" s="68"/>
      <c r="AW46" s="68"/>
      <c r="AX46" s="68"/>
      <c r="AY46" s="69"/>
      <c r="AZ46" s="67"/>
      <c r="BB46" s="67"/>
      <c r="BC46" s="67"/>
      <c r="BD46" s="68"/>
      <c r="BE46" s="68"/>
      <c r="BF46" s="68"/>
      <c r="BG46" s="68"/>
      <c r="BH46" s="68"/>
      <c r="BI46" s="68"/>
      <c r="BJ46" s="68"/>
      <c r="BK46" s="69"/>
      <c r="BL46" s="67"/>
      <c r="BR46" s="49"/>
    </row>
    <row r="47" spans="1:93" ht="39.950000000000003" customHeight="1">
      <c r="C47" s="534"/>
      <c r="D47" s="535"/>
      <c r="F47" s="105"/>
      <c r="G47" s="105"/>
      <c r="H47" s="105"/>
      <c r="I47" s="105"/>
      <c r="J47" s="110"/>
      <c r="K47" s="57"/>
      <c r="L47" s="60"/>
      <c r="M47" s="52"/>
      <c r="P47" s="52" t="str">
        <f>IF(('[1]S 4'!$Y264=4),'[1]S 4'!$E264,IF(('[1]S 4'!$Y265=4),'[1]S 4'!$E265,IF(('[1]S 4'!$Y266=4),'[1]S 4'!$E266,IF(('[1]S 4'!$Y267=4),'[1]S 4'!$E267," "))))</f>
        <v xml:space="preserve"> </v>
      </c>
      <c r="R47" s="76"/>
      <c r="S47" s="77"/>
      <c r="Y47" s="533"/>
      <c r="Z47" s="533"/>
      <c r="AA47" s="533"/>
      <c r="AC47" s="83"/>
      <c r="AD47" s="76"/>
      <c r="AE47" s="77"/>
      <c r="AK47" s="533"/>
      <c r="AL47" s="533"/>
      <c r="AM47" s="533"/>
      <c r="AP47" s="76"/>
      <c r="AQ47" s="77"/>
      <c r="AR47" s="68"/>
      <c r="AS47" s="68"/>
      <c r="AT47" s="68"/>
      <c r="AU47" s="68"/>
      <c r="AV47" s="68"/>
      <c r="AW47" s="533"/>
      <c r="AX47" s="533"/>
      <c r="AY47" s="533"/>
      <c r="AZ47" s="67"/>
      <c r="BB47" s="76"/>
      <c r="BC47" s="77"/>
      <c r="BD47" s="68"/>
      <c r="BE47" s="68"/>
      <c r="BF47" s="68"/>
      <c r="BG47" s="68"/>
      <c r="BH47" s="68"/>
      <c r="BI47" s="533"/>
      <c r="BJ47" s="533"/>
      <c r="BK47" s="533"/>
      <c r="BL47" s="67"/>
      <c r="BO47" s="531"/>
      <c r="BP47" s="531"/>
      <c r="BQ47" s="531"/>
      <c r="BR47" s="49"/>
      <c r="BT47" s="63"/>
      <c r="BU47" s="64"/>
      <c r="CA47" s="531"/>
      <c r="CB47" s="531"/>
      <c r="CC47" s="531"/>
      <c r="CF47" s="63"/>
      <c r="CG47" s="64"/>
      <c r="CM47" s="531"/>
      <c r="CN47" s="531"/>
      <c r="CO47" s="531"/>
    </row>
    <row r="48" spans="1:93" ht="39.950000000000003" customHeight="1">
      <c r="C48" s="534"/>
      <c r="D48" s="535"/>
      <c r="F48" s="105"/>
      <c r="G48" s="105"/>
      <c r="H48" s="105"/>
      <c r="I48" s="105"/>
      <c r="J48" s="105"/>
      <c r="K48" s="52"/>
      <c r="L48" s="60"/>
      <c r="M48" s="52"/>
      <c r="P48" s="52" t="str">
        <f>IF(('[1]S 4'!$Y270=4),'[1]S 4'!$E270,IF(('[1]S 4'!$Y271=4),'[1]S 4'!$E271,IF(('[1]S 4'!$Y272=4),'[1]S 4'!$E272,IF(('[1]S 4'!$Y273=4),'[1]S 4'!$E273," "))))</f>
        <v xml:space="preserve"> </v>
      </c>
      <c r="R48" s="76"/>
      <c r="V48" s="170"/>
      <c r="W48" s="69"/>
      <c r="X48" s="69"/>
      <c r="Y48" s="69"/>
      <c r="AC48" s="83"/>
      <c r="AD48" s="76"/>
      <c r="AG48" s="69"/>
      <c r="AH48" s="69"/>
      <c r="AI48" s="69"/>
      <c r="AJ48" s="69"/>
      <c r="AK48" s="69"/>
      <c r="AP48" s="76"/>
      <c r="AQ48" s="67"/>
      <c r="AR48" s="68"/>
      <c r="AS48" s="69"/>
      <c r="AT48" s="69"/>
      <c r="AU48" s="69"/>
      <c r="AV48" s="69"/>
      <c r="AW48" s="69"/>
      <c r="AX48" s="68"/>
      <c r="AY48" s="69"/>
      <c r="AZ48" s="67"/>
      <c r="BB48" s="76"/>
      <c r="BC48" s="67"/>
      <c r="BD48" s="68"/>
      <c r="BE48" s="69"/>
      <c r="BF48" s="69"/>
      <c r="BG48" s="69"/>
      <c r="BH48" s="69"/>
      <c r="BI48" s="69"/>
      <c r="BJ48" s="68"/>
      <c r="BK48" s="69"/>
      <c r="BL48" s="67"/>
      <c r="BN48" s="56"/>
      <c r="BO48" s="56"/>
      <c r="BR48" s="49"/>
      <c r="BT48" s="63"/>
      <c r="BW48" s="56"/>
      <c r="BX48" s="56"/>
      <c r="BY48" s="56"/>
      <c r="BZ48" s="56"/>
      <c r="CA48" s="56"/>
      <c r="CF48" s="63"/>
      <c r="CI48" s="56"/>
      <c r="CJ48" s="56"/>
      <c r="CK48" s="56"/>
      <c r="CL48" s="56"/>
      <c r="CM48" s="56"/>
    </row>
    <row r="49" spans="3:93" ht="39.950000000000003" customHeight="1">
      <c r="C49" s="534"/>
      <c r="D49" s="535"/>
      <c r="F49" s="105"/>
      <c r="G49" s="105"/>
      <c r="H49" s="105"/>
      <c r="I49" s="105"/>
      <c r="J49" s="105"/>
      <c r="K49" s="52"/>
      <c r="P49" s="52" t="str">
        <f>IF(('[1]S 4'!$Y276=4),'[1]S 4'!$E276,IF(('[1]S 4'!$Y277=4),'[1]S 4'!$E277,IF(('[1]S 4'!$Y278=4),'[1]S 4'!$E278,IF(('[1]S 4'!$Y279=4),'[1]S 4'!$E279," "))))</f>
        <v xml:space="preserve"> </v>
      </c>
      <c r="R49" s="76"/>
      <c r="V49" s="170"/>
      <c r="W49" s="69"/>
      <c r="X49" s="69"/>
      <c r="Y49" s="69"/>
      <c r="AC49" s="83"/>
      <c r="AD49" s="76"/>
      <c r="AG49" s="69"/>
      <c r="AH49" s="69"/>
      <c r="AI49" s="69"/>
      <c r="AJ49" s="69"/>
      <c r="AK49" s="69"/>
      <c r="AP49" s="76"/>
      <c r="AQ49" s="67"/>
      <c r="AR49" s="68"/>
      <c r="AS49" s="69"/>
      <c r="AT49" s="69"/>
      <c r="AU49" s="69"/>
      <c r="AV49" s="69"/>
      <c r="AW49" s="69"/>
      <c r="AX49" s="68"/>
      <c r="AY49" s="69"/>
      <c r="AZ49" s="67"/>
      <c r="BB49" s="76"/>
      <c r="BC49" s="67"/>
      <c r="BD49" s="68"/>
      <c r="BE49" s="69"/>
      <c r="BF49" s="69"/>
      <c r="BG49" s="69"/>
      <c r="BH49" s="69"/>
      <c r="BI49" s="69"/>
      <c r="BJ49" s="68"/>
      <c r="BK49" s="69"/>
      <c r="BL49" s="67"/>
      <c r="BN49" s="56"/>
      <c r="BO49" s="56"/>
      <c r="BR49" s="49"/>
      <c r="BT49" s="63"/>
      <c r="BW49" s="56"/>
      <c r="BX49" s="56"/>
      <c r="BY49" s="56"/>
      <c r="BZ49" s="56"/>
      <c r="CA49" s="56"/>
      <c r="CF49" s="63"/>
      <c r="CI49" s="56"/>
      <c r="CJ49" s="56"/>
      <c r="CK49" s="56"/>
      <c r="CL49" s="56"/>
      <c r="CM49" s="56"/>
    </row>
    <row r="50" spans="3:93" ht="39.950000000000003" customHeight="1">
      <c r="C50" s="534"/>
      <c r="D50" s="535"/>
      <c r="F50" s="105"/>
      <c r="G50" s="105"/>
      <c r="H50" s="105"/>
      <c r="I50" s="105"/>
      <c r="J50" s="105"/>
      <c r="K50" s="52"/>
      <c r="P50" s="52" t="str">
        <f>IF(('[1]S 4'!$Y282=4),'[1]S 4'!$E282,IF(('[1]S 4'!$Y283=4),'[1]S 4'!$E283,IF(('[1]S 4'!$Y284=4),'[1]S 4'!$E284,IF(('[1]S 4'!$Y285=4),'[1]S 4'!$E285," "))))</f>
        <v xml:space="preserve"> </v>
      </c>
      <c r="R50" s="76"/>
      <c r="V50" s="170"/>
      <c r="W50" s="69"/>
      <c r="X50" s="69"/>
      <c r="Y50" s="69"/>
      <c r="AC50" s="83"/>
      <c r="AD50" s="76"/>
      <c r="AG50" s="69"/>
      <c r="AH50" s="69"/>
      <c r="AI50" s="69"/>
      <c r="AJ50" s="69"/>
      <c r="AK50" s="69"/>
      <c r="AP50" s="76"/>
      <c r="AQ50" s="67"/>
      <c r="AR50" s="68"/>
      <c r="AS50" s="69"/>
      <c r="AT50" s="69"/>
      <c r="AU50" s="69"/>
      <c r="AV50" s="69"/>
      <c r="AW50" s="69"/>
      <c r="AX50" s="68"/>
      <c r="AY50" s="69"/>
      <c r="AZ50" s="67"/>
      <c r="BB50" s="76"/>
      <c r="BC50" s="67"/>
      <c r="BD50" s="68"/>
      <c r="BE50" s="69"/>
      <c r="BF50" s="69"/>
      <c r="BG50" s="69"/>
      <c r="BH50" s="69"/>
      <c r="BI50" s="69"/>
      <c r="BJ50" s="68"/>
      <c r="BK50" s="69"/>
      <c r="BL50" s="67"/>
      <c r="BN50" s="56"/>
      <c r="BO50" s="56"/>
      <c r="BR50" s="49"/>
      <c r="BT50" s="63"/>
      <c r="BW50" s="56"/>
      <c r="BX50" s="56"/>
      <c r="BY50" s="56"/>
      <c r="BZ50" s="56"/>
      <c r="CA50" s="56"/>
      <c r="CF50" s="63"/>
      <c r="CI50" s="56"/>
      <c r="CJ50" s="56"/>
      <c r="CK50" s="56"/>
      <c r="CL50" s="56"/>
      <c r="CM50" s="56"/>
    </row>
    <row r="51" spans="3:93" ht="39.950000000000003" customHeight="1">
      <c r="C51" s="534"/>
      <c r="D51" s="535"/>
      <c r="F51" s="105"/>
      <c r="G51" s="105"/>
      <c r="H51" s="105"/>
      <c r="I51" s="105"/>
      <c r="J51" s="105"/>
      <c r="K51" s="52"/>
      <c r="P51" s="52" t="str">
        <f>IF(('[1]S 4'!$Y288=4),'[1]S 4'!$E288,IF(('[1]S 4'!$Y289=4),'[1]S 4'!$E289,IF(('[1]S 4'!$Y290=4),'[1]S 4'!$E290,IF(('[1]S 4'!$Y291=4),'[1]S 4'!$E291," "))))</f>
        <v xml:space="preserve"> </v>
      </c>
      <c r="R51" s="76"/>
      <c r="V51" s="170"/>
      <c r="W51" s="69"/>
      <c r="X51" s="69"/>
      <c r="Y51" s="69"/>
      <c r="AC51" s="83"/>
      <c r="AD51" s="76"/>
      <c r="AG51" s="69"/>
      <c r="AH51" s="69"/>
      <c r="AI51" s="69"/>
      <c r="AJ51" s="69"/>
      <c r="AK51" s="69"/>
      <c r="AP51" s="76"/>
      <c r="AQ51" s="67"/>
      <c r="AR51" s="68"/>
      <c r="AS51" s="69"/>
      <c r="AT51" s="69"/>
      <c r="AU51" s="69"/>
      <c r="AV51" s="69"/>
      <c r="AW51" s="69"/>
      <c r="AX51" s="68"/>
      <c r="AY51" s="69"/>
      <c r="AZ51" s="67"/>
      <c r="BB51" s="76"/>
      <c r="BC51" s="67"/>
      <c r="BD51" s="68"/>
      <c r="BE51" s="69"/>
      <c r="BF51" s="69"/>
      <c r="BG51" s="69"/>
      <c r="BH51" s="69"/>
      <c r="BI51" s="69"/>
      <c r="BJ51" s="68"/>
      <c r="BK51" s="69"/>
      <c r="BL51" s="67"/>
      <c r="BN51" s="56"/>
      <c r="BO51" s="56"/>
      <c r="BR51" s="49"/>
      <c r="BT51" s="63"/>
      <c r="BW51" s="56"/>
      <c r="BX51" s="56"/>
      <c r="BY51" s="56"/>
      <c r="BZ51" s="56"/>
      <c r="CA51" s="56"/>
      <c r="CF51" s="63"/>
      <c r="CI51" s="56"/>
      <c r="CJ51" s="56"/>
      <c r="CK51" s="56"/>
      <c r="CL51" s="56"/>
      <c r="CM51" s="56"/>
    </row>
    <row r="52" spans="3:93" ht="39.950000000000003" customHeight="1">
      <c r="C52" s="534"/>
      <c r="D52" s="535"/>
      <c r="F52" s="105"/>
      <c r="G52" s="105"/>
      <c r="H52" s="105"/>
      <c r="I52" s="105"/>
      <c r="J52" s="105"/>
      <c r="K52" s="52"/>
      <c r="P52" s="52" t="str">
        <f>IF(('[1]S 4'!$Y294=4),'[1]S 4'!$E294,IF(('[1]S 4'!$Y295=4),'[1]S 4'!$E295,IF(('[1]S 4'!$Y296=4),'[1]S 4'!$E296,IF(('[1]S 4'!$Y297=4),'[1]S 4'!$E297," "))))</f>
        <v xml:space="preserve"> </v>
      </c>
      <c r="BR52" s="49"/>
    </row>
    <row r="53" spans="3:93" ht="39.950000000000003" customHeight="1">
      <c r="C53" s="534"/>
      <c r="D53" s="535"/>
      <c r="F53" s="105"/>
      <c r="G53" s="105"/>
      <c r="H53" s="105"/>
      <c r="I53" s="105"/>
      <c r="J53" s="105"/>
      <c r="K53" s="52"/>
      <c r="P53" s="52" t="str">
        <f>IF(('[1]S 4'!$Y300=4),'[1]S 4'!$E300,IF(('[1]S 4'!$Y301=4),'[1]S 4'!$E301,IF(('[1]S 4'!$Y302=4),'[1]S 4'!$E302,IF(('[1]S 4'!$Y303=4),'[1]S 4'!$E303," "))))</f>
        <v xml:space="preserve"> </v>
      </c>
      <c r="R53" s="76"/>
      <c r="S53" s="77"/>
      <c r="Y53" s="533"/>
      <c r="Z53" s="533"/>
      <c r="AA53" s="533"/>
      <c r="AD53" s="76"/>
      <c r="AE53" s="77"/>
      <c r="AK53" s="533"/>
      <c r="AL53" s="533"/>
      <c r="AM53" s="533"/>
      <c r="AP53" s="76"/>
      <c r="AQ53" s="77"/>
      <c r="AR53" s="68"/>
      <c r="AS53" s="68"/>
      <c r="AT53" s="68"/>
      <c r="AU53" s="68"/>
      <c r="AV53" s="68"/>
      <c r="AW53" s="533"/>
      <c r="AX53" s="533"/>
      <c r="AY53" s="533"/>
      <c r="AZ53" s="67"/>
      <c r="BA53" s="68"/>
      <c r="BB53" s="76"/>
      <c r="BC53" s="77"/>
      <c r="BD53" s="68"/>
      <c r="BE53" s="68"/>
      <c r="BF53" s="68"/>
      <c r="BG53" s="68"/>
      <c r="BH53" s="68"/>
      <c r="BI53" s="533"/>
      <c r="BJ53" s="533"/>
      <c r="BK53" s="533"/>
      <c r="BL53" s="67"/>
      <c r="BM53" s="67"/>
      <c r="BO53" s="531"/>
      <c r="BP53" s="531"/>
      <c r="BQ53" s="531"/>
      <c r="BR53" s="49"/>
      <c r="BT53" s="63"/>
      <c r="BU53" s="64"/>
      <c r="CA53" s="531"/>
      <c r="CB53" s="531"/>
      <c r="CC53" s="531"/>
      <c r="CF53" s="63"/>
      <c r="CG53" s="64"/>
      <c r="CM53" s="531"/>
      <c r="CN53" s="531"/>
      <c r="CO53" s="531"/>
    </row>
    <row r="54" spans="3:93" ht="39.950000000000003" customHeight="1">
      <c r="C54" s="534"/>
      <c r="D54" s="535"/>
      <c r="F54" s="105"/>
      <c r="G54" s="105"/>
      <c r="H54" s="105"/>
      <c r="I54" s="105"/>
      <c r="J54" s="105"/>
      <c r="K54" s="52"/>
      <c r="P54" s="52" t="e">
        <f>IF(('[1]S 4'!#REF!=4),'[1]S 4'!#REF!,IF(('[1]S 4'!#REF!=4),'[1]S 4'!#REF!,IF(('[1]S 4'!#REF!=4),'[1]S 4'!#REF!,IF(('[1]S 4'!#REF!=4),'[1]S 4'!#REF!," "))))</f>
        <v>#REF!</v>
      </c>
      <c r="R54" s="76"/>
      <c r="V54" s="170"/>
      <c r="W54" s="69"/>
      <c r="X54" s="69"/>
      <c r="Y54" s="69"/>
      <c r="AD54" s="76"/>
      <c r="AG54" s="69"/>
      <c r="AH54" s="69"/>
      <c r="AI54" s="69"/>
      <c r="AJ54" s="69"/>
      <c r="AK54" s="69"/>
      <c r="AP54" s="76"/>
      <c r="AQ54" s="67"/>
      <c r="AR54" s="68"/>
      <c r="AS54" s="69"/>
      <c r="AT54" s="69"/>
      <c r="AU54" s="69"/>
      <c r="AV54" s="69"/>
      <c r="AW54" s="69"/>
      <c r="AX54" s="68"/>
      <c r="AY54" s="69"/>
      <c r="AZ54" s="67"/>
      <c r="BA54" s="69"/>
      <c r="BB54" s="76"/>
      <c r="BC54" s="67"/>
      <c r="BD54" s="68"/>
      <c r="BE54" s="69"/>
      <c r="BF54" s="69"/>
      <c r="BG54" s="69"/>
      <c r="BH54" s="69"/>
      <c r="BI54" s="69"/>
      <c r="BJ54" s="68"/>
      <c r="BK54" s="69"/>
      <c r="BL54" s="67"/>
      <c r="BM54" s="67"/>
      <c r="BN54" s="56"/>
      <c r="BO54" s="56"/>
      <c r="BR54" s="49"/>
      <c r="BT54" s="63"/>
      <c r="BW54" s="56"/>
      <c r="BX54" s="56"/>
      <c r="BY54" s="56"/>
      <c r="BZ54" s="56"/>
      <c r="CA54" s="56"/>
      <c r="CF54" s="63"/>
      <c r="CI54" s="56"/>
      <c r="CJ54" s="56"/>
      <c r="CK54" s="56"/>
      <c r="CL54" s="56"/>
      <c r="CM54" s="56"/>
    </row>
    <row r="55" spans="3:93" ht="39.950000000000003" customHeight="1">
      <c r="C55" s="534"/>
      <c r="D55" s="535"/>
      <c r="F55" s="105"/>
      <c r="G55" s="105"/>
      <c r="H55" s="105"/>
      <c r="I55" s="105"/>
      <c r="J55" s="105"/>
      <c r="K55" s="52"/>
      <c r="P55" s="52" t="e">
        <f>IF(('[1]S 4'!#REF!=4),'[1]S 4'!#REF!,IF(('[1]S 4'!#REF!=4),'[1]S 4'!#REF!,IF(('[1]S 4'!#REF!=4),'[1]S 4'!#REF!,IF(('[1]S 4'!#REF!=4),'[1]S 4'!#REF!," "))))</f>
        <v>#REF!</v>
      </c>
      <c r="R55" s="76"/>
      <c r="V55" s="170"/>
      <c r="W55" s="69"/>
      <c r="X55" s="69"/>
      <c r="Y55" s="69"/>
      <c r="AD55" s="76"/>
      <c r="AG55" s="69"/>
      <c r="AH55" s="69"/>
      <c r="AI55" s="69"/>
      <c r="AJ55" s="69"/>
      <c r="AK55" s="69"/>
      <c r="AP55" s="76"/>
      <c r="AQ55" s="67"/>
      <c r="AR55" s="68"/>
      <c r="AS55" s="69"/>
      <c r="AT55" s="69"/>
      <c r="AU55" s="69"/>
      <c r="AV55" s="69"/>
      <c r="AW55" s="69"/>
      <c r="AX55" s="68"/>
      <c r="AY55" s="69"/>
      <c r="AZ55" s="67"/>
      <c r="BA55" s="69"/>
      <c r="BB55" s="76"/>
      <c r="BC55" s="67"/>
      <c r="BD55" s="68"/>
      <c r="BE55" s="69"/>
      <c r="BF55" s="69"/>
      <c r="BG55" s="69"/>
      <c r="BH55" s="69"/>
      <c r="BI55" s="69"/>
      <c r="BJ55" s="68"/>
      <c r="BK55" s="69"/>
      <c r="BL55" s="67"/>
      <c r="BM55" s="67"/>
      <c r="BN55" s="56"/>
      <c r="BO55" s="56"/>
      <c r="BR55" s="49"/>
      <c r="BT55" s="63"/>
      <c r="BW55" s="56"/>
      <c r="BX55" s="56"/>
      <c r="BY55" s="56"/>
      <c r="BZ55" s="56"/>
      <c r="CA55" s="56"/>
      <c r="CF55" s="63"/>
      <c r="CI55" s="56"/>
      <c r="CJ55" s="56"/>
      <c r="CK55" s="56"/>
      <c r="CL55" s="56"/>
      <c r="CM55" s="56"/>
    </row>
    <row r="56" spans="3:93" ht="39.950000000000003" customHeight="1">
      <c r="C56" s="534"/>
      <c r="D56" s="535"/>
      <c r="F56" s="105"/>
      <c r="G56" s="105"/>
      <c r="H56" s="105"/>
      <c r="I56" s="105"/>
      <c r="J56" s="105"/>
      <c r="K56" s="52"/>
      <c r="P56" s="52" t="e">
        <f>IF(('[1]S 4'!#REF!=4),'[1]S 4'!#REF!,IF(('[1]S 4'!#REF!=4),'[1]S 4'!#REF!,IF(('[1]S 4'!#REF!=4),'[1]S 4'!#REF!,IF(('[1]S 4'!#REF!=4),'[1]S 4'!#REF!," "))))</f>
        <v>#REF!</v>
      </c>
      <c r="R56" s="76"/>
      <c r="V56" s="170"/>
      <c r="W56" s="69"/>
      <c r="X56" s="69"/>
      <c r="Y56" s="69"/>
      <c r="AD56" s="76"/>
      <c r="AG56" s="69"/>
      <c r="AH56" s="69"/>
      <c r="AI56" s="69"/>
      <c r="AJ56" s="69"/>
      <c r="AK56" s="69"/>
      <c r="AP56" s="76"/>
      <c r="AQ56" s="67"/>
      <c r="AR56" s="68"/>
      <c r="AS56" s="69"/>
      <c r="AT56" s="69"/>
      <c r="AU56" s="69"/>
      <c r="AV56" s="69"/>
      <c r="AW56" s="69"/>
      <c r="AX56" s="68"/>
      <c r="AY56" s="69"/>
      <c r="AZ56" s="67"/>
      <c r="BA56" s="69"/>
      <c r="BB56" s="76"/>
      <c r="BC56" s="67"/>
      <c r="BD56" s="68"/>
      <c r="BE56" s="69"/>
      <c r="BF56" s="69"/>
      <c r="BG56" s="69"/>
      <c r="BH56" s="69"/>
      <c r="BI56" s="69"/>
      <c r="BJ56" s="68"/>
      <c r="BK56" s="69"/>
      <c r="BL56" s="67"/>
      <c r="BM56" s="67"/>
      <c r="BN56" s="56"/>
      <c r="BO56" s="56"/>
      <c r="BR56" s="49"/>
      <c r="BT56" s="63"/>
      <c r="BW56" s="56"/>
      <c r="BX56" s="56"/>
      <c r="BY56" s="56"/>
      <c r="BZ56" s="56"/>
      <c r="CA56" s="56"/>
      <c r="CF56" s="63"/>
      <c r="CI56" s="56"/>
      <c r="CJ56" s="56"/>
      <c r="CK56" s="56"/>
      <c r="CL56" s="56"/>
      <c r="CM56" s="56"/>
    </row>
    <row r="57" spans="3:93" ht="39.950000000000003" customHeight="1">
      <c r="C57" s="534"/>
      <c r="D57" s="535"/>
      <c r="F57" s="105"/>
      <c r="G57" s="105"/>
      <c r="H57" s="105"/>
      <c r="I57" s="105"/>
      <c r="J57" s="105"/>
      <c r="K57" s="52"/>
      <c r="P57" s="52" t="e">
        <f>IF(('[1]S 4'!#REF!=4),'[1]S 4'!#REF!,IF(('[1]S 4'!#REF!=4),'[1]S 4'!#REF!,IF(('[1]S 4'!#REF!=4),'[1]S 4'!#REF!,IF(('[1]S 4'!#REF!=4),'[1]S 4'!#REF!," "))))</f>
        <v>#REF!</v>
      </c>
      <c r="R57" s="76"/>
      <c r="V57" s="170"/>
      <c r="W57" s="69"/>
      <c r="X57" s="69"/>
      <c r="Y57" s="69"/>
      <c r="AD57" s="76"/>
      <c r="AG57" s="69"/>
      <c r="AH57" s="69"/>
      <c r="AI57" s="69"/>
      <c r="AJ57" s="69"/>
      <c r="AK57" s="69"/>
      <c r="AP57" s="76"/>
      <c r="AQ57" s="67"/>
      <c r="AR57" s="68"/>
      <c r="AS57" s="69"/>
      <c r="AT57" s="69"/>
      <c r="AU57" s="69"/>
      <c r="AV57" s="69"/>
      <c r="AW57" s="69"/>
      <c r="AX57" s="68"/>
      <c r="AY57" s="69"/>
      <c r="AZ57" s="67"/>
      <c r="BA57" s="69"/>
      <c r="BB57" s="76"/>
      <c r="BC57" s="67"/>
      <c r="BD57" s="68"/>
      <c r="BE57" s="69"/>
      <c r="BF57" s="69"/>
      <c r="BG57" s="69"/>
      <c r="BH57" s="69"/>
      <c r="BI57" s="69"/>
      <c r="BJ57" s="68"/>
      <c r="BK57" s="69"/>
      <c r="BL57" s="67"/>
      <c r="BM57" s="67"/>
      <c r="BN57" s="56"/>
      <c r="BO57" s="56"/>
      <c r="BR57" s="49"/>
      <c r="BT57" s="63"/>
      <c r="BW57" s="56"/>
      <c r="BX57" s="56"/>
      <c r="BY57" s="56"/>
      <c r="BZ57" s="56"/>
      <c r="CA57" s="56"/>
      <c r="CF57" s="63"/>
      <c r="CI57" s="56"/>
      <c r="CJ57" s="56"/>
      <c r="CK57" s="56"/>
      <c r="CL57" s="56"/>
      <c r="CM57" s="56"/>
    </row>
    <row r="58" spans="3:93" ht="39.950000000000003" customHeight="1">
      <c r="C58" s="534"/>
      <c r="D58" s="535"/>
      <c r="F58" s="105"/>
      <c r="G58" s="105"/>
      <c r="H58" s="105"/>
      <c r="I58" s="105"/>
      <c r="J58" s="105"/>
      <c r="K58" s="52"/>
      <c r="P58" s="52" t="e">
        <f>IF(('[1]S 4'!#REF!=4),'[1]S 4'!#REF!,IF(('[1]S 4'!#REF!=4),'[1]S 4'!#REF!,IF(('[1]S 4'!#REF!=4),'[1]S 4'!#REF!,IF(('[1]S 4'!#REF!=4),'[1]S 4'!#REF!," "))))</f>
        <v>#REF!</v>
      </c>
      <c r="AQ58" s="67"/>
      <c r="AR58" s="68"/>
      <c r="AS58" s="68"/>
      <c r="AT58" s="68"/>
      <c r="AU58" s="68"/>
      <c r="AV58" s="68"/>
      <c r="AW58" s="68"/>
      <c r="AX58" s="68"/>
      <c r="AY58" s="69"/>
      <c r="AZ58" s="67"/>
      <c r="BA58" s="68"/>
      <c r="BB58" s="67"/>
      <c r="BC58" s="67"/>
      <c r="BD58" s="68"/>
      <c r="BE58" s="68"/>
      <c r="BF58" s="68"/>
      <c r="BG58" s="68"/>
      <c r="BH58" s="68"/>
      <c r="BI58" s="68"/>
      <c r="BJ58" s="68"/>
      <c r="BK58" s="69"/>
      <c r="BL58" s="67"/>
      <c r="BM58" s="67"/>
      <c r="BR58" s="49"/>
    </row>
    <row r="59" spans="3:93" ht="39.950000000000003" customHeight="1">
      <c r="C59" s="534"/>
      <c r="D59" s="535"/>
      <c r="F59" s="105"/>
      <c r="G59" s="105"/>
      <c r="H59" s="105"/>
      <c r="I59" s="105"/>
      <c r="J59" s="105"/>
      <c r="K59" s="52"/>
      <c r="P59" s="52" t="e">
        <f>IF(('[1]S 4'!#REF!=4),'[1]S 4'!#REF!,IF(('[1]S 4'!#REF!=4),'[1]S 4'!#REF!,IF(('[1]S 4'!#REF!=4),'[1]S 4'!#REF!,IF(('[1]S 4'!#REF!=4),'[1]S 4'!#REF!," "))))</f>
        <v>#REF!</v>
      </c>
      <c r="R59" s="76"/>
      <c r="S59" s="77"/>
      <c r="Y59" s="533"/>
      <c r="Z59" s="533"/>
      <c r="AA59" s="533"/>
      <c r="AD59" s="76"/>
      <c r="AE59" s="77"/>
      <c r="AK59" s="533"/>
      <c r="AL59" s="533"/>
      <c r="AM59" s="533"/>
      <c r="AP59" s="76"/>
      <c r="AQ59" s="77"/>
      <c r="AR59" s="68"/>
      <c r="AS59" s="68"/>
      <c r="AT59" s="68"/>
      <c r="AU59" s="68"/>
      <c r="AV59" s="68"/>
      <c r="AW59" s="533"/>
      <c r="AX59" s="533"/>
      <c r="AY59" s="533"/>
      <c r="AZ59" s="67"/>
      <c r="BA59" s="68"/>
      <c r="BB59" s="76"/>
      <c r="BC59" s="77"/>
      <c r="BD59" s="68"/>
      <c r="BE59" s="68"/>
      <c r="BF59" s="68"/>
      <c r="BG59" s="68"/>
      <c r="BH59" s="68"/>
      <c r="BI59" s="533"/>
      <c r="BJ59" s="533"/>
      <c r="BK59" s="533"/>
      <c r="BL59" s="67"/>
      <c r="BM59" s="67"/>
      <c r="BO59" s="531"/>
      <c r="BP59" s="531"/>
      <c r="BQ59" s="531"/>
      <c r="BR59" s="49"/>
      <c r="BT59" s="63"/>
      <c r="BU59" s="64"/>
      <c r="CA59" s="531"/>
      <c r="CB59" s="531"/>
      <c r="CC59" s="531"/>
      <c r="CF59" s="63"/>
      <c r="CG59" s="64"/>
      <c r="CM59" s="531"/>
      <c r="CN59" s="531"/>
      <c r="CO59" s="531"/>
    </row>
    <row r="60" spans="3:93" ht="39.950000000000003" customHeight="1">
      <c r="C60" s="534"/>
      <c r="D60" s="535"/>
      <c r="F60" s="105"/>
      <c r="G60" s="105"/>
      <c r="H60" s="105"/>
      <c r="I60" s="105"/>
      <c r="J60" s="105"/>
      <c r="K60" s="52"/>
      <c r="P60" s="52" t="e">
        <f>IF(('[1]S 4'!#REF!=4),'[1]S 4'!#REF!,IF(('[1]S 4'!#REF!=4),'[1]S 4'!#REF!,IF(('[1]S 4'!#REF!=4),'[1]S 4'!#REF!,IF(('[1]S 4'!#REF!=4),'[1]S 4'!#REF!," "))))</f>
        <v>#REF!</v>
      </c>
      <c r="R60" s="76"/>
      <c r="V60" s="170"/>
      <c r="W60" s="69"/>
      <c r="X60" s="69"/>
      <c r="Y60" s="69"/>
      <c r="AD60" s="76"/>
      <c r="AG60" s="69"/>
      <c r="AH60" s="69"/>
      <c r="AI60" s="69"/>
      <c r="AJ60" s="69"/>
      <c r="AK60" s="69"/>
      <c r="AP60" s="76"/>
      <c r="AQ60" s="67"/>
      <c r="AR60" s="68"/>
      <c r="AS60" s="69"/>
      <c r="AT60" s="69"/>
      <c r="AU60" s="69"/>
      <c r="AV60" s="69"/>
      <c r="AW60" s="69"/>
      <c r="AX60" s="68"/>
      <c r="AY60" s="69"/>
      <c r="AZ60" s="67"/>
      <c r="BA60" s="69"/>
      <c r="BB60" s="76"/>
      <c r="BC60" s="67"/>
      <c r="BD60" s="68"/>
      <c r="BE60" s="69"/>
      <c r="BF60" s="69"/>
      <c r="BG60" s="69"/>
      <c r="BH60" s="69"/>
      <c r="BI60" s="69"/>
      <c r="BJ60" s="68"/>
      <c r="BK60" s="69"/>
      <c r="BL60" s="67"/>
      <c r="BM60" s="67"/>
      <c r="BN60" s="56"/>
      <c r="BO60" s="56"/>
      <c r="BR60" s="49"/>
      <c r="BT60" s="63"/>
      <c r="BW60" s="56"/>
      <c r="BX60" s="56"/>
      <c r="BY60" s="56"/>
      <c r="BZ60" s="56"/>
      <c r="CA60" s="56"/>
      <c r="CF60" s="63"/>
      <c r="CI60" s="56"/>
      <c r="CJ60" s="56"/>
      <c r="CK60" s="56"/>
      <c r="CL60" s="56"/>
      <c r="CM60" s="56"/>
    </row>
    <row r="61" spans="3:93" ht="39.950000000000003" customHeight="1">
      <c r="C61" s="534"/>
      <c r="D61" s="535"/>
      <c r="F61" s="105"/>
      <c r="G61" s="105"/>
      <c r="H61" s="105"/>
      <c r="I61" s="105"/>
      <c r="J61" s="105"/>
      <c r="K61" s="52"/>
      <c r="P61" s="52" t="e">
        <f>IF(('[1]S 4'!#REF!=4),'[1]S 4'!#REF!,IF(('[1]S 4'!#REF!=4),'[1]S 4'!#REF!,IF(('[1]S 4'!#REF!=4),'[1]S 4'!#REF!,IF(('[1]S 4'!#REF!=4),'[1]S 4'!#REF!," "))))</f>
        <v>#REF!</v>
      </c>
      <c r="R61" s="76"/>
      <c r="V61" s="170"/>
      <c r="W61" s="69"/>
      <c r="X61" s="69"/>
      <c r="Y61" s="69"/>
      <c r="AD61" s="76"/>
      <c r="AG61" s="69"/>
      <c r="AH61" s="69"/>
      <c r="AI61" s="69"/>
      <c r="AJ61" s="69"/>
      <c r="AK61" s="69"/>
      <c r="AP61" s="76"/>
      <c r="AQ61" s="67"/>
      <c r="AR61" s="68"/>
      <c r="AS61" s="69"/>
      <c r="AT61" s="69"/>
      <c r="AU61" s="69"/>
      <c r="AV61" s="69"/>
      <c r="AW61" s="69"/>
      <c r="AX61" s="68"/>
      <c r="AY61" s="69"/>
      <c r="AZ61" s="67"/>
      <c r="BA61" s="69"/>
      <c r="BB61" s="76"/>
      <c r="BC61" s="67"/>
      <c r="BD61" s="68"/>
      <c r="BE61" s="69"/>
      <c r="BF61" s="69"/>
      <c r="BG61" s="69"/>
      <c r="BH61" s="69"/>
      <c r="BI61" s="69"/>
      <c r="BJ61" s="68"/>
      <c r="BK61" s="69"/>
      <c r="BL61" s="67"/>
      <c r="BM61" s="67"/>
      <c r="BN61" s="56"/>
      <c r="BO61" s="56"/>
      <c r="BR61" s="49"/>
      <c r="BT61" s="63"/>
      <c r="BW61" s="56"/>
      <c r="BX61" s="56"/>
      <c r="BY61" s="56"/>
      <c r="BZ61" s="56"/>
      <c r="CA61" s="56"/>
      <c r="CF61" s="63"/>
      <c r="CI61" s="56"/>
      <c r="CJ61" s="56"/>
      <c r="CK61" s="56"/>
      <c r="CL61" s="56"/>
      <c r="CM61" s="56"/>
    </row>
    <row r="62" spans="3:93" ht="39.950000000000003" customHeight="1">
      <c r="C62" s="534"/>
      <c r="D62" s="535"/>
      <c r="F62" s="105"/>
      <c r="G62" s="105"/>
      <c r="H62" s="105"/>
      <c r="I62" s="105"/>
      <c r="J62" s="105"/>
      <c r="K62" s="52"/>
      <c r="P62" s="52" t="e">
        <f>IF(('[1]S 4'!#REF!=4),'[1]S 4'!#REF!,IF(('[1]S 4'!#REF!=4),'[1]S 4'!#REF!,IF(('[1]S 4'!#REF!=4),'[1]S 4'!#REF!,IF(('[1]S 4'!#REF!=4),'[1]S 4'!#REF!," "))))</f>
        <v>#REF!</v>
      </c>
      <c r="R62" s="76"/>
      <c r="V62" s="170"/>
      <c r="W62" s="69"/>
      <c r="X62" s="69"/>
      <c r="Y62" s="69"/>
      <c r="AD62" s="76"/>
      <c r="AG62" s="69"/>
      <c r="AH62" s="69"/>
      <c r="AI62" s="69"/>
      <c r="AJ62" s="69"/>
      <c r="AK62" s="69"/>
      <c r="AP62" s="76"/>
      <c r="AQ62" s="67"/>
      <c r="AR62" s="68"/>
      <c r="AS62" s="69"/>
      <c r="AT62" s="69"/>
      <c r="AU62" s="69"/>
      <c r="AV62" s="69"/>
      <c r="AW62" s="69"/>
      <c r="AX62" s="68"/>
      <c r="AY62" s="69"/>
      <c r="AZ62" s="67"/>
      <c r="BA62" s="69"/>
      <c r="BB62" s="76"/>
      <c r="BC62" s="67"/>
      <c r="BD62" s="68"/>
      <c r="BE62" s="69"/>
      <c r="BF62" s="69"/>
      <c r="BG62" s="69"/>
      <c r="BH62" s="69"/>
      <c r="BI62" s="69"/>
      <c r="BJ62" s="68"/>
      <c r="BK62" s="69"/>
      <c r="BL62" s="67"/>
      <c r="BM62" s="67"/>
      <c r="BN62" s="56"/>
      <c r="BO62" s="56"/>
      <c r="BR62" s="49"/>
      <c r="BT62" s="63"/>
      <c r="BW62" s="56"/>
      <c r="BX62" s="56"/>
      <c r="BY62" s="56"/>
      <c r="BZ62" s="56"/>
      <c r="CA62" s="56"/>
      <c r="CF62" s="63"/>
      <c r="CI62" s="56"/>
      <c r="CJ62" s="56"/>
      <c r="CK62" s="56"/>
      <c r="CL62" s="56"/>
      <c r="CM62" s="56"/>
    </row>
    <row r="63" spans="3:93" ht="39.950000000000003" customHeight="1">
      <c r="C63" s="534"/>
      <c r="D63" s="535"/>
      <c r="F63" s="105"/>
      <c r="G63" s="105"/>
      <c r="H63" s="105"/>
      <c r="I63" s="105"/>
      <c r="J63" s="105"/>
      <c r="K63" s="52"/>
      <c r="P63" s="52" t="e">
        <f>IF(('[1]S 4'!#REF!=4),'[1]S 4'!#REF!,IF(('[1]S 4'!#REF!=4),'[1]S 4'!#REF!,IF(('[1]S 4'!#REF!=4),'[1]S 4'!#REF!,IF(('[1]S 4'!#REF!=4),'[1]S 4'!#REF!," "))))</f>
        <v>#REF!</v>
      </c>
      <c r="R63" s="76"/>
      <c r="V63" s="170"/>
      <c r="W63" s="69"/>
      <c r="X63" s="69"/>
      <c r="Y63" s="69"/>
      <c r="AD63" s="76"/>
      <c r="AG63" s="69"/>
      <c r="AH63" s="69"/>
      <c r="AI63" s="69"/>
      <c r="AJ63" s="69"/>
      <c r="AK63" s="69"/>
      <c r="AP63" s="76"/>
      <c r="AQ63" s="67"/>
      <c r="AR63" s="68"/>
      <c r="AS63" s="69"/>
      <c r="AT63" s="69"/>
      <c r="AU63" s="69"/>
      <c r="AV63" s="69"/>
      <c r="AW63" s="69"/>
      <c r="AX63" s="68"/>
      <c r="AY63" s="69"/>
      <c r="AZ63" s="67"/>
      <c r="BA63" s="69"/>
      <c r="BB63" s="76"/>
      <c r="BC63" s="67"/>
      <c r="BD63" s="68"/>
      <c r="BE63" s="69"/>
      <c r="BF63" s="69"/>
      <c r="BG63" s="69"/>
      <c r="BH63" s="69"/>
      <c r="BI63" s="69"/>
      <c r="BJ63" s="68"/>
      <c r="BK63" s="69"/>
      <c r="BL63" s="67"/>
      <c r="BM63" s="67"/>
      <c r="BN63" s="56"/>
      <c r="BO63" s="56"/>
      <c r="BR63" s="49"/>
      <c r="BT63" s="63"/>
      <c r="BW63" s="56"/>
      <c r="BX63" s="56"/>
      <c r="BY63" s="56"/>
      <c r="BZ63" s="56"/>
      <c r="CA63" s="56"/>
      <c r="CF63" s="63"/>
      <c r="CI63" s="56"/>
      <c r="CJ63" s="56"/>
      <c r="CK63" s="56"/>
      <c r="CL63" s="56"/>
      <c r="CM63" s="56"/>
    </row>
    <row r="64" spans="3:93" ht="39.950000000000003" customHeight="1">
      <c r="C64" s="534"/>
      <c r="D64" s="535"/>
      <c r="F64" s="105"/>
      <c r="G64" s="105"/>
      <c r="H64" s="105"/>
      <c r="I64" s="105"/>
      <c r="J64" s="105"/>
      <c r="K64" s="52"/>
      <c r="P64" s="52" t="e">
        <f>IF(('[1]S 4'!#REF!=4),'[1]S 4'!#REF!,IF(('[1]S 4'!#REF!=4),'[1]S 4'!#REF!,IF(('[1]S 4'!#REF!=4),'[1]S 4'!#REF!,IF(('[1]S 4'!#REF!=4),'[1]S 4'!#REF!," "))))</f>
        <v>#REF!</v>
      </c>
      <c r="AQ64" s="67"/>
      <c r="AR64" s="68"/>
      <c r="AS64" s="68"/>
      <c r="AT64" s="68"/>
      <c r="AU64" s="68"/>
      <c r="AV64" s="68"/>
      <c r="AW64" s="68"/>
      <c r="AX64" s="68"/>
      <c r="AY64" s="69"/>
      <c r="AZ64" s="67"/>
      <c r="BA64" s="68"/>
      <c r="BB64" s="67"/>
      <c r="BC64" s="67"/>
      <c r="BD64" s="68"/>
      <c r="BE64" s="68"/>
      <c r="BF64" s="68"/>
      <c r="BG64" s="68"/>
      <c r="BH64" s="68"/>
      <c r="BI64" s="68"/>
      <c r="BJ64" s="68"/>
      <c r="BK64" s="69"/>
      <c r="BL64" s="67"/>
      <c r="BM64" s="67"/>
      <c r="BR64" s="49"/>
    </row>
    <row r="65" spans="3:93" ht="39.950000000000003" customHeight="1">
      <c r="C65" s="534"/>
      <c r="D65" s="535"/>
      <c r="F65" s="105"/>
      <c r="G65" s="105"/>
      <c r="H65" s="105"/>
      <c r="I65" s="105"/>
      <c r="J65" s="105"/>
      <c r="K65" s="52"/>
      <c r="P65" s="52" t="e">
        <f>IF(('[1]S 4'!#REF!=4),'[1]S 4'!#REF!,IF(('[1]S 4'!#REF!=4),'[1]S 4'!#REF!,IF(('[1]S 4'!#REF!=4),'[1]S 4'!#REF!,IF(('[1]S 4'!#REF!=4),'[1]S 4'!#REF!," "))))</f>
        <v>#REF!</v>
      </c>
      <c r="R65" s="76"/>
      <c r="S65" s="77"/>
      <c r="Y65" s="533"/>
      <c r="Z65" s="533"/>
      <c r="AA65" s="533"/>
      <c r="AD65" s="76"/>
      <c r="AE65" s="77"/>
      <c r="AK65" s="533"/>
      <c r="AL65" s="533"/>
      <c r="AM65" s="533"/>
      <c r="AP65" s="76"/>
      <c r="AQ65" s="77"/>
      <c r="AR65" s="68"/>
      <c r="AS65" s="68"/>
      <c r="AT65" s="68"/>
      <c r="AU65" s="68"/>
      <c r="AV65" s="68"/>
      <c r="AW65" s="533"/>
      <c r="AX65" s="533"/>
      <c r="AY65" s="533"/>
      <c r="AZ65" s="67"/>
      <c r="BA65" s="68"/>
      <c r="BB65" s="76"/>
      <c r="BC65" s="77"/>
      <c r="BD65" s="68"/>
      <c r="BE65" s="68"/>
      <c r="BF65" s="68"/>
      <c r="BG65" s="68"/>
      <c r="BH65" s="68"/>
      <c r="BI65" s="533"/>
      <c r="BJ65" s="533"/>
      <c r="BK65" s="533"/>
      <c r="BL65" s="67"/>
      <c r="BM65" s="67"/>
      <c r="BO65" s="531"/>
      <c r="BP65" s="531"/>
      <c r="BQ65" s="531"/>
      <c r="BR65" s="49"/>
      <c r="BT65" s="63"/>
      <c r="BU65" s="64"/>
      <c r="CA65" s="531"/>
      <c r="CB65" s="531"/>
      <c r="CC65" s="531"/>
      <c r="CF65" s="63"/>
      <c r="CG65" s="64"/>
      <c r="CM65" s="531"/>
      <c r="CN65" s="531"/>
      <c r="CO65" s="531"/>
    </row>
    <row r="66" spans="3:93" ht="39.950000000000003" customHeight="1">
      <c r="C66" s="534"/>
      <c r="D66" s="535"/>
      <c r="F66" s="105"/>
      <c r="G66" s="105"/>
      <c r="H66" s="105"/>
      <c r="I66" s="105"/>
      <c r="J66" s="105"/>
      <c r="K66" s="52"/>
      <c r="P66" s="52" t="e">
        <f>IF(('[1]S 4'!#REF!=4),'[1]S 4'!#REF!,IF(('[1]S 4'!#REF!=4),'[1]S 4'!#REF!,IF(('[1]S 4'!#REF!=4),'[1]S 4'!#REF!,IF(('[1]S 4'!#REF!=4),'[1]S 4'!#REF!," "))))</f>
        <v>#REF!</v>
      </c>
      <c r="R66" s="76"/>
      <c r="V66" s="170"/>
      <c r="W66" s="69"/>
      <c r="X66" s="69"/>
      <c r="Y66" s="69"/>
      <c r="AD66" s="76"/>
      <c r="AG66" s="69"/>
      <c r="AH66" s="69"/>
      <c r="AI66" s="69"/>
      <c r="AJ66" s="69"/>
      <c r="AK66" s="69"/>
      <c r="AP66" s="76"/>
      <c r="AQ66" s="67"/>
      <c r="AR66" s="68"/>
      <c r="AS66" s="69"/>
      <c r="AT66" s="69"/>
      <c r="AU66" s="69"/>
      <c r="AV66" s="69"/>
      <c r="AW66" s="69"/>
      <c r="AX66" s="68"/>
      <c r="AY66" s="69"/>
      <c r="AZ66" s="67"/>
      <c r="BA66" s="69"/>
      <c r="BB66" s="76"/>
      <c r="BC66" s="67"/>
      <c r="BD66" s="68"/>
      <c r="BE66" s="69"/>
      <c r="BF66" s="69"/>
      <c r="BG66" s="69"/>
      <c r="BH66" s="69"/>
      <c r="BI66" s="69"/>
      <c r="BJ66" s="68"/>
      <c r="BK66" s="69"/>
      <c r="BL66" s="67"/>
      <c r="BM66" s="67"/>
      <c r="BN66" s="56"/>
      <c r="BO66" s="56"/>
      <c r="BR66" s="49"/>
      <c r="BT66" s="63"/>
      <c r="BW66" s="56"/>
      <c r="BX66" s="56"/>
      <c r="BY66" s="56"/>
      <c r="BZ66" s="56"/>
      <c r="CA66" s="56"/>
      <c r="CF66" s="63"/>
      <c r="CI66" s="56"/>
      <c r="CJ66" s="56"/>
      <c r="CK66" s="56"/>
      <c r="CL66" s="56"/>
      <c r="CM66" s="56"/>
    </row>
    <row r="67" spans="3:93" ht="39.950000000000003" customHeight="1">
      <c r="C67" s="534"/>
      <c r="D67" s="535"/>
      <c r="F67" s="105"/>
      <c r="G67" s="105"/>
      <c r="H67" s="105"/>
      <c r="I67" s="105"/>
      <c r="J67" s="105"/>
      <c r="K67" s="52"/>
      <c r="P67" s="52" t="e">
        <f>IF(('[1]S 4'!#REF!=4),'[1]S 4'!#REF!,IF(('[1]S 4'!#REF!=4),'[1]S 4'!#REF!,IF(('[1]S 4'!#REF!=4),'[1]S 4'!#REF!,IF(('[1]S 4'!#REF!=4),'[1]S 4'!#REF!," "))))</f>
        <v>#REF!</v>
      </c>
      <c r="R67" s="76"/>
      <c r="V67" s="170"/>
      <c r="W67" s="69"/>
      <c r="X67" s="69"/>
      <c r="Y67" s="69"/>
      <c r="AD67" s="76"/>
      <c r="AG67" s="69"/>
      <c r="AH67" s="69"/>
      <c r="AI67" s="69"/>
      <c r="AJ67" s="69"/>
      <c r="AK67" s="69"/>
      <c r="AP67" s="76"/>
      <c r="AQ67" s="67"/>
      <c r="AR67" s="68"/>
      <c r="AS67" s="69"/>
      <c r="AT67" s="69"/>
      <c r="AU67" s="69"/>
      <c r="AV67" s="69"/>
      <c r="AW67" s="69"/>
      <c r="AX67" s="68"/>
      <c r="AY67" s="69"/>
      <c r="AZ67" s="67"/>
      <c r="BA67" s="69"/>
      <c r="BB67" s="76"/>
      <c r="BC67" s="67"/>
      <c r="BD67" s="68"/>
      <c r="BE67" s="69"/>
      <c r="BF67" s="69"/>
      <c r="BG67" s="69"/>
      <c r="BH67" s="69"/>
      <c r="BI67" s="69"/>
      <c r="BJ67" s="68"/>
      <c r="BK67" s="69"/>
      <c r="BL67" s="67"/>
      <c r="BM67" s="67"/>
      <c r="BN67" s="56"/>
      <c r="BO67" s="56"/>
      <c r="BR67" s="49"/>
      <c r="BT67" s="63"/>
      <c r="BW67" s="56"/>
      <c r="BX67" s="56"/>
      <c r="BY67" s="56"/>
      <c r="BZ67" s="56"/>
      <c r="CA67" s="56"/>
      <c r="CF67" s="63"/>
      <c r="CI67" s="56"/>
      <c r="CJ67" s="56"/>
      <c r="CK67" s="56"/>
      <c r="CL67" s="56"/>
      <c r="CM67" s="56"/>
    </row>
    <row r="68" spans="3:93" ht="39.950000000000003" customHeight="1">
      <c r="C68" s="134"/>
      <c r="D68" s="105"/>
      <c r="F68" s="105"/>
      <c r="G68" s="105"/>
      <c r="H68" s="105"/>
      <c r="I68" s="105"/>
      <c r="J68" s="105"/>
      <c r="K68" s="52"/>
      <c r="R68" s="76"/>
      <c r="V68" s="170"/>
      <c r="W68" s="69"/>
      <c r="X68" s="69"/>
      <c r="Y68" s="69"/>
      <c r="AD68" s="76"/>
      <c r="AG68" s="69"/>
      <c r="AH68" s="69"/>
      <c r="AI68" s="69"/>
      <c r="AJ68" s="69"/>
      <c r="AK68" s="69"/>
      <c r="AP68" s="76"/>
      <c r="AQ68" s="67"/>
      <c r="AR68" s="68"/>
      <c r="AS68" s="69"/>
      <c r="AT68" s="69"/>
      <c r="AU68" s="69"/>
      <c r="AV68" s="69"/>
      <c r="AW68" s="69"/>
      <c r="AX68" s="68"/>
      <c r="AY68" s="69"/>
      <c r="AZ68" s="67"/>
      <c r="BA68" s="69"/>
      <c r="BB68" s="76"/>
      <c r="BC68" s="67"/>
      <c r="BD68" s="68"/>
      <c r="BE68" s="69"/>
      <c r="BF68" s="69"/>
      <c r="BG68" s="69"/>
      <c r="BH68" s="69"/>
      <c r="BI68" s="69"/>
      <c r="BJ68" s="68"/>
      <c r="BK68" s="69"/>
      <c r="BL68" s="67"/>
      <c r="BM68" s="67"/>
      <c r="BN68" s="56"/>
      <c r="BO68" s="56"/>
      <c r="BR68" s="49"/>
      <c r="BT68" s="63"/>
      <c r="BW68" s="56"/>
      <c r="BX68" s="56"/>
      <c r="BY68" s="56"/>
      <c r="BZ68" s="56"/>
      <c r="CA68" s="56"/>
      <c r="CF68" s="63"/>
      <c r="CI68" s="56"/>
      <c r="CJ68" s="56"/>
      <c r="CK68" s="56"/>
      <c r="CL68" s="56"/>
      <c r="CM68" s="56"/>
    </row>
    <row r="69" spans="3:93" ht="39.950000000000003" customHeight="1">
      <c r="C69" s="134"/>
      <c r="D69" s="105"/>
      <c r="F69" s="105"/>
      <c r="G69" s="105"/>
      <c r="H69" s="105"/>
      <c r="I69" s="105"/>
      <c r="J69" s="105"/>
      <c r="K69" s="52"/>
      <c r="R69" s="76"/>
      <c r="V69" s="170"/>
      <c r="W69" s="69"/>
      <c r="X69" s="69"/>
      <c r="Y69" s="69"/>
      <c r="AD69" s="76"/>
      <c r="AG69" s="69"/>
      <c r="AH69" s="69"/>
      <c r="AI69" s="69"/>
      <c r="AJ69" s="69"/>
      <c r="AK69" s="69"/>
      <c r="AP69" s="76"/>
      <c r="AQ69" s="67"/>
      <c r="AR69" s="68"/>
      <c r="AS69" s="69"/>
      <c r="AT69" s="69"/>
      <c r="AU69" s="69"/>
      <c r="AV69" s="69"/>
      <c r="AW69" s="69"/>
      <c r="AX69" s="68"/>
      <c r="AY69" s="69"/>
      <c r="AZ69" s="67"/>
      <c r="BA69" s="69"/>
      <c r="BB69" s="76"/>
      <c r="BC69" s="67"/>
      <c r="BD69" s="68"/>
      <c r="BE69" s="69"/>
      <c r="BF69" s="69"/>
      <c r="BG69" s="69"/>
      <c r="BH69" s="69"/>
      <c r="BI69" s="69"/>
      <c r="BJ69" s="68"/>
      <c r="BK69" s="69"/>
      <c r="BL69" s="67"/>
      <c r="BM69" s="67"/>
      <c r="BN69" s="56"/>
      <c r="BO69" s="56"/>
      <c r="BR69" s="49"/>
      <c r="BT69" s="63"/>
      <c r="BW69" s="56"/>
      <c r="BX69" s="56"/>
      <c r="BY69" s="56"/>
      <c r="BZ69" s="56"/>
      <c r="CA69" s="56"/>
      <c r="CF69" s="63"/>
      <c r="CI69" s="56"/>
      <c r="CJ69" s="56"/>
      <c r="CK69" s="56"/>
      <c r="CL69" s="56"/>
      <c r="CM69" s="56"/>
    </row>
    <row r="70" spans="3:93" ht="39.950000000000003" customHeight="1">
      <c r="C70" s="134"/>
      <c r="D70" s="105"/>
      <c r="F70" s="105"/>
      <c r="G70" s="105"/>
      <c r="H70" s="105"/>
      <c r="I70" s="105"/>
      <c r="J70" s="105"/>
      <c r="K70" s="52"/>
      <c r="AQ70" s="67"/>
      <c r="AR70" s="68"/>
      <c r="AS70" s="68"/>
      <c r="AT70" s="68"/>
      <c r="AU70" s="68"/>
      <c r="AV70" s="68"/>
      <c r="AW70" s="68"/>
      <c r="AX70" s="68"/>
      <c r="AY70" s="69"/>
      <c r="AZ70" s="67"/>
      <c r="BA70" s="68"/>
      <c r="BB70" s="67"/>
      <c r="BC70" s="67"/>
      <c r="BD70" s="68"/>
      <c r="BE70" s="68"/>
      <c r="BF70" s="68"/>
      <c r="BG70" s="68"/>
      <c r="BH70" s="68"/>
      <c r="BI70" s="68"/>
      <c r="BJ70" s="68"/>
      <c r="BK70" s="69"/>
      <c r="BL70" s="67"/>
      <c r="BM70" s="67"/>
      <c r="BR70" s="49"/>
    </row>
    <row r="71" spans="3:93" ht="39.950000000000003" customHeight="1">
      <c r="C71" s="134"/>
      <c r="D71" s="105"/>
      <c r="F71" s="105"/>
      <c r="G71" s="105"/>
      <c r="H71" s="105"/>
      <c r="I71" s="105"/>
      <c r="J71" s="105"/>
      <c r="K71" s="52"/>
      <c r="R71" s="76"/>
      <c r="S71" s="77"/>
      <c r="Y71" s="533"/>
      <c r="Z71" s="533"/>
      <c r="AA71" s="533"/>
      <c r="AD71" s="76"/>
      <c r="AE71" s="77"/>
      <c r="AK71" s="533"/>
      <c r="AL71" s="533"/>
      <c r="AM71" s="533"/>
      <c r="AP71" s="76"/>
      <c r="AQ71" s="77"/>
      <c r="AR71" s="68"/>
      <c r="AS71" s="68"/>
      <c r="AT71" s="68"/>
      <c r="AU71" s="68"/>
      <c r="AV71" s="68"/>
      <c r="AW71" s="533"/>
      <c r="AX71" s="533"/>
      <c r="AY71" s="533"/>
      <c r="AZ71" s="67"/>
      <c r="BA71" s="68"/>
      <c r="BB71" s="76"/>
      <c r="BC71" s="77"/>
      <c r="BD71" s="68"/>
      <c r="BE71" s="68"/>
      <c r="BF71" s="68"/>
      <c r="BG71" s="68"/>
      <c r="BH71" s="68"/>
      <c r="BI71" s="533"/>
      <c r="BJ71" s="533"/>
      <c r="BK71" s="533"/>
      <c r="BL71" s="67"/>
      <c r="BM71" s="67"/>
      <c r="BO71" s="531"/>
      <c r="BP71" s="531"/>
      <c r="BQ71" s="531"/>
      <c r="BR71" s="49"/>
      <c r="BT71" s="63"/>
      <c r="BU71" s="64"/>
      <c r="CA71" s="531"/>
      <c r="CB71" s="531"/>
      <c r="CC71" s="531"/>
      <c r="CF71" s="63"/>
      <c r="CG71" s="64"/>
      <c r="CM71" s="531"/>
      <c r="CN71" s="531"/>
      <c r="CO71" s="531"/>
    </row>
    <row r="72" spans="3:93" ht="39.950000000000003" customHeight="1">
      <c r="C72" s="134"/>
      <c r="D72" s="105"/>
      <c r="F72" s="105"/>
      <c r="G72" s="105"/>
      <c r="H72" s="105"/>
      <c r="I72" s="105"/>
      <c r="J72" s="105"/>
      <c r="K72" s="52"/>
      <c r="R72" s="76"/>
      <c r="V72" s="170"/>
      <c r="W72" s="69"/>
      <c r="X72" s="69"/>
      <c r="Y72" s="69"/>
      <c r="AD72" s="76"/>
      <c r="AG72" s="69"/>
      <c r="AH72" s="69"/>
      <c r="AI72" s="69"/>
      <c r="AJ72" s="69"/>
      <c r="AK72" s="69"/>
      <c r="AP72" s="76"/>
      <c r="AQ72" s="67"/>
      <c r="AR72" s="68"/>
      <c r="AS72" s="69"/>
      <c r="AT72" s="69"/>
      <c r="AU72" s="69"/>
      <c r="AV72" s="69"/>
      <c r="AW72" s="69"/>
      <c r="AX72" s="68"/>
      <c r="AY72" s="69"/>
      <c r="AZ72" s="67"/>
      <c r="BA72" s="69"/>
      <c r="BB72" s="76"/>
      <c r="BC72" s="67"/>
      <c r="BD72" s="68"/>
      <c r="BE72" s="69"/>
      <c r="BF72" s="69"/>
      <c r="BG72" s="69"/>
      <c r="BH72" s="69"/>
      <c r="BI72" s="69"/>
      <c r="BJ72" s="68"/>
      <c r="BK72" s="69"/>
      <c r="BL72" s="67"/>
      <c r="BM72" s="67"/>
      <c r="BN72" s="56"/>
      <c r="BO72" s="56"/>
      <c r="BR72" s="49"/>
      <c r="BT72" s="63"/>
      <c r="BW72" s="56"/>
      <c r="BX72" s="56"/>
      <c r="BY72" s="56"/>
      <c r="BZ72" s="56"/>
      <c r="CA72" s="56"/>
      <c r="CF72" s="63"/>
      <c r="CI72" s="56"/>
      <c r="CJ72" s="56"/>
      <c r="CK72" s="56"/>
      <c r="CL72" s="56"/>
      <c r="CM72" s="56"/>
    </row>
    <row r="73" spans="3:93" ht="39.950000000000003" customHeight="1">
      <c r="C73" s="134"/>
      <c r="D73" s="105"/>
      <c r="F73" s="105"/>
      <c r="G73" s="105"/>
      <c r="H73" s="105"/>
      <c r="I73" s="105"/>
      <c r="J73" s="105"/>
      <c r="K73" s="52"/>
      <c r="R73" s="76"/>
      <c r="V73" s="170"/>
      <c r="W73" s="69"/>
      <c r="X73" s="69"/>
      <c r="Y73" s="69"/>
      <c r="AD73" s="76"/>
      <c r="AG73" s="69"/>
      <c r="AH73" s="69"/>
      <c r="AI73" s="69"/>
      <c r="AJ73" s="69"/>
      <c r="AK73" s="69"/>
      <c r="AP73" s="76"/>
      <c r="AQ73" s="67"/>
      <c r="AR73" s="68"/>
      <c r="AS73" s="69"/>
      <c r="AT73" s="69"/>
      <c r="AU73" s="69"/>
      <c r="AV73" s="69"/>
      <c r="AW73" s="69"/>
      <c r="AX73" s="68"/>
      <c r="AY73" s="69"/>
      <c r="AZ73" s="67"/>
      <c r="BA73" s="69"/>
      <c r="BB73" s="76"/>
      <c r="BC73" s="67"/>
      <c r="BD73" s="68"/>
      <c r="BE73" s="69"/>
      <c r="BF73" s="69"/>
      <c r="BG73" s="69"/>
      <c r="BH73" s="69"/>
      <c r="BI73" s="69"/>
      <c r="BJ73" s="68"/>
      <c r="BK73" s="69"/>
      <c r="BL73" s="67"/>
      <c r="BM73" s="67"/>
      <c r="BN73" s="56"/>
      <c r="BO73" s="56"/>
      <c r="BR73" s="49"/>
      <c r="BT73" s="63"/>
      <c r="BW73" s="56"/>
      <c r="BX73" s="56"/>
      <c r="BY73" s="56"/>
      <c r="BZ73" s="56"/>
      <c r="CA73" s="56"/>
      <c r="CF73" s="63"/>
      <c r="CI73" s="56"/>
      <c r="CJ73" s="56"/>
      <c r="CK73" s="56"/>
      <c r="CL73" s="56"/>
      <c r="CM73" s="56"/>
    </row>
    <row r="74" spans="3:93" ht="39.950000000000003" customHeight="1">
      <c r="C74" s="134"/>
      <c r="D74" s="105"/>
      <c r="F74" s="105"/>
      <c r="G74" s="105"/>
      <c r="H74" s="105"/>
      <c r="I74" s="105"/>
      <c r="J74" s="105"/>
      <c r="K74" s="52"/>
      <c r="R74" s="76"/>
      <c r="V74" s="170"/>
      <c r="W74" s="69"/>
      <c r="X74" s="69"/>
      <c r="Y74" s="69"/>
      <c r="AD74" s="76"/>
      <c r="AG74" s="69"/>
      <c r="AH74" s="69"/>
      <c r="AI74" s="69"/>
      <c r="AJ74" s="69"/>
      <c r="AK74" s="69"/>
      <c r="AP74" s="76"/>
      <c r="AQ74" s="67"/>
      <c r="AR74" s="68"/>
      <c r="AS74" s="69"/>
      <c r="AT74" s="69"/>
      <c r="AU74" s="69"/>
      <c r="AV74" s="69"/>
      <c r="AW74" s="69"/>
      <c r="AX74" s="68"/>
      <c r="AY74" s="69"/>
      <c r="AZ74" s="67"/>
      <c r="BA74" s="69"/>
      <c r="BB74" s="76"/>
      <c r="BC74" s="67"/>
      <c r="BD74" s="68"/>
      <c r="BE74" s="69"/>
      <c r="BF74" s="69"/>
      <c r="BG74" s="69"/>
      <c r="BH74" s="69"/>
      <c r="BI74" s="69"/>
      <c r="BJ74" s="68"/>
      <c r="BK74" s="69"/>
      <c r="BL74" s="67"/>
      <c r="BM74" s="67"/>
      <c r="BN74" s="56"/>
      <c r="BO74" s="56"/>
      <c r="BR74" s="49"/>
      <c r="BT74" s="63"/>
      <c r="BW74" s="56"/>
      <c r="BX74" s="56"/>
      <c r="BY74" s="56"/>
      <c r="BZ74" s="56"/>
      <c r="CA74" s="56"/>
      <c r="CF74" s="63"/>
      <c r="CI74" s="56"/>
      <c r="CJ74" s="56"/>
      <c r="CK74" s="56"/>
      <c r="CL74" s="56"/>
      <c r="CM74" s="56"/>
    </row>
    <row r="75" spans="3:93" ht="39.950000000000003" customHeight="1">
      <c r="R75" s="76"/>
      <c r="V75" s="170"/>
      <c r="W75" s="69"/>
      <c r="X75" s="69"/>
      <c r="Y75" s="69"/>
      <c r="AD75" s="76"/>
      <c r="AG75" s="69"/>
      <c r="AH75" s="69"/>
      <c r="AI75" s="69"/>
      <c r="AJ75" s="69"/>
      <c r="AK75" s="69"/>
      <c r="AP75" s="76"/>
      <c r="AQ75" s="67"/>
      <c r="AR75" s="68"/>
      <c r="AS75" s="69"/>
      <c r="AT75" s="69"/>
      <c r="AU75" s="69"/>
      <c r="AV75" s="69"/>
      <c r="AW75" s="69"/>
      <c r="AX75" s="68"/>
      <c r="AY75" s="69"/>
      <c r="AZ75" s="67"/>
      <c r="BA75" s="69"/>
      <c r="BB75" s="76"/>
      <c r="BC75" s="67"/>
      <c r="BD75" s="68"/>
      <c r="BE75" s="69"/>
      <c r="BF75" s="69"/>
      <c r="BG75" s="69"/>
      <c r="BH75" s="69"/>
      <c r="BI75" s="69"/>
      <c r="BJ75" s="68"/>
      <c r="BK75" s="69"/>
      <c r="BL75" s="67"/>
      <c r="BM75" s="67"/>
      <c r="BN75" s="56"/>
      <c r="BO75" s="56"/>
      <c r="BR75" s="49"/>
      <c r="BT75" s="63"/>
      <c r="BW75" s="56"/>
      <c r="BX75" s="56"/>
      <c r="BY75" s="56"/>
      <c r="BZ75" s="56"/>
      <c r="CA75" s="56"/>
      <c r="CF75" s="63"/>
      <c r="CI75" s="56"/>
      <c r="CJ75" s="56"/>
      <c r="CK75" s="56"/>
      <c r="CL75" s="56"/>
      <c r="CM75" s="56"/>
    </row>
    <row r="76" spans="3:93" ht="39.950000000000003" customHeight="1">
      <c r="AQ76" s="67"/>
      <c r="AR76" s="68"/>
      <c r="AS76" s="68"/>
      <c r="AT76" s="68"/>
      <c r="AU76" s="68"/>
      <c r="AV76" s="68"/>
      <c r="AW76" s="68"/>
      <c r="AX76" s="68"/>
      <c r="AY76" s="69"/>
      <c r="AZ76" s="67"/>
      <c r="BA76" s="68"/>
      <c r="BB76" s="67"/>
      <c r="BC76" s="67"/>
      <c r="BD76" s="68"/>
      <c r="BE76" s="68"/>
      <c r="BF76" s="68"/>
      <c r="BG76" s="68"/>
      <c r="BH76" s="68"/>
      <c r="BI76" s="68"/>
      <c r="BJ76" s="68"/>
      <c r="BK76" s="69"/>
      <c r="BL76" s="67"/>
      <c r="BM76" s="67"/>
      <c r="BR76" s="49"/>
    </row>
    <row r="77" spans="3:93" ht="39.950000000000003" customHeight="1">
      <c r="R77" s="76"/>
      <c r="S77" s="77"/>
      <c r="Y77" s="533"/>
      <c r="Z77" s="533"/>
      <c r="AA77" s="533"/>
      <c r="AD77" s="76"/>
      <c r="AE77" s="77"/>
      <c r="AK77" s="533"/>
      <c r="AL77" s="533"/>
      <c r="AM77" s="533"/>
      <c r="AP77" s="76"/>
      <c r="AQ77" s="77"/>
      <c r="AR77" s="68"/>
      <c r="AS77" s="68"/>
      <c r="AT77" s="68"/>
      <c r="AU77" s="68"/>
      <c r="AV77" s="68"/>
      <c r="AW77" s="533"/>
      <c r="AX77" s="533"/>
      <c r="AY77" s="533"/>
      <c r="AZ77" s="67"/>
      <c r="BA77" s="68"/>
      <c r="BB77" s="76"/>
      <c r="BC77" s="77"/>
      <c r="BD77" s="68"/>
      <c r="BE77" s="68"/>
      <c r="BF77" s="68"/>
      <c r="BG77" s="68"/>
      <c r="BH77" s="68"/>
      <c r="BI77" s="533"/>
      <c r="BJ77" s="533"/>
      <c r="BK77" s="533"/>
      <c r="BL77" s="67"/>
      <c r="BM77" s="67"/>
      <c r="BO77" s="531"/>
      <c r="BP77" s="531"/>
      <c r="BQ77" s="531"/>
      <c r="BR77" s="49"/>
      <c r="BT77" s="63"/>
      <c r="BU77" s="64"/>
      <c r="CA77" s="531"/>
      <c r="CB77" s="531"/>
      <c r="CC77" s="531"/>
      <c r="CF77" s="63"/>
      <c r="CG77" s="64"/>
      <c r="CM77" s="531"/>
      <c r="CN77" s="531"/>
      <c r="CO77" s="531"/>
    </row>
    <row r="78" spans="3:93" ht="39.950000000000003" customHeight="1">
      <c r="R78" s="76"/>
      <c r="V78" s="170"/>
      <c r="W78" s="69"/>
      <c r="X78" s="69"/>
      <c r="Y78" s="69"/>
      <c r="AD78" s="76"/>
      <c r="AG78" s="69"/>
      <c r="AH78" s="69"/>
      <c r="AI78" s="69"/>
      <c r="AJ78" s="69"/>
      <c r="AK78" s="69"/>
      <c r="AP78" s="76"/>
      <c r="AQ78" s="67"/>
      <c r="AR78" s="68"/>
      <c r="AS78" s="69"/>
      <c r="AT78" s="69"/>
      <c r="AU78" s="69"/>
      <c r="AV78" s="69"/>
      <c r="AW78" s="69"/>
      <c r="AX78" s="68"/>
      <c r="AY78" s="69"/>
      <c r="AZ78" s="67"/>
      <c r="BA78" s="69"/>
      <c r="BB78" s="76"/>
      <c r="BC78" s="67"/>
      <c r="BD78" s="68"/>
      <c r="BE78" s="69"/>
      <c r="BF78" s="69"/>
      <c r="BG78" s="69"/>
      <c r="BH78" s="69"/>
      <c r="BI78" s="69"/>
      <c r="BJ78" s="68"/>
      <c r="BK78" s="69"/>
      <c r="BL78" s="67"/>
      <c r="BM78" s="67"/>
      <c r="BN78" s="56"/>
      <c r="BO78" s="56"/>
      <c r="BR78" s="49"/>
      <c r="BT78" s="63"/>
      <c r="BW78" s="56"/>
      <c r="BX78" s="56"/>
      <c r="BY78" s="56"/>
      <c r="BZ78" s="56"/>
      <c r="CA78" s="56"/>
      <c r="CF78" s="63"/>
      <c r="CI78" s="56"/>
      <c r="CJ78" s="56"/>
      <c r="CK78" s="56"/>
      <c r="CL78" s="56"/>
      <c r="CM78" s="56"/>
    </row>
    <row r="79" spans="3:93" ht="39.950000000000003" customHeight="1">
      <c r="R79" s="76"/>
      <c r="V79" s="170"/>
      <c r="W79" s="69"/>
      <c r="X79" s="69"/>
      <c r="Y79" s="69"/>
      <c r="AD79" s="76"/>
      <c r="AG79" s="69"/>
      <c r="AH79" s="69"/>
      <c r="AI79" s="69"/>
      <c r="AJ79" s="69"/>
      <c r="AK79" s="69"/>
      <c r="AP79" s="76"/>
      <c r="AQ79" s="67"/>
      <c r="AR79" s="68"/>
      <c r="AS79" s="69"/>
      <c r="AT79" s="69"/>
      <c r="AU79" s="69"/>
      <c r="AV79" s="69"/>
      <c r="AW79" s="69"/>
      <c r="AX79" s="68"/>
      <c r="AY79" s="69"/>
      <c r="AZ79" s="67"/>
      <c r="BA79" s="69"/>
      <c r="BB79" s="76"/>
      <c r="BC79" s="67"/>
      <c r="BD79" s="68"/>
      <c r="BE79" s="69"/>
      <c r="BF79" s="69"/>
      <c r="BG79" s="69"/>
      <c r="BH79" s="69"/>
      <c r="BI79" s="69"/>
      <c r="BJ79" s="68"/>
      <c r="BK79" s="69"/>
      <c r="BL79" s="67"/>
      <c r="BM79" s="67"/>
      <c r="BN79" s="56"/>
      <c r="BO79" s="56"/>
      <c r="BR79" s="49"/>
      <c r="BT79" s="63"/>
      <c r="BW79" s="56"/>
      <c r="BX79" s="56"/>
      <c r="BY79" s="56"/>
      <c r="BZ79" s="56"/>
      <c r="CA79" s="56"/>
      <c r="CF79" s="63"/>
      <c r="CI79" s="56"/>
      <c r="CJ79" s="56"/>
      <c r="CK79" s="56"/>
      <c r="CL79" s="56"/>
      <c r="CM79" s="56"/>
    </row>
    <row r="80" spans="3:93" ht="39.950000000000003" customHeight="1">
      <c r="R80" s="76"/>
      <c r="V80" s="170"/>
      <c r="W80" s="69"/>
      <c r="X80" s="69"/>
      <c r="Y80" s="69"/>
      <c r="AD80" s="76"/>
      <c r="AG80" s="69"/>
      <c r="AH80" s="69"/>
      <c r="AI80" s="69"/>
      <c r="AJ80" s="69"/>
      <c r="AK80" s="69"/>
      <c r="AP80" s="76"/>
      <c r="AQ80" s="67"/>
      <c r="AR80" s="68"/>
      <c r="AS80" s="69"/>
      <c r="AT80" s="69"/>
      <c r="AU80" s="69"/>
      <c r="AV80" s="69"/>
      <c r="AW80" s="69"/>
      <c r="AX80" s="68"/>
      <c r="AY80" s="69"/>
      <c r="AZ80" s="67"/>
      <c r="BA80" s="69"/>
      <c r="BB80" s="76"/>
      <c r="BC80" s="67"/>
      <c r="BD80" s="68"/>
      <c r="BE80" s="69"/>
      <c r="BF80" s="69"/>
      <c r="BG80" s="69"/>
      <c r="BH80" s="69"/>
      <c r="BI80" s="69"/>
      <c r="BJ80" s="68"/>
      <c r="BK80" s="69"/>
      <c r="BL80" s="67"/>
      <c r="BM80" s="67"/>
      <c r="BN80" s="56"/>
      <c r="BO80" s="56"/>
      <c r="BR80" s="49"/>
      <c r="BT80" s="63"/>
      <c r="BW80" s="56"/>
      <c r="BX80" s="56"/>
      <c r="BY80" s="56"/>
      <c r="BZ80" s="56"/>
      <c r="CA80" s="56"/>
      <c r="CF80" s="63"/>
      <c r="CI80" s="56"/>
      <c r="CJ80" s="56"/>
      <c r="CK80" s="56"/>
      <c r="CL80" s="56"/>
      <c r="CM80" s="56"/>
    </row>
    <row r="81" spans="18:93" ht="39.950000000000003" customHeight="1">
      <c r="R81" s="76"/>
      <c r="V81" s="170"/>
      <c r="W81" s="69"/>
      <c r="X81" s="69"/>
      <c r="Y81" s="69"/>
      <c r="AD81" s="76"/>
      <c r="AG81" s="69"/>
      <c r="AH81" s="69"/>
      <c r="AI81" s="69"/>
      <c r="AJ81" s="69"/>
      <c r="AK81" s="69"/>
      <c r="AP81" s="76"/>
      <c r="AQ81" s="67"/>
      <c r="AR81" s="68"/>
      <c r="AS81" s="69"/>
      <c r="AT81" s="69"/>
      <c r="AU81" s="69"/>
      <c r="AV81" s="69"/>
      <c r="AW81" s="69"/>
      <c r="AX81" s="68"/>
      <c r="AY81" s="69"/>
      <c r="AZ81" s="67"/>
      <c r="BA81" s="69"/>
      <c r="BB81" s="76"/>
      <c r="BC81" s="67"/>
      <c r="BD81" s="68"/>
      <c r="BE81" s="69"/>
      <c r="BF81" s="69"/>
      <c r="BG81" s="69"/>
      <c r="BH81" s="69"/>
      <c r="BI81" s="69"/>
      <c r="BJ81" s="68"/>
      <c r="BK81" s="69"/>
      <c r="BL81" s="67"/>
      <c r="BM81" s="67"/>
      <c r="BN81" s="56"/>
      <c r="BO81" s="56"/>
      <c r="BR81" s="49"/>
      <c r="BT81" s="63"/>
      <c r="BW81" s="56"/>
      <c r="BX81" s="56"/>
      <c r="BY81" s="56"/>
      <c r="BZ81" s="56"/>
      <c r="CA81" s="56"/>
      <c r="CF81" s="63"/>
      <c r="CI81" s="56"/>
      <c r="CJ81" s="56"/>
      <c r="CK81" s="56"/>
      <c r="CL81" s="56"/>
      <c r="CM81" s="56"/>
    </row>
    <row r="82" spans="18:93" ht="39.950000000000003" customHeight="1">
      <c r="AQ82" s="67"/>
      <c r="AR82" s="68"/>
      <c r="AS82" s="68"/>
      <c r="AT82" s="68"/>
      <c r="AU82" s="68"/>
      <c r="AV82" s="68"/>
      <c r="AW82" s="68"/>
      <c r="AX82" s="68"/>
      <c r="AY82" s="69"/>
      <c r="AZ82" s="67"/>
      <c r="BA82" s="68"/>
      <c r="BB82" s="67"/>
      <c r="BC82" s="67"/>
      <c r="BD82" s="68"/>
      <c r="BE82" s="68"/>
      <c r="BF82" s="68"/>
      <c r="BG82" s="68"/>
      <c r="BH82" s="68"/>
      <c r="BI82" s="68"/>
      <c r="BJ82" s="68"/>
      <c r="BK82" s="69"/>
      <c r="BL82" s="67"/>
      <c r="BM82" s="67"/>
    </row>
    <row r="83" spans="18:93" ht="39.950000000000003" customHeight="1">
      <c r="R83" s="76"/>
      <c r="S83" s="77"/>
      <c r="Y83" s="533"/>
      <c r="Z83" s="533"/>
      <c r="AA83" s="533"/>
      <c r="AD83" s="76"/>
      <c r="AE83" s="77"/>
      <c r="AK83" s="533"/>
      <c r="AL83" s="533"/>
      <c r="AM83" s="533"/>
      <c r="AP83" s="76"/>
      <c r="AQ83" s="77"/>
      <c r="AR83" s="68"/>
      <c r="AS83" s="68"/>
      <c r="AT83" s="68"/>
      <c r="AU83" s="68"/>
      <c r="AV83" s="68"/>
      <c r="AW83" s="533"/>
      <c r="AX83" s="533"/>
      <c r="AY83" s="533"/>
      <c r="AZ83" s="67"/>
      <c r="BA83" s="68"/>
      <c r="BB83" s="76"/>
      <c r="BC83" s="77"/>
      <c r="BD83" s="68"/>
      <c r="BE83" s="68"/>
      <c r="BF83" s="68"/>
      <c r="BG83" s="68"/>
      <c r="BH83" s="68"/>
      <c r="BI83" s="533"/>
      <c r="BJ83" s="533"/>
      <c r="BK83" s="533"/>
      <c r="BL83" s="67"/>
      <c r="BM83" s="67"/>
      <c r="BO83" s="531"/>
      <c r="BP83" s="531"/>
      <c r="BQ83" s="531"/>
      <c r="BT83" s="63"/>
      <c r="BU83" s="64"/>
      <c r="CA83" s="531"/>
      <c r="CB83" s="531"/>
      <c r="CC83" s="531"/>
      <c r="CF83" s="63"/>
      <c r="CG83" s="64"/>
      <c r="CM83" s="531"/>
      <c r="CN83" s="531"/>
      <c r="CO83" s="531"/>
    </row>
    <row r="84" spans="18:93" ht="39.950000000000003" customHeight="1">
      <c r="R84" s="76"/>
      <c r="V84" s="170"/>
      <c r="W84" s="69"/>
      <c r="X84" s="69"/>
      <c r="Y84" s="69"/>
      <c r="AD84" s="76"/>
      <c r="AG84" s="69"/>
      <c r="AH84" s="69"/>
      <c r="AI84" s="69"/>
      <c r="AJ84" s="69"/>
      <c r="AK84" s="69"/>
      <c r="AP84" s="76"/>
      <c r="AQ84" s="67"/>
      <c r="AR84" s="68"/>
      <c r="AS84" s="69"/>
      <c r="AT84" s="69"/>
      <c r="AU84" s="69"/>
      <c r="AV84" s="69"/>
      <c r="AW84" s="69"/>
      <c r="AX84" s="68"/>
      <c r="AY84" s="69"/>
      <c r="AZ84" s="67"/>
      <c r="BA84" s="69"/>
      <c r="BB84" s="76"/>
      <c r="BC84" s="67"/>
      <c r="BD84" s="68"/>
      <c r="BE84" s="69"/>
      <c r="BF84" s="69"/>
      <c r="BG84" s="69"/>
      <c r="BH84" s="69"/>
      <c r="BI84" s="69"/>
      <c r="BJ84" s="68"/>
      <c r="BK84" s="69"/>
      <c r="BL84" s="67"/>
      <c r="BM84" s="67"/>
      <c r="BN84" s="56"/>
      <c r="BO84" s="56"/>
      <c r="BT84" s="63"/>
      <c r="BW84" s="56"/>
      <c r="BX84" s="56"/>
      <c r="BY84" s="56"/>
      <c r="BZ84" s="56"/>
      <c r="CA84" s="56"/>
      <c r="CF84" s="63"/>
      <c r="CI84" s="56"/>
      <c r="CJ84" s="56"/>
      <c r="CK84" s="56"/>
      <c r="CL84" s="56"/>
      <c r="CM84" s="56"/>
    </row>
    <row r="85" spans="18:93" ht="39.950000000000003" customHeight="1">
      <c r="R85" s="76"/>
      <c r="V85" s="170"/>
      <c r="W85" s="69"/>
      <c r="X85" s="69"/>
      <c r="Y85" s="69"/>
      <c r="AD85" s="76"/>
      <c r="AG85" s="69"/>
      <c r="AH85" s="69"/>
      <c r="AI85" s="69"/>
      <c r="AJ85" s="69"/>
      <c r="AK85" s="69"/>
      <c r="AP85" s="76"/>
      <c r="AQ85" s="67"/>
      <c r="AR85" s="68"/>
      <c r="AS85" s="69"/>
      <c r="AT85" s="69"/>
      <c r="AU85" s="69"/>
      <c r="AV85" s="69"/>
      <c r="AW85" s="69"/>
      <c r="AX85" s="68"/>
      <c r="AY85" s="69"/>
      <c r="AZ85" s="67"/>
      <c r="BA85" s="69"/>
      <c r="BB85" s="76"/>
      <c r="BC85" s="67"/>
      <c r="BD85" s="68"/>
      <c r="BE85" s="69"/>
      <c r="BF85" s="69"/>
      <c r="BG85" s="69"/>
      <c r="BH85" s="69"/>
      <c r="BI85" s="69"/>
      <c r="BJ85" s="68"/>
      <c r="BK85" s="69"/>
      <c r="BL85" s="67"/>
      <c r="BM85" s="67"/>
      <c r="BN85" s="56"/>
      <c r="BO85" s="56"/>
      <c r="BT85" s="63"/>
      <c r="BW85" s="56"/>
      <c r="BX85" s="56"/>
      <c r="BY85" s="56"/>
      <c r="BZ85" s="56"/>
      <c r="CA85" s="56"/>
      <c r="CF85" s="63"/>
      <c r="CI85" s="56"/>
      <c r="CJ85" s="56"/>
      <c r="CK85" s="56"/>
      <c r="CL85" s="56"/>
      <c r="CM85" s="56"/>
    </row>
    <row r="86" spans="18:93" ht="39.950000000000003" customHeight="1">
      <c r="R86" s="76"/>
      <c r="V86" s="170"/>
      <c r="W86" s="69"/>
      <c r="X86" s="69"/>
      <c r="Y86" s="69"/>
      <c r="AD86" s="76"/>
      <c r="AG86" s="69"/>
      <c r="AH86" s="69"/>
      <c r="AI86" s="69"/>
      <c r="AJ86" s="69"/>
      <c r="AK86" s="69"/>
      <c r="AP86" s="76"/>
      <c r="AQ86" s="67"/>
      <c r="AR86" s="68"/>
      <c r="AS86" s="69"/>
      <c r="AT86" s="69"/>
      <c r="AU86" s="69"/>
      <c r="AV86" s="69"/>
      <c r="AW86" s="69"/>
      <c r="AX86" s="68"/>
      <c r="AY86" s="69"/>
      <c r="AZ86" s="67"/>
      <c r="BA86" s="69"/>
      <c r="BB86" s="76"/>
      <c r="BC86" s="67"/>
      <c r="BD86" s="68"/>
      <c r="BE86" s="69"/>
      <c r="BF86" s="69"/>
      <c r="BG86" s="69"/>
      <c r="BH86" s="69"/>
      <c r="BI86" s="69"/>
      <c r="BJ86" s="68"/>
      <c r="BK86" s="69"/>
      <c r="BL86" s="67"/>
      <c r="BM86" s="67"/>
      <c r="BN86" s="56"/>
      <c r="BO86" s="56"/>
      <c r="BT86" s="63"/>
      <c r="BW86" s="56"/>
      <c r="BX86" s="56"/>
      <c r="BY86" s="56"/>
      <c r="BZ86" s="56"/>
      <c r="CA86" s="56"/>
      <c r="CF86" s="63"/>
      <c r="CI86" s="56"/>
      <c r="CJ86" s="56"/>
      <c r="CK86" s="56"/>
      <c r="CL86" s="56"/>
      <c r="CM86" s="56"/>
    </row>
    <row r="87" spans="18:93" ht="39.950000000000003" customHeight="1">
      <c r="R87" s="76"/>
      <c r="V87" s="170"/>
      <c r="W87" s="69"/>
      <c r="X87" s="69"/>
      <c r="Y87" s="69"/>
      <c r="AD87" s="76"/>
      <c r="AG87" s="69"/>
      <c r="AH87" s="69"/>
      <c r="AI87" s="69"/>
      <c r="AJ87" s="69"/>
      <c r="AK87" s="69"/>
      <c r="AP87" s="76"/>
      <c r="AQ87" s="67"/>
      <c r="AR87" s="68"/>
      <c r="AS87" s="69"/>
      <c r="AT87" s="69"/>
      <c r="AU87" s="69"/>
      <c r="AV87" s="69"/>
      <c r="AW87" s="69"/>
      <c r="AX87" s="68"/>
      <c r="AY87" s="69"/>
      <c r="AZ87" s="67"/>
      <c r="BA87" s="69"/>
      <c r="BB87" s="76"/>
      <c r="BC87" s="67"/>
      <c r="BD87" s="68"/>
      <c r="BE87" s="69"/>
      <c r="BF87" s="69"/>
      <c r="BG87" s="69"/>
      <c r="BH87" s="69"/>
      <c r="BI87" s="69"/>
      <c r="BJ87" s="68"/>
      <c r="BK87" s="69"/>
      <c r="BL87" s="67"/>
      <c r="BM87" s="67"/>
      <c r="BN87" s="56"/>
      <c r="BO87" s="56"/>
      <c r="BT87" s="63"/>
      <c r="BW87" s="56"/>
      <c r="BX87" s="56"/>
      <c r="BY87" s="56"/>
      <c r="BZ87" s="56"/>
      <c r="CA87" s="56"/>
      <c r="CF87" s="63"/>
      <c r="CI87" s="56"/>
      <c r="CJ87" s="56"/>
      <c r="CK87" s="56"/>
      <c r="CL87" s="56"/>
      <c r="CM87" s="56"/>
    </row>
    <row r="88" spans="18:93" ht="39.950000000000003" customHeight="1">
      <c r="AQ88" s="67"/>
      <c r="AR88" s="68"/>
      <c r="AS88" s="68"/>
      <c r="AT88" s="68"/>
      <c r="AU88" s="68"/>
      <c r="AV88" s="68"/>
      <c r="AW88" s="68"/>
      <c r="AX88" s="68"/>
      <c r="AY88" s="69"/>
      <c r="AZ88" s="67"/>
      <c r="BA88" s="68"/>
      <c r="BB88" s="67"/>
      <c r="BC88" s="67"/>
      <c r="BD88" s="68"/>
      <c r="BE88" s="68"/>
      <c r="BF88" s="68"/>
      <c r="BG88" s="68"/>
      <c r="BH88" s="68"/>
      <c r="BI88" s="68"/>
      <c r="BJ88" s="68"/>
      <c r="BK88" s="69"/>
      <c r="BL88" s="67"/>
      <c r="BM88" s="67"/>
    </row>
    <row r="89" spans="18:93" ht="39.950000000000003" customHeight="1">
      <c r="R89" s="76"/>
      <c r="S89" s="77"/>
      <c r="Y89" s="533"/>
      <c r="Z89" s="533"/>
      <c r="AA89" s="533"/>
      <c r="AD89" s="76"/>
      <c r="AE89" s="77"/>
      <c r="AK89" s="533"/>
      <c r="AL89" s="533"/>
      <c r="AM89" s="533"/>
      <c r="AP89" s="76"/>
      <c r="AQ89" s="77"/>
      <c r="AR89" s="68"/>
      <c r="AS89" s="68"/>
      <c r="AT89" s="68"/>
      <c r="AU89" s="68"/>
      <c r="AV89" s="68"/>
      <c r="AW89" s="533"/>
      <c r="AX89" s="533"/>
      <c r="AY89" s="533"/>
      <c r="AZ89" s="67"/>
      <c r="BA89" s="68"/>
      <c r="BB89" s="76"/>
      <c r="BC89" s="77"/>
      <c r="BD89" s="68"/>
      <c r="BE89" s="68"/>
      <c r="BF89" s="68"/>
      <c r="BG89" s="68"/>
      <c r="BH89" s="68"/>
      <c r="BI89" s="533"/>
      <c r="BJ89" s="533"/>
      <c r="BK89" s="533"/>
      <c r="BL89" s="67"/>
      <c r="BM89" s="67"/>
      <c r="BO89" s="531"/>
      <c r="BP89" s="531"/>
      <c r="BQ89" s="531"/>
      <c r="BT89" s="63"/>
      <c r="BU89" s="64"/>
      <c r="CA89" s="531"/>
      <c r="CB89" s="531"/>
      <c r="CC89" s="531"/>
      <c r="CF89" s="63"/>
      <c r="CG89" s="64"/>
      <c r="CM89" s="531"/>
      <c r="CN89" s="531"/>
      <c r="CO89" s="531"/>
    </row>
    <row r="90" spans="18:93" ht="39.950000000000003" customHeight="1">
      <c r="R90" s="76"/>
      <c r="V90" s="170"/>
      <c r="W90" s="69"/>
      <c r="X90" s="69"/>
      <c r="Y90" s="69"/>
      <c r="AD90" s="76"/>
      <c r="AG90" s="69"/>
      <c r="AH90" s="69"/>
      <c r="AI90" s="69"/>
      <c r="AJ90" s="69"/>
      <c r="AK90" s="69"/>
      <c r="AP90" s="76"/>
      <c r="AQ90" s="67"/>
      <c r="AR90" s="68"/>
      <c r="AS90" s="69"/>
      <c r="AT90" s="69"/>
      <c r="AU90" s="69"/>
      <c r="AV90" s="69"/>
      <c r="AW90" s="69"/>
      <c r="AX90" s="68"/>
      <c r="AY90" s="69"/>
      <c r="AZ90" s="67"/>
      <c r="BA90" s="69"/>
      <c r="BB90" s="76"/>
      <c r="BC90" s="67"/>
      <c r="BD90" s="68"/>
      <c r="BE90" s="69"/>
      <c r="BF90" s="69"/>
      <c r="BG90" s="69"/>
      <c r="BH90" s="69"/>
      <c r="BI90" s="69"/>
      <c r="BJ90" s="68"/>
      <c r="BK90" s="69"/>
      <c r="BL90" s="67"/>
      <c r="BM90" s="67"/>
      <c r="BN90" s="56"/>
      <c r="BO90" s="56"/>
      <c r="BT90" s="63"/>
      <c r="BW90" s="56"/>
      <c r="BX90" s="56"/>
      <c r="BY90" s="56"/>
      <c r="BZ90" s="56"/>
      <c r="CA90" s="56"/>
      <c r="CF90" s="63"/>
      <c r="CI90" s="56"/>
      <c r="CJ90" s="56"/>
      <c r="CK90" s="56"/>
      <c r="CL90" s="56"/>
      <c r="CM90" s="56"/>
    </row>
    <row r="91" spans="18:93" ht="39.950000000000003" customHeight="1">
      <c r="R91" s="76"/>
      <c r="V91" s="170"/>
      <c r="W91" s="69"/>
      <c r="X91" s="69"/>
      <c r="Y91" s="69"/>
      <c r="AD91" s="76"/>
      <c r="AG91" s="69"/>
      <c r="AH91" s="69"/>
      <c r="AI91" s="69"/>
      <c r="AJ91" s="69"/>
      <c r="AK91" s="69"/>
      <c r="AP91" s="76"/>
      <c r="AQ91" s="67"/>
      <c r="AR91" s="68"/>
      <c r="AS91" s="69"/>
      <c r="AT91" s="69"/>
      <c r="AU91" s="69"/>
      <c r="AV91" s="69"/>
      <c r="AW91" s="69"/>
      <c r="AX91" s="68"/>
      <c r="AY91" s="69"/>
      <c r="AZ91" s="67"/>
      <c r="BA91" s="69"/>
      <c r="BB91" s="76"/>
      <c r="BC91" s="67"/>
      <c r="BD91" s="68"/>
      <c r="BE91" s="69"/>
      <c r="BF91" s="69"/>
      <c r="BG91" s="69"/>
      <c r="BH91" s="69"/>
      <c r="BI91" s="69"/>
      <c r="BJ91" s="68"/>
      <c r="BK91" s="69"/>
      <c r="BL91" s="67"/>
      <c r="BM91" s="67"/>
      <c r="BN91" s="56"/>
      <c r="BO91" s="56"/>
      <c r="BT91" s="63"/>
      <c r="BW91" s="56"/>
      <c r="BX91" s="56"/>
      <c r="BY91" s="56"/>
      <c r="BZ91" s="56"/>
      <c r="CA91" s="56"/>
      <c r="CF91" s="63"/>
      <c r="CI91" s="56"/>
      <c r="CJ91" s="56"/>
      <c r="CK91" s="56"/>
      <c r="CL91" s="56"/>
      <c r="CM91" s="56"/>
    </row>
    <row r="92" spans="18:93" ht="39.950000000000003" customHeight="1">
      <c r="R92" s="76"/>
      <c r="V92" s="170"/>
      <c r="W92" s="69"/>
      <c r="X92" s="69"/>
      <c r="Y92" s="69"/>
      <c r="AD92" s="76"/>
      <c r="AG92" s="69"/>
      <c r="AH92" s="69"/>
      <c r="AI92" s="69"/>
      <c r="AJ92" s="69"/>
      <c r="AK92" s="69"/>
      <c r="AP92" s="76"/>
      <c r="AQ92" s="67"/>
      <c r="AR92" s="68"/>
      <c r="AS92" s="69"/>
      <c r="AT92" s="69"/>
      <c r="AU92" s="69"/>
      <c r="AV92" s="69"/>
      <c r="AW92" s="69"/>
      <c r="AX92" s="68"/>
      <c r="AY92" s="69"/>
      <c r="AZ92" s="67"/>
      <c r="BA92" s="69"/>
      <c r="BB92" s="76"/>
      <c r="BC92" s="67"/>
      <c r="BD92" s="68"/>
      <c r="BE92" s="69"/>
      <c r="BF92" s="69"/>
      <c r="BG92" s="69"/>
      <c r="BH92" s="69"/>
      <c r="BI92" s="69"/>
      <c r="BJ92" s="68"/>
      <c r="BK92" s="69"/>
      <c r="BL92" s="67"/>
      <c r="BM92" s="67"/>
      <c r="BN92" s="56"/>
      <c r="BO92" s="56"/>
      <c r="BT92" s="63"/>
      <c r="BW92" s="56"/>
      <c r="BX92" s="56"/>
      <c r="BY92" s="56"/>
      <c r="BZ92" s="56"/>
      <c r="CA92" s="56"/>
      <c r="CF92" s="63"/>
      <c r="CI92" s="56"/>
      <c r="CJ92" s="56"/>
      <c r="CK92" s="56"/>
      <c r="CL92" s="56"/>
      <c r="CM92" s="56"/>
    </row>
    <row r="93" spans="18:93" ht="39.950000000000003" customHeight="1">
      <c r="R93" s="76"/>
      <c r="V93" s="170"/>
      <c r="W93" s="69"/>
      <c r="X93" s="69"/>
      <c r="Y93" s="69"/>
      <c r="AD93" s="76"/>
      <c r="AG93" s="69"/>
      <c r="AH93" s="69"/>
      <c r="AI93" s="69"/>
      <c r="AJ93" s="69"/>
      <c r="AK93" s="69"/>
      <c r="AP93" s="76"/>
      <c r="AQ93" s="67"/>
      <c r="AR93" s="68"/>
      <c r="AS93" s="69"/>
      <c r="AT93" s="69"/>
      <c r="AU93" s="69"/>
      <c r="AV93" s="69"/>
      <c r="AW93" s="69"/>
      <c r="AX93" s="68"/>
      <c r="AY93" s="69"/>
      <c r="AZ93" s="67"/>
      <c r="BA93" s="69"/>
      <c r="BB93" s="76"/>
      <c r="BC93" s="67"/>
      <c r="BD93" s="68"/>
      <c r="BE93" s="69"/>
      <c r="BF93" s="69"/>
      <c r="BG93" s="69"/>
      <c r="BH93" s="69"/>
      <c r="BI93" s="69"/>
      <c r="BJ93" s="68"/>
      <c r="BK93" s="69"/>
      <c r="BL93" s="67"/>
      <c r="BM93" s="67"/>
      <c r="BN93" s="56"/>
      <c r="BO93" s="56"/>
      <c r="BT93" s="63"/>
      <c r="BW93" s="56"/>
      <c r="BX93" s="56"/>
      <c r="BY93" s="56"/>
      <c r="BZ93" s="56"/>
      <c r="CA93" s="56"/>
      <c r="CF93" s="63"/>
      <c r="CI93" s="56"/>
      <c r="CJ93" s="56"/>
      <c r="CK93" s="56"/>
      <c r="CL93" s="56"/>
      <c r="CM93" s="56"/>
    </row>
    <row r="94" spans="18:93" ht="39.950000000000003" customHeight="1">
      <c r="AQ94" s="67"/>
      <c r="AR94" s="68"/>
      <c r="AS94" s="68"/>
      <c r="AT94" s="68"/>
      <c r="AU94" s="68"/>
      <c r="AV94" s="68"/>
      <c r="AW94" s="68"/>
      <c r="AX94" s="68"/>
      <c r="AY94" s="69"/>
      <c r="AZ94" s="67"/>
      <c r="BA94" s="68"/>
      <c r="BB94" s="67"/>
      <c r="BC94" s="67"/>
      <c r="BD94" s="68"/>
      <c r="BE94" s="68"/>
      <c r="BF94" s="68"/>
      <c r="BG94" s="68"/>
      <c r="BH94" s="68"/>
      <c r="BI94" s="68"/>
      <c r="BJ94" s="68"/>
      <c r="BK94" s="69"/>
      <c r="BL94" s="67"/>
      <c r="BM94" s="67"/>
    </row>
    <row r="95" spans="18:93" ht="39.950000000000003" customHeight="1">
      <c r="R95" s="76"/>
      <c r="S95" s="77"/>
      <c r="Y95" s="533"/>
      <c r="Z95" s="533"/>
      <c r="AA95" s="533"/>
      <c r="AD95" s="76"/>
      <c r="AE95" s="77"/>
      <c r="AK95" s="533"/>
      <c r="AL95" s="533"/>
      <c r="AM95" s="533"/>
      <c r="AP95" s="76"/>
      <c r="AQ95" s="77"/>
      <c r="AR95" s="68"/>
      <c r="AS95" s="68"/>
      <c r="AT95" s="68"/>
      <c r="AU95" s="68"/>
      <c r="AV95" s="68"/>
      <c r="AW95" s="533"/>
      <c r="AX95" s="533"/>
      <c r="AY95" s="533"/>
      <c r="AZ95" s="67"/>
      <c r="BA95" s="68"/>
      <c r="BB95" s="76"/>
      <c r="BC95" s="77"/>
      <c r="BD95" s="68"/>
      <c r="BE95" s="68"/>
      <c r="BF95" s="68"/>
      <c r="BG95" s="68"/>
      <c r="BH95" s="68"/>
      <c r="BI95" s="533"/>
      <c r="BJ95" s="533"/>
      <c r="BK95" s="533"/>
      <c r="BL95" s="67"/>
      <c r="BM95" s="67"/>
      <c r="BO95" s="531"/>
      <c r="BP95" s="531"/>
      <c r="BQ95" s="531"/>
      <c r="BT95" s="63"/>
      <c r="BU95" s="64"/>
      <c r="CA95" s="531"/>
      <c r="CB95" s="531"/>
      <c r="CC95" s="531"/>
      <c r="CF95" s="63"/>
      <c r="CG95" s="64"/>
      <c r="CM95" s="531"/>
      <c r="CN95" s="531"/>
      <c r="CO95" s="531"/>
    </row>
    <row r="96" spans="18:93" ht="39.950000000000003" customHeight="1">
      <c r="R96" s="76"/>
      <c r="V96" s="170"/>
      <c r="W96" s="69"/>
      <c r="X96" s="69"/>
      <c r="Y96" s="69"/>
      <c r="AD96" s="76"/>
      <c r="AG96" s="69"/>
      <c r="AH96" s="69"/>
      <c r="AI96" s="69"/>
      <c r="AJ96" s="69"/>
      <c r="AK96" s="69"/>
      <c r="AP96" s="76"/>
      <c r="AQ96" s="67"/>
      <c r="AR96" s="68"/>
      <c r="AS96" s="69"/>
      <c r="AT96" s="69"/>
      <c r="AU96" s="69"/>
      <c r="AV96" s="69"/>
      <c r="AW96" s="69"/>
      <c r="AX96" s="68"/>
      <c r="AY96" s="69"/>
      <c r="AZ96" s="67"/>
      <c r="BA96" s="69"/>
      <c r="BB96" s="76"/>
      <c r="BC96" s="67"/>
      <c r="BD96" s="68"/>
      <c r="BE96" s="69"/>
      <c r="BF96" s="69"/>
      <c r="BG96" s="69"/>
      <c r="BH96" s="69"/>
      <c r="BI96" s="69"/>
      <c r="BJ96" s="68"/>
      <c r="BK96" s="69"/>
      <c r="BL96" s="67"/>
      <c r="BM96" s="67"/>
      <c r="BN96" s="56"/>
      <c r="BO96" s="56"/>
      <c r="BT96" s="63"/>
      <c r="BW96" s="56"/>
      <c r="BX96" s="56"/>
      <c r="BY96" s="56"/>
      <c r="BZ96" s="56"/>
      <c r="CA96" s="56"/>
      <c r="CF96" s="63"/>
      <c r="CI96" s="56"/>
      <c r="CJ96" s="56"/>
      <c r="CK96" s="56"/>
      <c r="CL96" s="56"/>
      <c r="CM96" s="56"/>
    </row>
    <row r="97" spans="18:93" ht="39.950000000000003" customHeight="1">
      <c r="R97" s="76"/>
      <c r="V97" s="170"/>
      <c r="W97" s="69"/>
      <c r="X97" s="69"/>
      <c r="Y97" s="69"/>
      <c r="AD97" s="76"/>
      <c r="AG97" s="69"/>
      <c r="AH97" s="69"/>
      <c r="AI97" s="69"/>
      <c r="AJ97" s="69"/>
      <c r="AK97" s="69"/>
      <c r="AP97" s="76"/>
      <c r="AQ97" s="67"/>
      <c r="AR97" s="68"/>
      <c r="AS97" s="69"/>
      <c r="AT97" s="69"/>
      <c r="AU97" s="69"/>
      <c r="AV97" s="69"/>
      <c r="AW97" s="69"/>
      <c r="AX97" s="68"/>
      <c r="AY97" s="69"/>
      <c r="AZ97" s="67"/>
      <c r="BA97" s="69"/>
      <c r="BB97" s="76"/>
      <c r="BC97" s="67"/>
      <c r="BD97" s="68"/>
      <c r="BE97" s="69"/>
      <c r="BF97" s="69"/>
      <c r="BG97" s="69"/>
      <c r="BH97" s="69"/>
      <c r="BI97" s="69"/>
      <c r="BJ97" s="68"/>
      <c r="BK97" s="69"/>
      <c r="BL97" s="67"/>
      <c r="BM97" s="67"/>
      <c r="BN97" s="56"/>
      <c r="BO97" s="56"/>
      <c r="BT97" s="63"/>
      <c r="BW97" s="56"/>
      <c r="BX97" s="56"/>
      <c r="BY97" s="56"/>
      <c r="BZ97" s="56"/>
      <c r="CA97" s="56"/>
      <c r="CF97" s="63"/>
      <c r="CI97" s="56"/>
      <c r="CJ97" s="56"/>
      <c r="CK97" s="56"/>
      <c r="CL97" s="56"/>
      <c r="CM97" s="56"/>
    </row>
    <row r="98" spans="18:93" ht="39.950000000000003" customHeight="1">
      <c r="R98" s="76"/>
      <c r="V98" s="170"/>
      <c r="W98" s="69"/>
      <c r="X98" s="69"/>
      <c r="Y98" s="69"/>
      <c r="AD98" s="76"/>
      <c r="AG98" s="69"/>
      <c r="AH98" s="69"/>
      <c r="AI98" s="69"/>
      <c r="AJ98" s="69"/>
      <c r="AK98" s="69"/>
      <c r="AP98" s="76"/>
      <c r="AQ98" s="67"/>
      <c r="AR98" s="68"/>
      <c r="AS98" s="69"/>
      <c r="AT98" s="69"/>
      <c r="AU98" s="69"/>
      <c r="AV98" s="69"/>
      <c r="AW98" s="69"/>
      <c r="AX98" s="68"/>
      <c r="AY98" s="69"/>
      <c r="AZ98" s="67"/>
      <c r="BA98" s="69"/>
      <c r="BB98" s="76"/>
      <c r="BC98" s="67"/>
      <c r="BD98" s="68"/>
      <c r="BE98" s="69"/>
      <c r="BF98" s="69"/>
      <c r="BG98" s="69"/>
      <c r="BH98" s="69"/>
      <c r="BI98" s="69"/>
      <c r="BJ98" s="68"/>
      <c r="BK98" s="69"/>
      <c r="BL98" s="67"/>
      <c r="BM98" s="67"/>
      <c r="BN98" s="56"/>
      <c r="BO98" s="56"/>
      <c r="BT98" s="63"/>
      <c r="BW98" s="56"/>
      <c r="BX98" s="56"/>
      <c r="BY98" s="56"/>
      <c r="BZ98" s="56"/>
      <c r="CA98" s="56"/>
      <c r="CF98" s="63"/>
      <c r="CI98" s="56"/>
      <c r="CJ98" s="56"/>
      <c r="CK98" s="56"/>
      <c r="CL98" s="56"/>
      <c r="CM98" s="56"/>
    </row>
    <row r="99" spans="18:93" ht="39.950000000000003" customHeight="1">
      <c r="R99" s="76"/>
      <c r="V99" s="170"/>
      <c r="W99" s="69"/>
      <c r="X99" s="69"/>
      <c r="Y99" s="69"/>
      <c r="AD99" s="76"/>
      <c r="AG99" s="69"/>
      <c r="AH99" s="69"/>
      <c r="AI99" s="69"/>
      <c r="AJ99" s="69"/>
      <c r="AK99" s="69"/>
      <c r="AP99" s="76"/>
      <c r="AQ99" s="67"/>
      <c r="AR99" s="68"/>
      <c r="AS99" s="69"/>
      <c r="AT99" s="69"/>
      <c r="AU99" s="69"/>
      <c r="AV99" s="69"/>
      <c r="AW99" s="69"/>
      <c r="AX99" s="68"/>
      <c r="AY99" s="69"/>
      <c r="AZ99" s="67"/>
      <c r="BA99" s="69"/>
      <c r="BB99" s="76"/>
      <c r="BC99" s="67"/>
      <c r="BD99" s="68"/>
      <c r="BE99" s="69"/>
      <c r="BF99" s="69"/>
      <c r="BG99" s="69"/>
      <c r="BH99" s="69"/>
      <c r="BI99" s="69"/>
      <c r="BJ99" s="68"/>
      <c r="BK99" s="69"/>
      <c r="BL99" s="67"/>
      <c r="BM99" s="67"/>
      <c r="BN99" s="56"/>
      <c r="BO99" s="56"/>
      <c r="BT99" s="63"/>
      <c r="BW99" s="56"/>
      <c r="BX99" s="56"/>
      <c r="BY99" s="56"/>
      <c r="BZ99" s="56"/>
      <c r="CA99" s="56"/>
      <c r="CF99" s="63"/>
      <c r="CI99" s="56"/>
      <c r="CJ99" s="56"/>
      <c r="CK99" s="56"/>
      <c r="CL99" s="56"/>
      <c r="CM99" s="56"/>
    </row>
    <row r="100" spans="18:93" ht="39.950000000000003" customHeight="1">
      <c r="AQ100" s="67"/>
      <c r="AR100" s="68"/>
      <c r="AS100" s="68"/>
      <c r="AT100" s="68"/>
      <c r="AU100" s="68"/>
      <c r="AV100" s="68"/>
      <c r="AW100" s="68"/>
      <c r="AX100" s="68"/>
      <c r="AY100" s="69"/>
      <c r="AZ100" s="67"/>
      <c r="BA100" s="68"/>
      <c r="BB100" s="67"/>
      <c r="BC100" s="67"/>
      <c r="BD100" s="68"/>
      <c r="BE100" s="68"/>
      <c r="BF100" s="68"/>
      <c r="BG100" s="68"/>
      <c r="BH100" s="68"/>
      <c r="BI100" s="68"/>
      <c r="BJ100" s="68"/>
      <c r="BK100" s="69"/>
      <c r="BL100" s="67"/>
      <c r="BM100" s="67"/>
    </row>
    <row r="101" spans="18:93" ht="39.950000000000003" customHeight="1">
      <c r="R101" s="76"/>
      <c r="S101" s="77"/>
      <c r="Y101" s="533"/>
      <c r="Z101" s="533"/>
      <c r="AA101" s="533"/>
      <c r="AD101" s="76"/>
      <c r="AE101" s="77"/>
      <c r="AK101" s="533"/>
      <c r="AL101" s="533"/>
      <c r="AM101" s="533"/>
      <c r="AP101" s="76"/>
      <c r="AQ101" s="77"/>
      <c r="AR101" s="68"/>
      <c r="AS101" s="68"/>
      <c r="AT101" s="68"/>
      <c r="AU101" s="68"/>
      <c r="AV101" s="68"/>
      <c r="AW101" s="533"/>
      <c r="AX101" s="533"/>
      <c r="AY101" s="533"/>
      <c r="AZ101" s="67"/>
      <c r="BA101" s="68"/>
      <c r="BB101" s="76"/>
      <c r="BC101" s="77"/>
      <c r="BD101" s="68"/>
      <c r="BE101" s="68"/>
      <c r="BF101" s="68"/>
      <c r="BG101" s="68"/>
      <c r="BH101" s="68"/>
      <c r="BI101" s="533"/>
      <c r="BJ101" s="533"/>
      <c r="BK101" s="533"/>
      <c r="BL101" s="67"/>
      <c r="BM101" s="67"/>
      <c r="BO101" s="531"/>
      <c r="BP101" s="531"/>
      <c r="BQ101" s="531"/>
      <c r="BT101" s="63"/>
      <c r="BU101" s="64"/>
      <c r="CA101" s="531"/>
      <c r="CB101" s="531"/>
      <c r="CC101" s="531"/>
      <c r="CF101" s="63"/>
      <c r="CG101" s="64"/>
      <c r="CM101" s="531"/>
      <c r="CN101" s="531"/>
      <c r="CO101" s="531"/>
    </row>
    <row r="102" spans="18:93" ht="39.950000000000003" customHeight="1">
      <c r="R102" s="76"/>
      <c r="V102" s="170"/>
      <c r="W102" s="69"/>
      <c r="X102" s="69"/>
      <c r="Y102" s="69"/>
      <c r="AD102" s="76"/>
      <c r="AG102" s="69"/>
      <c r="AH102" s="69"/>
      <c r="AI102" s="69"/>
      <c r="AJ102" s="69"/>
      <c r="AK102" s="69"/>
      <c r="AP102" s="76"/>
      <c r="AQ102" s="67"/>
      <c r="AR102" s="68"/>
      <c r="AS102" s="69"/>
      <c r="AT102" s="69"/>
      <c r="AU102" s="69"/>
      <c r="AV102" s="69"/>
      <c r="AW102" s="69"/>
      <c r="AX102" s="68"/>
      <c r="AY102" s="69"/>
      <c r="AZ102" s="67"/>
      <c r="BA102" s="69"/>
      <c r="BB102" s="76"/>
      <c r="BC102" s="67"/>
      <c r="BD102" s="68"/>
      <c r="BE102" s="69"/>
      <c r="BF102" s="69"/>
      <c r="BG102" s="69"/>
      <c r="BH102" s="69"/>
      <c r="BI102" s="69"/>
      <c r="BJ102" s="68"/>
      <c r="BK102" s="69"/>
      <c r="BL102" s="67"/>
      <c r="BM102" s="67"/>
      <c r="BN102" s="56"/>
      <c r="BO102" s="56"/>
      <c r="BT102" s="63"/>
      <c r="BW102" s="56"/>
      <c r="BX102" s="56"/>
      <c r="BY102" s="56"/>
      <c r="BZ102" s="56"/>
      <c r="CA102" s="56"/>
      <c r="CF102" s="63"/>
      <c r="CI102" s="56"/>
      <c r="CJ102" s="56"/>
      <c r="CK102" s="56"/>
      <c r="CL102" s="56"/>
      <c r="CM102" s="56"/>
    </row>
    <row r="103" spans="18:93" ht="39.950000000000003" customHeight="1">
      <c r="R103" s="76"/>
      <c r="V103" s="170"/>
      <c r="W103" s="69"/>
      <c r="X103" s="69"/>
      <c r="Y103" s="69"/>
      <c r="AD103" s="76"/>
      <c r="AG103" s="69"/>
      <c r="AH103" s="69"/>
      <c r="AI103" s="69"/>
      <c r="AJ103" s="69"/>
      <c r="AK103" s="69"/>
      <c r="AP103" s="76"/>
      <c r="AQ103" s="67"/>
      <c r="AR103" s="68"/>
      <c r="AS103" s="69"/>
      <c r="AT103" s="69"/>
      <c r="AU103" s="69"/>
      <c r="AV103" s="69"/>
      <c r="AW103" s="69"/>
      <c r="AX103" s="68"/>
      <c r="AY103" s="69"/>
      <c r="AZ103" s="67"/>
      <c r="BA103" s="69"/>
      <c r="BB103" s="76"/>
      <c r="BC103" s="67"/>
      <c r="BD103" s="68"/>
      <c r="BE103" s="69"/>
      <c r="BF103" s="69"/>
      <c r="BG103" s="69"/>
      <c r="BH103" s="69"/>
      <c r="BI103" s="69"/>
      <c r="BJ103" s="68"/>
      <c r="BK103" s="69"/>
      <c r="BL103" s="67"/>
      <c r="BM103" s="67"/>
      <c r="BN103" s="56"/>
      <c r="BO103" s="56"/>
      <c r="BT103" s="63"/>
      <c r="BW103" s="56"/>
      <c r="BX103" s="56"/>
      <c r="BY103" s="56"/>
      <c r="BZ103" s="56"/>
      <c r="CA103" s="56"/>
      <c r="CF103" s="63"/>
      <c r="CI103" s="56"/>
      <c r="CJ103" s="56"/>
      <c r="CK103" s="56"/>
      <c r="CL103" s="56"/>
      <c r="CM103" s="56"/>
    </row>
    <row r="104" spans="18:93" ht="39.950000000000003" customHeight="1">
      <c r="R104" s="76"/>
      <c r="V104" s="170"/>
      <c r="W104" s="69"/>
      <c r="X104" s="69"/>
      <c r="Y104" s="69"/>
      <c r="AD104" s="76"/>
      <c r="AG104" s="69"/>
      <c r="AH104" s="69"/>
      <c r="AI104" s="69"/>
      <c r="AJ104" s="69"/>
      <c r="AK104" s="69"/>
      <c r="AP104" s="76"/>
      <c r="AQ104" s="67"/>
      <c r="AR104" s="68"/>
      <c r="AS104" s="69"/>
      <c r="AT104" s="69"/>
      <c r="AU104" s="69"/>
      <c r="AV104" s="69"/>
      <c r="AW104" s="69"/>
      <c r="AX104" s="68"/>
      <c r="AY104" s="69"/>
      <c r="AZ104" s="67"/>
      <c r="BA104" s="69"/>
      <c r="BB104" s="76"/>
      <c r="BC104" s="67"/>
      <c r="BD104" s="68"/>
      <c r="BE104" s="69"/>
      <c r="BF104" s="69"/>
      <c r="BG104" s="69"/>
      <c r="BH104" s="69"/>
      <c r="BI104" s="69"/>
      <c r="BJ104" s="68"/>
      <c r="BK104" s="69"/>
      <c r="BL104" s="67"/>
      <c r="BM104" s="67"/>
      <c r="BN104" s="56"/>
      <c r="BO104" s="56"/>
      <c r="BT104" s="63"/>
      <c r="BW104" s="56"/>
      <c r="BX104" s="56"/>
      <c r="BY104" s="56"/>
      <c r="BZ104" s="56"/>
      <c r="CA104" s="56"/>
      <c r="CF104" s="63"/>
      <c r="CI104" s="56"/>
      <c r="CJ104" s="56"/>
      <c r="CK104" s="56"/>
      <c r="CL104" s="56"/>
      <c r="CM104" s="56"/>
    </row>
    <row r="105" spans="18:93" ht="39.950000000000003" customHeight="1">
      <c r="R105" s="76"/>
      <c r="V105" s="170"/>
      <c r="W105" s="69"/>
      <c r="X105" s="69"/>
      <c r="Y105" s="69"/>
      <c r="AD105" s="76"/>
      <c r="AG105" s="69"/>
      <c r="AH105" s="69"/>
      <c r="AI105" s="69"/>
      <c r="AJ105" s="69"/>
      <c r="AK105" s="69"/>
      <c r="AP105" s="76"/>
      <c r="AQ105" s="67"/>
      <c r="AR105" s="68"/>
      <c r="AS105" s="69"/>
      <c r="AT105" s="69"/>
      <c r="AU105" s="69"/>
      <c r="AV105" s="69"/>
      <c r="AW105" s="69"/>
      <c r="AX105" s="68"/>
      <c r="AY105" s="69"/>
      <c r="AZ105" s="67"/>
      <c r="BA105" s="69"/>
      <c r="BB105" s="76"/>
      <c r="BC105" s="67"/>
      <c r="BD105" s="68"/>
      <c r="BE105" s="69"/>
      <c r="BF105" s="69"/>
      <c r="BG105" s="69"/>
      <c r="BH105" s="69"/>
      <c r="BI105" s="69"/>
      <c r="BJ105" s="68"/>
      <c r="BK105" s="69"/>
      <c r="BL105" s="67"/>
      <c r="BM105" s="67"/>
      <c r="BN105" s="56"/>
      <c r="BO105" s="56"/>
      <c r="BT105" s="63"/>
      <c r="BW105" s="56"/>
      <c r="BX105" s="56"/>
      <c r="BY105" s="56"/>
      <c r="BZ105" s="56"/>
      <c r="CA105" s="56"/>
      <c r="CF105" s="63"/>
      <c r="CI105" s="56"/>
      <c r="CJ105" s="56"/>
      <c r="CK105" s="56"/>
      <c r="CL105" s="56"/>
      <c r="CM105" s="56"/>
    </row>
    <row r="106" spans="18:93" ht="39.950000000000003" customHeight="1">
      <c r="AQ106" s="67"/>
      <c r="AR106" s="68"/>
      <c r="AS106" s="68"/>
      <c r="AT106" s="68"/>
      <c r="AU106" s="68"/>
      <c r="AV106" s="68"/>
      <c r="AW106" s="68"/>
      <c r="AX106" s="68"/>
      <c r="AY106" s="69"/>
      <c r="AZ106" s="67"/>
      <c r="BA106" s="68"/>
      <c r="BB106" s="67"/>
      <c r="BC106" s="67"/>
      <c r="BD106" s="68"/>
      <c r="BE106" s="68"/>
      <c r="BF106" s="68"/>
      <c r="BG106" s="68"/>
      <c r="BH106" s="68"/>
      <c r="BI106" s="68"/>
      <c r="BJ106" s="68"/>
      <c r="BK106" s="69"/>
      <c r="BL106" s="67"/>
      <c r="BM106" s="67"/>
    </row>
    <row r="107" spans="18:93" ht="39.950000000000003" customHeight="1">
      <c r="R107" s="76"/>
      <c r="S107" s="77"/>
      <c r="Y107" s="533"/>
      <c r="Z107" s="533"/>
      <c r="AA107" s="533"/>
      <c r="AD107" s="76"/>
      <c r="AE107" s="77"/>
      <c r="AK107" s="533"/>
      <c r="AL107" s="533"/>
      <c r="AM107" s="533"/>
      <c r="AP107" s="76"/>
      <c r="AQ107" s="77"/>
      <c r="AR107" s="68"/>
      <c r="AS107" s="68"/>
      <c r="AT107" s="68"/>
      <c r="AU107" s="68"/>
      <c r="AV107" s="68"/>
      <c r="AW107" s="533"/>
      <c r="AX107" s="533"/>
      <c r="AY107" s="533"/>
      <c r="AZ107" s="67"/>
      <c r="BA107" s="68"/>
      <c r="BB107" s="76"/>
      <c r="BC107" s="77"/>
      <c r="BD107" s="68"/>
      <c r="BE107" s="68"/>
      <c r="BF107" s="68"/>
      <c r="BG107" s="68"/>
      <c r="BH107" s="68"/>
      <c r="BI107" s="533"/>
      <c r="BJ107" s="533"/>
      <c r="BK107" s="533"/>
      <c r="BL107" s="67"/>
      <c r="BM107" s="67"/>
      <c r="BO107" s="531"/>
      <c r="BP107" s="531"/>
      <c r="BQ107" s="531"/>
      <c r="BT107" s="63"/>
      <c r="BU107" s="64"/>
      <c r="CA107" s="531"/>
      <c r="CB107" s="531"/>
      <c r="CC107" s="531"/>
      <c r="CF107" s="63"/>
      <c r="CG107" s="64"/>
      <c r="CM107" s="531"/>
      <c r="CN107" s="531"/>
      <c r="CO107" s="531"/>
    </row>
    <row r="108" spans="18:93" ht="39.950000000000003" customHeight="1">
      <c r="R108" s="76"/>
      <c r="V108" s="170"/>
      <c r="W108" s="69"/>
      <c r="X108" s="69"/>
      <c r="Y108" s="69"/>
      <c r="AD108" s="76"/>
      <c r="AG108" s="69"/>
      <c r="AH108" s="69"/>
      <c r="AI108" s="69"/>
      <c r="AJ108" s="69"/>
      <c r="AK108" s="69"/>
      <c r="AP108" s="76"/>
      <c r="AQ108" s="67"/>
      <c r="AR108" s="68"/>
      <c r="AS108" s="69"/>
      <c r="AT108" s="69"/>
      <c r="AU108" s="69"/>
      <c r="AV108" s="69"/>
      <c r="AW108" s="69"/>
      <c r="AX108" s="68"/>
      <c r="AY108" s="69"/>
      <c r="AZ108" s="67"/>
      <c r="BA108" s="69"/>
      <c r="BB108" s="76"/>
      <c r="BC108" s="67"/>
      <c r="BD108" s="68"/>
      <c r="BE108" s="69"/>
      <c r="BF108" s="69"/>
      <c r="BG108" s="69"/>
      <c r="BH108" s="69"/>
      <c r="BI108" s="69"/>
      <c r="BJ108" s="68"/>
      <c r="BK108" s="69"/>
      <c r="BL108" s="67"/>
      <c r="BM108" s="67"/>
      <c r="BN108" s="56"/>
      <c r="BO108" s="56"/>
      <c r="BT108" s="63"/>
      <c r="BW108" s="56"/>
      <c r="BX108" s="56"/>
      <c r="BY108" s="56"/>
      <c r="BZ108" s="56"/>
      <c r="CA108" s="56"/>
      <c r="CF108" s="63"/>
      <c r="CI108" s="56"/>
      <c r="CJ108" s="56"/>
      <c r="CK108" s="56"/>
      <c r="CL108" s="56"/>
      <c r="CM108" s="56"/>
    </row>
    <row r="109" spans="18:93" ht="39.950000000000003" customHeight="1">
      <c r="R109" s="76"/>
      <c r="V109" s="170"/>
      <c r="W109" s="69"/>
      <c r="X109" s="69"/>
      <c r="Y109" s="69"/>
      <c r="AD109" s="76"/>
      <c r="AG109" s="69"/>
      <c r="AH109" s="69"/>
      <c r="AI109" s="69"/>
      <c r="AJ109" s="69"/>
      <c r="AK109" s="69"/>
      <c r="AP109" s="76"/>
      <c r="AQ109" s="67"/>
      <c r="AR109" s="68"/>
      <c r="AS109" s="69"/>
      <c r="AT109" s="69"/>
      <c r="AU109" s="69"/>
      <c r="AV109" s="69"/>
      <c r="AW109" s="69"/>
      <c r="AX109" s="68"/>
      <c r="AY109" s="69"/>
      <c r="AZ109" s="67"/>
      <c r="BA109" s="69"/>
      <c r="BB109" s="76"/>
      <c r="BC109" s="67"/>
      <c r="BD109" s="68"/>
      <c r="BE109" s="69"/>
      <c r="BF109" s="69"/>
      <c r="BG109" s="69"/>
      <c r="BH109" s="69"/>
      <c r="BI109" s="69"/>
      <c r="BJ109" s="68"/>
      <c r="BK109" s="69"/>
      <c r="BL109" s="67"/>
      <c r="BM109" s="67"/>
      <c r="BN109" s="56"/>
      <c r="BO109" s="56"/>
      <c r="BT109" s="63"/>
      <c r="BW109" s="56"/>
      <c r="BX109" s="56"/>
      <c r="BY109" s="56"/>
      <c r="BZ109" s="56"/>
      <c r="CA109" s="56"/>
      <c r="CF109" s="63"/>
      <c r="CI109" s="56"/>
      <c r="CJ109" s="56"/>
      <c r="CK109" s="56"/>
      <c r="CL109" s="56"/>
      <c r="CM109" s="56"/>
    </row>
    <row r="110" spans="18:93" ht="39.950000000000003" customHeight="1">
      <c r="R110" s="76"/>
      <c r="V110" s="170"/>
      <c r="W110" s="69"/>
      <c r="X110" s="69"/>
      <c r="Y110" s="69"/>
      <c r="AD110" s="76"/>
      <c r="AG110" s="69"/>
      <c r="AH110" s="69"/>
      <c r="AI110" s="69"/>
      <c r="AJ110" s="69"/>
      <c r="AK110" s="69"/>
      <c r="AP110" s="76"/>
      <c r="AQ110" s="67"/>
      <c r="AR110" s="68"/>
      <c r="AS110" s="69"/>
      <c r="AT110" s="69"/>
      <c r="AU110" s="69"/>
      <c r="AV110" s="69"/>
      <c r="AW110" s="69"/>
      <c r="AX110" s="68"/>
      <c r="AY110" s="69"/>
      <c r="AZ110" s="67"/>
      <c r="BA110" s="69"/>
      <c r="BB110" s="76"/>
      <c r="BC110" s="67"/>
      <c r="BD110" s="68"/>
      <c r="BE110" s="69"/>
      <c r="BF110" s="69"/>
      <c r="BG110" s="69"/>
      <c r="BH110" s="69"/>
      <c r="BI110" s="69"/>
      <c r="BJ110" s="68"/>
      <c r="BK110" s="69"/>
      <c r="BL110" s="67"/>
      <c r="BM110" s="67"/>
      <c r="BN110" s="56"/>
      <c r="BO110" s="56"/>
      <c r="BT110" s="63"/>
      <c r="BW110" s="56"/>
      <c r="BX110" s="56"/>
      <c r="BY110" s="56"/>
      <c r="BZ110" s="56"/>
      <c r="CA110" s="56"/>
      <c r="CF110" s="63"/>
      <c r="CI110" s="56"/>
      <c r="CJ110" s="56"/>
      <c r="CK110" s="56"/>
      <c r="CL110" s="56"/>
      <c r="CM110" s="56"/>
    </row>
    <row r="111" spans="18:93" ht="39.950000000000003" customHeight="1">
      <c r="R111" s="76"/>
      <c r="V111" s="170"/>
      <c r="W111" s="69"/>
      <c r="X111" s="69"/>
      <c r="Y111" s="69"/>
      <c r="AD111" s="76"/>
      <c r="AG111" s="69"/>
      <c r="AH111" s="69"/>
      <c r="AI111" s="69"/>
      <c r="AJ111" s="69"/>
      <c r="AK111" s="69"/>
      <c r="AP111" s="76"/>
      <c r="AQ111" s="67"/>
      <c r="AR111" s="68"/>
      <c r="AS111" s="69"/>
      <c r="AT111" s="69"/>
      <c r="AU111" s="69"/>
      <c r="AV111" s="69"/>
      <c r="AW111" s="69"/>
      <c r="AX111" s="68"/>
      <c r="AY111" s="69"/>
      <c r="AZ111" s="67"/>
      <c r="BA111" s="69"/>
      <c r="BB111" s="76"/>
      <c r="BC111" s="67"/>
      <c r="BD111" s="68"/>
      <c r="BE111" s="69"/>
      <c r="BF111" s="69"/>
      <c r="BG111" s="69"/>
      <c r="BH111" s="69"/>
      <c r="BI111" s="69"/>
      <c r="BJ111" s="68"/>
      <c r="BK111" s="69"/>
      <c r="BL111" s="67"/>
      <c r="BM111" s="67"/>
      <c r="BN111" s="56"/>
      <c r="BO111" s="56"/>
      <c r="BT111" s="63"/>
      <c r="BW111" s="56"/>
      <c r="BX111" s="56"/>
      <c r="BY111" s="56"/>
      <c r="BZ111" s="56"/>
      <c r="CA111" s="56"/>
      <c r="CF111" s="63"/>
      <c r="CI111" s="56"/>
      <c r="CJ111" s="56"/>
      <c r="CK111" s="56"/>
      <c r="CL111" s="56"/>
      <c r="CM111" s="56"/>
    </row>
    <row r="112" spans="18:93" ht="39.950000000000003" customHeight="1">
      <c r="AQ112" s="67"/>
      <c r="AR112" s="68"/>
      <c r="AS112" s="68"/>
      <c r="AT112" s="68"/>
      <c r="AU112" s="68"/>
      <c r="AV112" s="68"/>
      <c r="AW112" s="68"/>
      <c r="AX112" s="68"/>
      <c r="AY112" s="69"/>
      <c r="AZ112" s="67"/>
      <c r="BA112" s="68"/>
      <c r="BB112" s="67"/>
      <c r="BC112" s="67"/>
      <c r="BD112" s="68"/>
      <c r="BE112" s="68"/>
      <c r="BF112" s="68"/>
      <c r="BG112" s="68"/>
      <c r="BH112" s="68"/>
      <c r="BI112" s="68"/>
      <c r="BJ112" s="68"/>
      <c r="BK112" s="69"/>
      <c r="BL112" s="67"/>
      <c r="BM112" s="67"/>
    </row>
    <row r="113" spans="18:93" ht="39.950000000000003" customHeight="1">
      <c r="R113" s="76"/>
      <c r="S113" s="77"/>
      <c r="Y113" s="533"/>
      <c r="Z113" s="533"/>
      <c r="AA113" s="533"/>
      <c r="AD113" s="76"/>
      <c r="AE113" s="77"/>
      <c r="AK113" s="533"/>
      <c r="AL113" s="533"/>
      <c r="AM113" s="533"/>
      <c r="AP113" s="76"/>
      <c r="AQ113" s="77"/>
      <c r="AR113" s="68"/>
      <c r="AS113" s="68"/>
      <c r="AT113" s="68"/>
      <c r="AU113" s="68"/>
      <c r="AV113" s="68"/>
      <c r="AW113" s="533"/>
      <c r="AX113" s="533"/>
      <c r="AY113" s="533"/>
      <c r="AZ113" s="67"/>
      <c r="BA113" s="68"/>
      <c r="BB113" s="76"/>
      <c r="BC113" s="77"/>
      <c r="BD113" s="68"/>
      <c r="BE113" s="68"/>
      <c r="BF113" s="68"/>
      <c r="BG113" s="68"/>
      <c r="BH113" s="68"/>
      <c r="BI113" s="533"/>
      <c r="BJ113" s="533"/>
      <c r="BK113" s="533"/>
      <c r="BL113" s="67"/>
      <c r="BM113" s="67"/>
      <c r="BO113" s="531"/>
      <c r="BP113" s="531"/>
      <c r="BQ113" s="531"/>
      <c r="BT113" s="63"/>
      <c r="BU113" s="64"/>
      <c r="CA113" s="531"/>
      <c r="CB113" s="531"/>
      <c r="CC113" s="531"/>
      <c r="CF113" s="63"/>
      <c r="CG113" s="64"/>
      <c r="CM113" s="531"/>
      <c r="CN113" s="531"/>
      <c r="CO113" s="531"/>
    </row>
    <row r="114" spans="18:93" ht="39.950000000000003" customHeight="1">
      <c r="R114" s="76"/>
      <c r="V114" s="170"/>
      <c r="W114" s="69"/>
      <c r="X114" s="69"/>
      <c r="Y114" s="69"/>
      <c r="AD114" s="76"/>
      <c r="AG114" s="69"/>
      <c r="AH114" s="69"/>
      <c r="AI114" s="69"/>
      <c r="AJ114" s="69"/>
      <c r="AK114" s="69"/>
      <c r="AP114" s="76"/>
      <c r="AQ114" s="67"/>
      <c r="AR114" s="68"/>
      <c r="AS114" s="69"/>
      <c r="AT114" s="69"/>
      <c r="AU114" s="69"/>
      <c r="AV114" s="69"/>
      <c r="AW114" s="69"/>
      <c r="AX114" s="68"/>
      <c r="AY114" s="69"/>
      <c r="AZ114" s="67"/>
      <c r="BA114" s="69"/>
      <c r="BB114" s="76"/>
      <c r="BC114" s="67"/>
      <c r="BD114" s="68"/>
      <c r="BE114" s="69"/>
      <c r="BF114" s="69"/>
      <c r="BG114" s="69"/>
      <c r="BH114" s="69"/>
      <c r="BI114" s="69"/>
      <c r="BJ114" s="68"/>
      <c r="BK114" s="69"/>
      <c r="BL114" s="67"/>
      <c r="BM114" s="67"/>
      <c r="BN114" s="56"/>
      <c r="BO114" s="56"/>
      <c r="BT114" s="63"/>
      <c r="BW114" s="56"/>
      <c r="BX114" s="56"/>
      <c r="BY114" s="56"/>
      <c r="BZ114" s="56"/>
      <c r="CA114" s="56"/>
      <c r="CF114" s="63"/>
      <c r="CI114" s="56"/>
      <c r="CJ114" s="56"/>
      <c r="CK114" s="56"/>
      <c r="CL114" s="56"/>
      <c r="CM114" s="56"/>
    </row>
    <row r="115" spans="18:93" ht="39.950000000000003" customHeight="1">
      <c r="R115" s="76"/>
      <c r="V115" s="170"/>
      <c r="W115" s="69"/>
      <c r="X115" s="69"/>
      <c r="Y115" s="69"/>
      <c r="AD115" s="76"/>
      <c r="AG115" s="69"/>
      <c r="AH115" s="69"/>
      <c r="AI115" s="69"/>
      <c r="AJ115" s="69"/>
      <c r="AK115" s="69"/>
      <c r="AP115" s="76"/>
      <c r="AQ115" s="67"/>
      <c r="AR115" s="68"/>
      <c r="AS115" s="69"/>
      <c r="AT115" s="69"/>
      <c r="AU115" s="69"/>
      <c r="AV115" s="69"/>
      <c r="AW115" s="69"/>
      <c r="AX115" s="68"/>
      <c r="AY115" s="69"/>
      <c r="AZ115" s="67"/>
      <c r="BA115" s="69"/>
      <c r="BB115" s="76"/>
      <c r="BC115" s="67"/>
      <c r="BD115" s="68"/>
      <c r="BE115" s="69"/>
      <c r="BF115" s="69"/>
      <c r="BG115" s="69"/>
      <c r="BH115" s="69"/>
      <c r="BI115" s="69"/>
      <c r="BJ115" s="68"/>
      <c r="BK115" s="69"/>
      <c r="BL115" s="67"/>
      <c r="BM115" s="67"/>
      <c r="BN115" s="56"/>
      <c r="BO115" s="56"/>
      <c r="BT115" s="63"/>
      <c r="BW115" s="56"/>
      <c r="BX115" s="56"/>
      <c r="BY115" s="56"/>
      <c r="BZ115" s="56"/>
      <c r="CA115" s="56"/>
      <c r="CF115" s="63"/>
      <c r="CI115" s="56"/>
      <c r="CJ115" s="56"/>
      <c r="CK115" s="56"/>
      <c r="CL115" s="56"/>
      <c r="CM115" s="56"/>
    </row>
    <row r="116" spans="18:93" ht="39.950000000000003" customHeight="1">
      <c r="R116" s="76"/>
      <c r="V116" s="170"/>
      <c r="W116" s="69"/>
      <c r="X116" s="69"/>
      <c r="Y116" s="69"/>
      <c r="AD116" s="76"/>
      <c r="AG116" s="69"/>
      <c r="AH116" s="69"/>
      <c r="AI116" s="69"/>
      <c r="AJ116" s="69"/>
      <c r="AK116" s="69"/>
      <c r="AP116" s="76"/>
      <c r="AQ116" s="67"/>
      <c r="AR116" s="68"/>
      <c r="AS116" s="69"/>
      <c r="AT116" s="69"/>
      <c r="AU116" s="69"/>
      <c r="AV116" s="69"/>
      <c r="AW116" s="69"/>
      <c r="AX116" s="68"/>
      <c r="AY116" s="69"/>
      <c r="AZ116" s="67"/>
      <c r="BA116" s="69"/>
      <c r="BB116" s="76"/>
      <c r="BC116" s="67"/>
      <c r="BD116" s="68"/>
      <c r="BE116" s="69"/>
      <c r="BF116" s="69"/>
      <c r="BG116" s="69"/>
      <c r="BH116" s="69"/>
      <c r="BI116" s="69"/>
      <c r="BJ116" s="68"/>
      <c r="BK116" s="69"/>
      <c r="BL116" s="67"/>
      <c r="BM116" s="67"/>
      <c r="BN116" s="56"/>
      <c r="BO116" s="56"/>
      <c r="BT116" s="63"/>
      <c r="BW116" s="56"/>
      <c r="BX116" s="56"/>
      <c r="BY116" s="56"/>
      <c r="BZ116" s="56"/>
      <c r="CA116" s="56"/>
      <c r="CF116" s="63"/>
      <c r="CI116" s="56"/>
      <c r="CJ116" s="56"/>
      <c r="CK116" s="56"/>
      <c r="CL116" s="56"/>
      <c r="CM116" s="56"/>
    </row>
    <row r="117" spans="18:93" ht="39.950000000000003" customHeight="1">
      <c r="R117" s="76"/>
      <c r="V117" s="170"/>
      <c r="W117" s="69"/>
      <c r="X117" s="69"/>
      <c r="Y117" s="69"/>
      <c r="AD117" s="76"/>
      <c r="AG117" s="69"/>
      <c r="AH117" s="69"/>
      <c r="AI117" s="69"/>
      <c r="AJ117" s="69"/>
      <c r="AK117" s="69"/>
      <c r="AP117" s="76"/>
      <c r="AQ117" s="67"/>
      <c r="AR117" s="68"/>
      <c r="AS117" s="69"/>
      <c r="AT117" s="69"/>
      <c r="AU117" s="69"/>
      <c r="AV117" s="69"/>
      <c r="AW117" s="69"/>
      <c r="AX117" s="68"/>
      <c r="AY117" s="69"/>
      <c r="AZ117" s="67"/>
      <c r="BA117" s="69"/>
      <c r="BB117" s="76"/>
      <c r="BC117" s="67"/>
      <c r="BD117" s="68"/>
      <c r="BE117" s="69"/>
      <c r="BF117" s="69"/>
      <c r="BG117" s="69"/>
      <c r="BH117" s="69"/>
      <c r="BI117" s="69"/>
      <c r="BJ117" s="68"/>
      <c r="BK117" s="69"/>
      <c r="BL117" s="67"/>
      <c r="BM117" s="67"/>
      <c r="BN117" s="56"/>
      <c r="BO117" s="56"/>
      <c r="BT117" s="63"/>
      <c r="BW117" s="56"/>
      <c r="BX117" s="56"/>
      <c r="BY117" s="56"/>
      <c r="BZ117" s="56"/>
      <c r="CA117" s="56"/>
      <c r="CF117" s="63"/>
      <c r="CI117" s="56"/>
      <c r="CJ117" s="56"/>
      <c r="CK117" s="56"/>
      <c r="CL117" s="56"/>
      <c r="CM117" s="56"/>
    </row>
    <row r="118" spans="18:93" ht="39.950000000000003" customHeight="1">
      <c r="AQ118" s="67"/>
      <c r="AR118" s="68"/>
      <c r="AS118" s="68"/>
      <c r="AT118" s="68"/>
      <c r="AU118" s="68"/>
      <c r="AV118" s="68"/>
      <c r="AW118" s="68"/>
      <c r="AX118" s="68"/>
      <c r="AY118" s="69"/>
      <c r="AZ118" s="67"/>
      <c r="BA118" s="68"/>
      <c r="BB118" s="67"/>
      <c r="BC118" s="67"/>
      <c r="BD118" s="68"/>
      <c r="BE118" s="68"/>
      <c r="BF118" s="68"/>
      <c r="BG118" s="68"/>
      <c r="BH118" s="68"/>
      <c r="BI118" s="68"/>
      <c r="BJ118" s="68"/>
      <c r="BK118" s="69"/>
      <c r="BL118" s="67"/>
      <c r="BM118" s="67"/>
    </row>
    <row r="119" spans="18:93" ht="39.950000000000003" customHeight="1">
      <c r="R119" s="76"/>
      <c r="S119" s="77"/>
      <c r="Y119" s="533"/>
      <c r="Z119" s="533"/>
      <c r="AA119" s="533"/>
      <c r="AD119" s="76"/>
      <c r="AE119" s="77"/>
      <c r="AK119" s="533"/>
      <c r="AL119" s="533"/>
      <c r="AM119" s="533"/>
      <c r="AP119" s="76"/>
      <c r="AQ119" s="77"/>
      <c r="AR119" s="68"/>
      <c r="AS119" s="68"/>
      <c r="AT119" s="68"/>
      <c r="AU119" s="68"/>
      <c r="AV119" s="68"/>
      <c r="AW119" s="533"/>
      <c r="AX119" s="533"/>
      <c r="AY119" s="533"/>
      <c r="AZ119" s="67"/>
      <c r="BA119" s="68"/>
      <c r="BB119" s="76"/>
      <c r="BC119" s="77"/>
      <c r="BD119" s="68"/>
      <c r="BE119" s="68"/>
      <c r="BF119" s="68"/>
      <c r="BG119" s="68"/>
      <c r="BH119" s="68"/>
      <c r="BI119" s="533"/>
      <c r="BJ119" s="533"/>
      <c r="BK119" s="533"/>
      <c r="BL119" s="67"/>
      <c r="BM119" s="67"/>
      <c r="BO119" s="531"/>
      <c r="BP119" s="531"/>
      <c r="BQ119" s="531"/>
      <c r="BT119" s="63"/>
      <c r="BU119" s="64"/>
      <c r="CA119" s="531"/>
      <c r="CB119" s="531"/>
      <c r="CC119" s="531"/>
      <c r="CF119" s="63"/>
      <c r="CG119" s="64"/>
      <c r="CM119" s="531"/>
      <c r="CN119" s="531"/>
      <c r="CO119" s="531"/>
    </row>
    <row r="120" spans="18:93" ht="39.950000000000003" customHeight="1">
      <c r="R120" s="76"/>
      <c r="V120" s="170"/>
      <c r="W120" s="69"/>
      <c r="X120" s="69"/>
      <c r="Y120" s="69"/>
      <c r="AD120" s="76"/>
      <c r="AG120" s="69"/>
      <c r="AH120" s="69"/>
      <c r="AI120" s="69"/>
      <c r="AJ120" s="69"/>
      <c r="AK120" s="69"/>
      <c r="AP120" s="76"/>
      <c r="AQ120" s="67"/>
      <c r="AR120" s="68"/>
      <c r="AS120" s="69"/>
      <c r="AT120" s="69"/>
      <c r="AU120" s="69"/>
      <c r="AV120" s="69"/>
      <c r="AW120" s="69"/>
      <c r="AX120" s="68"/>
      <c r="AY120" s="69"/>
      <c r="AZ120" s="67"/>
      <c r="BA120" s="69"/>
      <c r="BB120" s="76"/>
      <c r="BC120" s="67"/>
      <c r="BD120" s="68"/>
      <c r="BE120" s="69"/>
      <c r="BF120" s="69"/>
      <c r="BG120" s="69"/>
      <c r="BH120" s="69"/>
      <c r="BI120" s="69"/>
      <c r="BJ120" s="68"/>
      <c r="BK120" s="69"/>
      <c r="BL120" s="67"/>
      <c r="BM120" s="67"/>
      <c r="BN120" s="56"/>
      <c r="BO120" s="56"/>
      <c r="BT120" s="63"/>
      <c r="BW120" s="56"/>
      <c r="BX120" s="56"/>
      <c r="BY120" s="56"/>
      <c r="BZ120" s="56"/>
      <c r="CA120" s="56"/>
      <c r="CF120" s="63"/>
      <c r="CI120" s="56"/>
      <c r="CJ120" s="56"/>
      <c r="CK120" s="56"/>
      <c r="CL120" s="56"/>
      <c r="CM120" s="56"/>
    </row>
    <row r="121" spans="18:93" ht="39.950000000000003" customHeight="1">
      <c r="R121" s="76"/>
      <c r="V121" s="170"/>
      <c r="W121" s="69"/>
      <c r="X121" s="69"/>
      <c r="Y121" s="69"/>
      <c r="AD121" s="76"/>
      <c r="AG121" s="69"/>
      <c r="AH121" s="69"/>
      <c r="AI121" s="69"/>
      <c r="AJ121" s="69"/>
      <c r="AK121" s="69"/>
      <c r="AP121" s="76"/>
      <c r="AQ121" s="67"/>
      <c r="AR121" s="68"/>
      <c r="AS121" s="69"/>
      <c r="AT121" s="69"/>
      <c r="AU121" s="69"/>
      <c r="AV121" s="69"/>
      <c r="AW121" s="69"/>
      <c r="AX121" s="68"/>
      <c r="AY121" s="69"/>
      <c r="AZ121" s="67"/>
      <c r="BA121" s="69"/>
      <c r="BB121" s="76"/>
      <c r="BC121" s="67"/>
      <c r="BD121" s="68"/>
      <c r="BE121" s="69"/>
      <c r="BF121" s="69"/>
      <c r="BG121" s="69"/>
      <c r="BH121" s="69"/>
      <c r="BI121" s="69"/>
      <c r="BJ121" s="68"/>
      <c r="BK121" s="69"/>
      <c r="BL121" s="67"/>
      <c r="BM121" s="67"/>
      <c r="BN121" s="56"/>
      <c r="BO121" s="56"/>
      <c r="BT121" s="63"/>
      <c r="BW121" s="56"/>
      <c r="BX121" s="56"/>
      <c r="BY121" s="56"/>
      <c r="BZ121" s="56"/>
      <c r="CA121" s="56"/>
      <c r="CF121" s="63"/>
      <c r="CI121" s="56"/>
      <c r="CJ121" s="56"/>
      <c r="CK121" s="56"/>
      <c r="CL121" s="56"/>
      <c r="CM121" s="56"/>
    </row>
    <row r="122" spans="18:93" ht="39.950000000000003" customHeight="1">
      <c r="R122" s="76"/>
      <c r="V122" s="170"/>
      <c r="W122" s="69"/>
      <c r="X122" s="69"/>
      <c r="Y122" s="69"/>
      <c r="AD122" s="76"/>
      <c r="AG122" s="69"/>
      <c r="AH122" s="69"/>
      <c r="AI122" s="69"/>
      <c r="AJ122" s="69"/>
      <c r="AK122" s="69"/>
      <c r="AP122" s="76"/>
      <c r="AQ122" s="67"/>
      <c r="AR122" s="68"/>
      <c r="AS122" s="69"/>
      <c r="AT122" s="69"/>
      <c r="AU122" s="69"/>
      <c r="AV122" s="69"/>
      <c r="AW122" s="69"/>
      <c r="AX122" s="68"/>
      <c r="AY122" s="69"/>
      <c r="AZ122" s="67"/>
      <c r="BA122" s="69"/>
      <c r="BB122" s="76"/>
      <c r="BC122" s="67"/>
      <c r="BD122" s="68"/>
      <c r="BE122" s="69"/>
      <c r="BF122" s="69"/>
      <c r="BG122" s="69"/>
      <c r="BH122" s="69"/>
      <c r="BI122" s="69"/>
      <c r="BJ122" s="68"/>
      <c r="BK122" s="69"/>
      <c r="BL122" s="67"/>
      <c r="BM122" s="67"/>
      <c r="BN122" s="56"/>
      <c r="BO122" s="56"/>
      <c r="BT122" s="63"/>
      <c r="BW122" s="56"/>
      <c r="BX122" s="56"/>
      <c r="BY122" s="56"/>
      <c r="BZ122" s="56"/>
      <c r="CA122" s="56"/>
      <c r="CF122" s="63"/>
      <c r="CI122" s="56"/>
      <c r="CJ122" s="56"/>
      <c r="CK122" s="56"/>
      <c r="CL122" s="56"/>
      <c r="CM122" s="56"/>
    </row>
    <row r="123" spans="18:93" ht="39.950000000000003" customHeight="1">
      <c r="R123" s="76"/>
      <c r="V123" s="170"/>
      <c r="W123" s="69"/>
      <c r="X123" s="69"/>
      <c r="Y123" s="69"/>
      <c r="AD123" s="76"/>
      <c r="AG123" s="69"/>
      <c r="AH123" s="69"/>
      <c r="AI123" s="69"/>
      <c r="AJ123" s="69"/>
      <c r="AK123" s="69"/>
      <c r="AP123" s="76"/>
      <c r="AQ123" s="67"/>
      <c r="AR123" s="68"/>
      <c r="AS123" s="69"/>
      <c r="AT123" s="69"/>
      <c r="AU123" s="69"/>
      <c r="AV123" s="69"/>
      <c r="AW123" s="69"/>
      <c r="AX123" s="68"/>
      <c r="AY123" s="69"/>
      <c r="AZ123" s="67"/>
      <c r="BA123" s="69"/>
      <c r="BB123" s="76"/>
      <c r="BC123" s="67"/>
      <c r="BD123" s="68"/>
      <c r="BE123" s="69"/>
      <c r="BF123" s="69"/>
      <c r="BG123" s="69"/>
      <c r="BH123" s="69"/>
      <c r="BI123" s="69"/>
      <c r="BJ123" s="68"/>
      <c r="BK123" s="69"/>
      <c r="BL123" s="67"/>
      <c r="BM123" s="67"/>
      <c r="BN123" s="56"/>
      <c r="BO123" s="56"/>
      <c r="BT123" s="63"/>
      <c r="BW123" s="56"/>
      <c r="BX123" s="56"/>
      <c r="BY123" s="56"/>
      <c r="BZ123" s="56"/>
      <c r="CA123" s="56"/>
      <c r="CF123" s="63"/>
      <c r="CI123" s="56"/>
      <c r="CJ123" s="56"/>
      <c r="CK123" s="56"/>
      <c r="CL123" s="56"/>
      <c r="CM123" s="56"/>
    </row>
    <row r="124" spans="18:93" ht="39.950000000000003" customHeight="1">
      <c r="AQ124" s="67"/>
      <c r="AR124" s="68"/>
      <c r="AS124" s="68"/>
      <c r="AT124" s="68"/>
      <c r="AU124" s="68"/>
      <c r="AV124" s="68"/>
      <c r="AW124" s="68"/>
      <c r="AX124" s="68"/>
      <c r="AY124" s="69"/>
      <c r="AZ124" s="67"/>
      <c r="BA124" s="68"/>
      <c r="BB124" s="67"/>
      <c r="BC124" s="67"/>
      <c r="BD124" s="68"/>
      <c r="BE124" s="68"/>
      <c r="BF124" s="68"/>
      <c r="BG124" s="68"/>
      <c r="BH124" s="68"/>
      <c r="BI124" s="68"/>
      <c r="BJ124" s="68"/>
      <c r="BK124" s="69"/>
      <c r="BL124" s="67"/>
      <c r="BM124" s="67"/>
    </row>
    <row r="125" spans="18:93" ht="39.950000000000003" customHeight="1">
      <c r="R125" s="76"/>
      <c r="S125" s="77"/>
      <c r="Y125" s="533"/>
      <c r="Z125" s="533"/>
      <c r="AA125" s="533"/>
      <c r="AD125" s="76"/>
      <c r="AE125" s="77"/>
      <c r="AK125" s="533"/>
      <c r="AL125" s="533"/>
      <c r="AM125" s="533"/>
      <c r="AP125" s="76"/>
      <c r="AQ125" s="77"/>
      <c r="AR125" s="68"/>
      <c r="AS125" s="68"/>
      <c r="AT125" s="68"/>
      <c r="AU125" s="68"/>
      <c r="AV125" s="68"/>
      <c r="AW125" s="533"/>
      <c r="AX125" s="533"/>
      <c r="AY125" s="533"/>
      <c r="AZ125" s="67"/>
      <c r="BA125" s="68"/>
      <c r="BB125" s="76"/>
      <c r="BC125" s="77"/>
      <c r="BD125" s="68"/>
      <c r="BE125" s="68"/>
      <c r="BF125" s="68"/>
      <c r="BG125" s="68"/>
      <c r="BH125" s="68"/>
      <c r="BI125" s="533"/>
      <c r="BJ125" s="533"/>
      <c r="BK125" s="533"/>
      <c r="BL125" s="67"/>
      <c r="BM125" s="67"/>
      <c r="BO125" s="531"/>
      <c r="BP125" s="531"/>
      <c r="BQ125" s="531"/>
      <c r="BT125" s="63"/>
      <c r="BU125" s="64"/>
      <c r="CA125" s="531"/>
      <c r="CB125" s="531"/>
      <c r="CC125" s="531"/>
      <c r="CF125" s="63"/>
      <c r="CG125" s="64"/>
      <c r="CM125" s="531"/>
      <c r="CN125" s="531"/>
      <c r="CO125" s="531"/>
    </row>
    <row r="126" spans="18:93" ht="39.950000000000003" customHeight="1">
      <c r="R126" s="76"/>
      <c r="V126" s="170"/>
      <c r="W126" s="69"/>
      <c r="X126" s="69"/>
      <c r="Y126" s="69"/>
      <c r="AD126" s="76"/>
      <c r="AG126" s="69"/>
      <c r="AH126" s="69"/>
      <c r="AI126" s="69"/>
      <c r="AJ126" s="69"/>
      <c r="AK126" s="69"/>
      <c r="AP126" s="76"/>
      <c r="AQ126" s="67"/>
      <c r="AR126" s="68"/>
      <c r="AS126" s="69"/>
      <c r="AT126" s="69"/>
      <c r="AU126" s="69"/>
      <c r="AV126" s="69"/>
      <c r="AW126" s="69"/>
      <c r="AX126" s="68"/>
      <c r="AY126" s="69"/>
      <c r="AZ126" s="67"/>
      <c r="BA126" s="69"/>
      <c r="BB126" s="76"/>
      <c r="BC126" s="67"/>
      <c r="BD126" s="68"/>
      <c r="BE126" s="69"/>
      <c r="BF126" s="69"/>
      <c r="BG126" s="69"/>
      <c r="BH126" s="69"/>
      <c r="BI126" s="69"/>
      <c r="BJ126" s="68"/>
      <c r="BK126" s="69"/>
      <c r="BL126" s="67"/>
      <c r="BM126" s="67"/>
      <c r="BN126" s="56"/>
      <c r="BO126" s="56"/>
      <c r="BT126" s="63"/>
      <c r="BW126" s="56"/>
      <c r="BX126" s="56"/>
      <c r="BY126" s="56"/>
      <c r="BZ126" s="56"/>
      <c r="CA126" s="56"/>
      <c r="CF126" s="63"/>
      <c r="CI126" s="56"/>
      <c r="CJ126" s="56"/>
      <c r="CK126" s="56"/>
      <c r="CL126" s="56"/>
      <c r="CM126" s="56"/>
    </row>
    <row r="127" spans="18:93" ht="39.950000000000003" customHeight="1">
      <c r="R127" s="76"/>
      <c r="V127" s="170"/>
      <c r="W127" s="69"/>
      <c r="X127" s="69"/>
      <c r="Y127" s="69"/>
      <c r="AD127" s="76"/>
      <c r="AG127" s="69"/>
      <c r="AH127" s="69"/>
      <c r="AI127" s="69"/>
      <c r="AJ127" s="69"/>
      <c r="AK127" s="69"/>
      <c r="AP127" s="76"/>
      <c r="AQ127" s="67"/>
      <c r="AR127" s="68"/>
      <c r="AS127" s="69"/>
      <c r="AT127" s="69"/>
      <c r="AU127" s="69"/>
      <c r="AV127" s="69"/>
      <c r="AW127" s="69"/>
      <c r="AX127" s="68"/>
      <c r="AY127" s="69"/>
      <c r="AZ127" s="67"/>
      <c r="BA127" s="69"/>
      <c r="BB127" s="76"/>
      <c r="BC127" s="67"/>
      <c r="BD127" s="68"/>
      <c r="BE127" s="69"/>
      <c r="BF127" s="69"/>
      <c r="BG127" s="69"/>
      <c r="BH127" s="69"/>
      <c r="BI127" s="69"/>
      <c r="BJ127" s="68"/>
      <c r="BK127" s="69"/>
      <c r="BL127" s="67"/>
      <c r="BM127" s="67"/>
      <c r="BN127" s="56"/>
      <c r="BO127" s="56"/>
      <c r="BT127" s="63"/>
      <c r="BW127" s="56"/>
      <c r="BX127" s="56"/>
      <c r="BY127" s="56"/>
      <c r="BZ127" s="56"/>
      <c r="CA127" s="56"/>
      <c r="CF127" s="63"/>
      <c r="CI127" s="56"/>
      <c r="CJ127" s="56"/>
      <c r="CK127" s="56"/>
      <c r="CL127" s="56"/>
      <c r="CM127" s="56"/>
    </row>
    <row r="128" spans="18:93" ht="39.950000000000003" customHeight="1">
      <c r="R128" s="76"/>
      <c r="V128" s="170"/>
      <c r="W128" s="69"/>
      <c r="X128" s="69"/>
      <c r="Y128" s="69"/>
      <c r="AD128" s="76"/>
      <c r="AG128" s="69"/>
      <c r="AH128" s="69"/>
      <c r="AI128" s="69"/>
      <c r="AJ128" s="69"/>
      <c r="AK128" s="69"/>
      <c r="AP128" s="76"/>
      <c r="AQ128" s="67"/>
      <c r="AR128" s="68"/>
      <c r="AS128" s="69"/>
      <c r="AT128" s="69"/>
      <c r="AU128" s="69"/>
      <c r="AV128" s="69"/>
      <c r="AW128" s="69"/>
      <c r="AX128" s="68"/>
      <c r="AY128" s="69"/>
      <c r="AZ128" s="67"/>
      <c r="BA128" s="69"/>
      <c r="BB128" s="76"/>
      <c r="BC128" s="67"/>
      <c r="BD128" s="68"/>
      <c r="BE128" s="69"/>
      <c r="BF128" s="69"/>
      <c r="BG128" s="69"/>
      <c r="BH128" s="69"/>
      <c r="BI128" s="69"/>
      <c r="BJ128" s="68"/>
      <c r="BK128" s="69"/>
      <c r="BL128" s="67"/>
      <c r="BM128" s="67"/>
      <c r="BN128" s="56"/>
      <c r="BO128" s="56"/>
      <c r="BT128" s="63"/>
      <c r="BW128" s="56"/>
      <c r="BX128" s="56"/>
      <c r="BY128" s="56"/>
      <c r="BZ128" s="56"/>
      <c r="CA128" s="56"/>
      <c r="CF128" s="63"/>
      <c r="CI128" s="56"/>
      <c r="CJ128" s="56"/>
      <c r="CK128" s="56"/>
      <c r="CL128" s="56"/>
      <c r="CM128" s="56"/>
    </row>
    <row r="129" spans="18:93" ht="39.950000000000003" customHeight="1">
      <c r="R129" s="76"/>
      <c r="V129" s="170"/>
      <c r="W129" s="69"/>
      <c r="X129" s="69"/>
      <c r="Y129" s="69"/>
      <c r="AD129" s="76"/>
      <c r="AG129" s="69"/>
      <c r="AH129" s="69"/>
      <c r="AI129" s="69"/>
      <c r="AJ129" s="69"/>
      <c r="AK129" s="69"/>
      <c r="AP129" s="76"/>
      <c r="AQ129" s="67"/>
      <c r="AR129" s="68"/>
      <c r="AS129" s="69"/>
      <c r="AT129" s="69"/>
      <c r="AU129" s="69"/>
      <c r="AV129" s="69"/>
      <c r="AW129" s="69"/>
      <c r="AX129" s="68"/>
      <c r="AY129" s="69"/>
      <c r="AZ129" s="67"/>
      <c r="BA129" s="69"/>
      <c r="BB129" s="76"/>
      <c r="BC129" s="67"/>
      <c r="BD129" s="68"/>
      <c r="BE129" s="69"/>
      <c r="BF129" s="69"/>
      <c r="BG129" s="69"/>
      <c r="BH129" s="69"/>
      <c r="BI129" s="69"/>
      <c r="BJ129" s="68"/>
      <c r="BK129" s="69"/>
      <c r="BL129" s="67"/>
      <c r="BM129" s="67"/>
      <c r="BN129" s="56"/>
      <c r="BO129" s="56"/>
      <c r="BT129" s="63"/>
      <c r="BW129" s="56"/>
      <c r="BX129" s="56"/>
      <c r="BY129" s="56"/>
      <c r="BZ129" s="56"/>
      <c r="CA129" s="56"/>
      <c r="CF129" s="63"/>
      <c r="CI129" s="56"/>
      <c r="CJ129" s="56"/>
      <c r="CK129" s="56"/>
      <c r="CL129" s="56"/>
      <c r="CM129" s="56"/>
    </row>
    <row r="130" spans="18:93" ht="39.950000000000003" customHeight="1">
      <c r="AQ130" s="67"/>
      <c r="AR130" s="68"/>
      <c r="AS130" s="68"/>
      <c r="AT130" s="68"/>
      <c r="AU130" s="68"/>
      <c r="AV130" s="68"/>
      <c r="AW130" s="68"/>
      <c r="AX130" s="68"/>
      <c r="AY130" s="69"/>
      <c r="AZ130" s="67"/>
      <c r="BA130" s="68"/>
      <c r="BB130" s="67"/>
      <c r="BC130" s="67"/>
      <c r="BD130" s="68"/>
      <c r="BE130" s="68"/>
      <c r="BF130" s="68"/>
      <c r="BG130" s="68"/>
      <c r="BH130" s="68"/>
      <c r="BI130" s="68"/>
      <c r="BJ130" s="68"/>
      <c r="BK130" s="69"/>
      <c r="BL130" s="67"/>
      <c r="BM130" s="67"/>
    </row>
    <row r="131" spans="18:93" ht="39.950000000000003" customHeight="1">
      <c r="R131" s="76"/>
      <c r="S131" s="77"/>
      <c r="Y131" s="533"/>
      <c r="Z131" s="533"/>
      <c r="AA131" s="533"/>
      <c r="AD131" s="76"/>
      <c r="AE131" s="77"/>
      <c r="AK131" s="533"/>
      <c r="AL131" s="533"/>
      <c r="AM131" s="533"/>
      <c r="AP131" s="76"/>
      <c r="AQ131" s="77"/>
      <c r="AR131" s="68"/>
      <c r="AS131" s="68"/>
      <c r="AT131" s="68"/>
      <c r="AU131" s="68"/>
      <c r="AV131" s="68"/>
      <c r="AW131" s="533"/>
      <c r="AX131" s="533"/>
      <c r="AY131" s="533"/>
      <c r="AZ131" s="67"/>
      <c r="BA131" s="68"/>
      <c r="BB131" s="76"/>
      <c r="BC131" s="77"/>
      <c r="BD131" s="68"/>
      <c r="BE131" s="68"/>
      <c r="BF131" s="68"/>
      <c r="BG131" s="68"/>
      <c r="BH131" s="68"/>
      <c r="BI131" s="533"/>
      <c r="BJ131" s="533"/>
      <c r="BK131" s="533"/>
      <c r="BL131" s="67"/>
      <c r="BM131" s="67"/>
      <c r="BO131" s="531"/>
      <c r="BP131" s="531"/>
      <c r="BQ131" s="531"/>
      <c r="BT131" s="63"/>
      <c r="BU131" s="64"/>
      <c r="CA131" s="531"/>
      <c r="CB131" s="531"/>
      <c r="CC131" s="531"/>
      <c r="CF131" s="63"/>
      <c r="CG131" s="64"/>
      <c r="CM131" s="531"/>
      <c r="CN131" s="531"/>
      <c r="CO131" s="531"/>
    </row>
    <row r="132" spans="18:93" ht="39.950000000000003" customHeight="1">
      <c r="R132" s="76"/>
      <c r="V132" s="170"/>
      <c r="W132" s="69"/>
      <c r="X132" s="69"/>
      <c r="Y132" s="69"/>
      <c r="AD132" s="76"/>
      <c r="AG132" s="69"/>
      <c r="AH132" s="69"/>
      <c r="AI132" s="69"/>
      <c r="AJ132" s="69"/>
      <c r="AK132" s="69"/>
      <c r="AP132" s="76"/>
      <c r="AQ132" s="67"/>
      <c r="AR132" s="68"/>
      <c r="AS132" s="69"/>
      <c r="AT132" s="69"/>
      <c r="AU132" s="69"/>
      <c r="AV132" s="69"/>
      <c r="AW132" s="69"/>
      <c r="AX132" s="68"/>
      <c r="AY132" s="69"/>
      <c r="AZ132" s="67"/>
      <c r="BA132" s="69"/>
      <c r="BB132" s="76"/>
      <c r="BC132" s="67"/>
      <c r="BD132" s="68"/>
      <c r="BE132" s="69"/>
      <c r="BF132" s="69"/>
      <c r="BG132" s="69"/>
      <c r="BH132" s="69"/>
      <c r="BI132" s="69"/>
      <c r="BJ132" s="68"/>
      <c r="BK132" s="69"/>
      <c r="BL132" s="67"/>
      <c r="BM132" s="67"/>
      <c r="BN132" s="56"/>
      <c r="BO132" s="56"/>
      <c r="BT132" s="63"/>
      <c r="BW132" s="56"/>
      <c r="BX132" s="56"/>
      <c r="BY132" s="56"/>
      <c r="BZ132" s="56"/>
      <c r="CA132" s="56"/>
      <c r="CF132" s="63"/>
      <c r="CI132" s="56"/>
      <c r="CJ132" s="56"/>
      <c r="CK132" s="56"/>
      <c r="CL132" s="56"/>
      <c r="CM132" s="56"/>
    </row>
    <row r="133" spans="18:93" ht="39.950000000000003" customHeight="1">
      <c r="R133" s="76"/>
      <c r="V133" s="170"/>
      <c r="W133" s="69"/>
      <c r="X133" s="69"/>
      <c r="Y133" s="69"/>
      <c r="AD133" s="76"/>
      <c r="AG133" s="69"/>
      <c r="AH133" s="69"/>
      <c r="AI133" s="69"/>
      <c r="AJ133" s="69"/>
      <c r="AK133" s="69"/>
      <c r="AP133" s="76"/>
      <c r="AQ133" s="67"/>
      <c r="AR133" s="68"/>
      <c r="AS133" s="69"/>
      <c r="AT133" s="69"/>
      <c r="AU133" s="69"/>
      <c r="AV133" s="69"/>
      <c r="AW133" s="69"/>
      <c r="AX133" s="68"/>
      <c r="AY133" s="69"/>
      <c r="AZ133" s="67"/>
      <c r="BA133" s="69"/>
      <c r="BB133" s="76"/>
      <c r="BC133" s="67"/>
      <c r="BD133" s="68"/>
      <c r="BE133" s="69"/>
      <c r="BF133" s="69"/>
      <c r="BG133" s="69"/>
      <c r="BH133" s="69"/>
      <c r="BI133" s="69"/>
      <c r="BJ133" s="68"/>
      <c r="BK133" s="69"/>
      <c r="BL133" s="67"/>
      <c r="BM133" s="67"/>
      <c r="BN133" s="56"/>
      <c r="BO133" s="56"/>
      <c r="BT133" s="63"/>
      <c r="BW133" s="56"/>
      <c r="BX133" s="56"/>
      <c r="BY133" s="56"/>
      <c r="BZ133" s="56"/>
      <c r="CA133" s="56"/>
      <c r="CF133" s="63"/>
      <c r="CI133" s="56"/>
      <c r="CJ133" s="56"/>
      <c r="CK133" s="56"/>
      <c r="CL133" s="56"/>
      <c r="CM133" s="56"/>
    </row>
    <row r="134" spans="18:93" ht="39.950000000000003" customHeight="1">
      <c r="R134" s="76"/>
      <c r="V134" s="170"/>
      <c r="W134" s="69"/>
      <c r="X134" s="69"/>
      <c r="Y134" s="69"/>
      <c r="AD134" s="76"/>
      <c r="AG134" s="69"/>
      <c r="AH134" s="69"/>
      <c r="AI134" s="69"/>
      <c r="AJ134" s="69"/>
      <c r="AK134" s="69"/>
      <c r="AP134" s="76"/>
      <c r="AQ134" s="67"/>
      <c r="AR134" s="68"/>
      <c r="AS134" s="69"/>
      <c r="AT134" s="69"/>
      <c r="AU134" s="69"/>
      <c r="AV134" s="69"/>
      <c r="AW134" s="69"/>
      <c r="AX134" s="68"/>
      <c r="AY134" s="69"/>
      <c r="AZ134" s="67"/>
      <c r="BA134" s="69"/>
      <c r="BB134" s="76"/>
      <c r="BC134" s="67"/>
      <c r="BD134" s="68"/>
      <c r="BE134" s="69"/>
      <c r="BF134" s="69"/>
      <c r="BG134" s="69"/>
      <c r="BH134" s="69"/>
      <c r="BI134" s="69"/>
      <c r="BJ134" s="68"/>
      <c r="BK134" s="69"/>
      <c r="BL134" s="67"/>
      <c r="BM134" s="67"/>
      <c r="BN134" s="56"/>
      <c r="BO134" s="56"/>
      <c r="BT134" s="63"/>
      <c r="BW134" s="56"/>
      <c r="BX134" s="56"/>
      <c r="BY134" s="56"/>
      <c r="BZ134" s="56"/>
      <c r="CA134" s="56"/>
      <c r="CF134" s="63"/>
      <c r="CI134" s="56"/>
      <c r="CJ134" s="56"/>
      <c r="CK134" s="56"/>
      <c r="CL134" s="56"/>
      <c r="CM134" s="56"/>
    </row>
    <row r="135" spans="18:93" ht="39.950000000000003" customHeight="1">
      <c r="R135" s="76"/>
      <c r="V135" s="170"/>
      <c r="W135" s="69"/>
      <c r="X135" s="69"/>
      <c r="Y135" s="69"/>
      <c r="AD135" s="76"/>
      <c r="AG135" s="69"/>
      <c r="AH135" s="69"/>
      <c r="AI135" s="69"/>
      <c r="AJ135" s="69"/>
      <c r="AK135" s="69"/>
      <c r="AP135" s="76"/>
      <c r="AQ135" s="67"/>
      <c r="AR135" s="68"/>
      <c r="AS135" s="69"/>
      <c r="AT135" s="69"/>
      <c r="AU135" s="69"/>
      <c r="AV135" s="69"/>
      <c r="AW135" s="69"/>
      <c r="AX135" s="68"/>
      <c r="AY135" s="69"/>
      <c r="AZ135" s="67"/>
      <c r="BA135" s="69"/>
      <c r="BB135" s="76"/>
      <c r="BC135" s="67"/>
      <c r="BD135" s="68"/>
      <c r="BE135" s="69"/>
      <c r="BF135" s="69"/>
      <c r="BG135" s="69"/>
      <c r="BH135" s="69"/>
      <c r="BI135" s="69"/>
      <c r="BJ135" s="68"/>
      <c r="BK135" s="69"/>
      <c r="BL135" s="67"/>
      <c r="BM135" s="67"/>
      <c r="BN135" s="56"/>
      <c r="BO135" s="56"/>
      <c r="BT135" s="63"/>
      <c r="BW135" s="56"/>
      <c r="BX135" s="56"/>
      <c r="BY135" s="56"/>
      <c r="BZ135" s="56"/>
      <c r="CA135" s="56"/>
      <c r="CF135" s="63"/>
      <c r="CI135" s="56"/>
      <c r="CJ135" s="56"/>
      <c r="CK135" s="56"/>
      <c r="CL135" s="56"/>
      <c r="CM135" s="56"/>
    </row>
    <row r="136" spans="18:93" ht="39.950000000000003" customHeight="1">
      <c r="AQ136" s="67"/>
      <c r="AR136" s="68"/>
      <c r="AS136" s="68"/>
      <c r="AT136" s="68"/>
      <c r="AU136" s="68"/>
      <c r="AV136" s="68"/>
      <c r="AW136" s="68"/>
      <c r="AX136" s="68"/>
      <c r="AY136" s="69"/>
      <c r="AZ136" s="67"/>
      <c r="BA136" s="68"/>
      <c r="BB136" s="67"/>
      <c r="BC136" s="67"/>
      <c r="BD136" s="68"/>
      <c r="BE136" s="68"/>
      <c r="BF136" s="68"/>
      <c r="BG136" s="68"/>
      <c r="BH136" s="68"/>
      <c r="BI136" s="68"/>
      <c r="BJ136" s="68"/>
      <c r="BK136" s="69"/>
      <c r="BL136" s="67"/>
      <c r="BM136" s="67"/>
    </row>
    <row r="137" spans="18:93" ht="39.950000000000003" customHeight="1">
      <c r="R137" s="76"/>
      <c r="S137" s="77"/>
      <c r="Y137" s="533"/>
      <c r="Z137" s="533"/>
      <c r="AA137" s="533"/>
      <c r="AD137" s="76"/>
      <c r="AE137" s="77"/>
      <c r="AK137" s="533"/>
      <c r="AL137" s="533"/>
      <c r="AM137" s="533"/>
      <c r="AP137" s="76"/>
      <c r="AQ137" s="77"/>
      <c r="AR137" s="68"/>
      <c r="AS137" s="68"/>
      <c r="AT137" s="68"/>
      <c r="AU137" s="68"/>
      <c r="AV137" s="68"/>
      <c r="AW137" s="533"/>
      <c r="AX137" s="533"/>
      <c r="AY137" s="533"/>
      <c r="AZ137" s="67"/>
      <c r="BA137" s="68"/>
      <c r="BB137" s="76"/>
      <c r="BC137" s="77"/>
      <c r="BD137" s="68"/>
      <c r="BE137" s="68"/>
      <c r="BF137" s="68"/>
      <c r="BG137" s="68"/>
      <c r="BH137" s="68"/>
      <c r="BI137" s="533"/>
      <c r="BJ137" s="533"/>
      <c r="BK137" s="533"/>
      <c r="BL137" s="67"/>
      <c r="BM137" s="67"/>
      <c r="BO137" s="531"/>
      <c r="BP137" s="531"/>
      <c r="BQ137" s="531"/>
      <c r="BT137" s="63"/>
      <c r="BU137" s="64"/>
      <c r="CA137" s="531"/>
      <c r="CB137" s="531"/>
      <c r="CC137" s="531"/>
      <c r="CF137" s="63"/>
      <c r="CG137" s="64"/>
      <c r="CM137" s="531"/>
      <c r="CN137" s="531"/>
      <c r="CO137" s="531"/>
    </row>
    <row r="138" spans="18:93" ht="39.950000000000003" customHeight="1">
      <c r="R138" s="76"/>
      <c r="V138" s="170"/>
      <c r="W138" s="69"/>
      <c r="X138" s="69"/>
      <c r="Y138" s="69"/>
      <c r="AD138" s="76"/>
      <c r="AG138" s="69"/>
      <c r="AH138" s="69"/>
      <c r="AI138" s="69"/>
      <c r="AJ138" s="69"/>
      <c r="AK138" s="69"/>
      <c r="AP138" s="76"/>
      <c r="AQ138" s="67"/>
      <c r="AR138" s="68"/>
      <c r="AS138" s="69"/>
      <c r="AT138" s="69"/>
      <c r="AU138" s="69"/>
      <c r="AV138" s="69"/>
      <c r="AW138" s="69"/>
      <c r="AX138" s="68"/>
      <c r="AY138" s="69"/>
      <c r="AZ138" s="67"/>
      <c r="BA138" s="69"/>
      <c r="BB138" s="76"/>
      <c r="BC138" s="67"/>
      <c r="BD138" s="68"/>
      <c r="BE138" s="69"/>
      <c r="BF138" s="69"/>
      <c r="BG138" s="69"/>
      <c r="BH138" s="69"/>
      <c r="BI138" s="69"/>
      <c r="BJ138" s="68"/>
      <c r="BK138" s="69"/>
      <c r="BL138" s="67"/>
      <c r="BM138" s="67"/>
      <c r="BN138" s="56"/>
      <c r="BO138" s="56"/>
      <c r="BT138" s="63"/>
      <c r="BW138" s="56"/>
      <c r="BX138" s="56"/>
      <c r="BY138" s="56"/>
      <c r="BZ138" s="56"/>
      <c r="CA138" s="56"/>
      <c r="CF138" s="63"/>
      <c r="CI138" s="56"/>
      <c r="CJ138" s="56"/>
      <c r="CK138" s="56"/>
      <c r="CL138" s="56"/>
      <c r="CM138" s="56"/>
    </row>
    <row r="139" spans="18:93" ht="39.950000000000003" customHeight="1">
      <c r="R139" s="76"/>
      <c r="V139" s="170"/>
      <c r="W139" s="69"/>
      <c r="X139" s="69"/>
      <c r="Y139" s="69"/>
      <c r="AD139" s="76"/>
      <c r="AG139" s="69"/>
      <c r="AH139" s="69"/>
      <c r="AI139" s="69"/>
      <c r="AJ139" s="69"/>
      <c r="AK139" s="69"/>
      <c r="AP139" s="76"/>
      <c r="AQ139" s="67"/>
      <c r="AR139" s="68"/>
      <c r="AS139" s="69"/>
      <c r="AT139" s="69"/>
      <c r="AU139" s="69"/>
      <c r="AV139" s="69"/>
      <c r="AW139" s="69"/>
      <c r="AX139" s="68"/>
      <c r="AY139" s="69"/>
      <c r="AZ139" s="67"/>
      <c r="BA139" s="69"/>
      <c r="BB139" s="76"/>
      <c r="BC139" s="67"/>
      <c r="BD139" s="68"/>
      <c r="BE139" s="69"/>
      <c r="BF139" s="69"/>
      <c r="BG139" s="69"/>
      <c r="BH139" s="69"/>
      <c r="BI139" s="69"/>
      <c r="BJ139" s="68"/>
      <c r="BK139" s="69"/>
      <c r="BL139" s="67"/>
      <c r="BM139" s="67"/>
      <c r="BN139" s="56"/>
      <c r="BO139" s="56"/>
      <c r="BT139" s="63"/>
      <c r="BW139" s="56"/>
      <c r="BX139" s="56"/>
      <c r="BY139" s="56"/>
      <c r="BZ139" s="56"/>
      <c r="CA139" s="56"/>
      <c r="CF139" s="63"/>
      <c r="CI139" s="56"/>
      <c r="CJ139" s="56"/>
      <c r="CK139" s="56"/>
      <c r="CL139" s="56"/>
      <c r="CM139" s="56"/>
    </row>
    <row r="140" spans="18:93" ht="39.950000000000003" customHeight="1">
      <c r="R140" s="76"/>
      <c r="V140" s="170"/>
      <c r="W140" s="69"/>
      <c r="X140" s="69"/>
      <c r="Y140" s="69"/>
      <c r="AD140" s="76"/>
      <c r="AG140" s="69"/>
      <c r="AH140" s="69"/>
      <c r="AI140" s="69"/>
      <c r="AJ140" s="69"/>
      <c r="AK140" s="69"/>
      <c r="AP140" s="76"/>
      <c r="AQ140" s="67"/>
      <c r="AR140" s="68"/>
      <c r="AS140" s="69"/>
      <c r="AT140" s="69"/>
      <c r="AU140" s="69"/>
      <c r="AV140" s="69"/>
      <c r="AW140" s="69"/>
      <c r="AX140" s="68"/>
      <c r="AY140" s="69"/>
      <c r="AZ140" s="67"/>
      <c r="BA140" s="69"/>
      <c r="BB140" s="76"/>
      <c r="BC140" s="67"/>
      <c r="BD140" s="68"/>
      <c r="BE140" s="69"/>
      <c r="BF140" s="69"/>
      <c r="BG140" s="69"/>
      <c r="BH140" s="69"/>
      <c r="BI140" s="69"/>
      <c r="BJ140" s="68"/>
      <c r="BK140" s="69"/>
      <c r="BL140" s="67"/>
      <c r="BM140" s="67"/>
      <c r="BN140" s="56"/>
      <c r="BO140" s="56"/>
      <c r="BT140" s="63"/>
      <c r="BW140" s="56"/>
      <c r="BX140" s="56"/>
      <c r="BY140" s="56"/>
      <c r="BZ140" s="56"/>
      <c r="CA140" s="56"/>
      <c r="CF140" s="63"/>
      <c r="CI140" s="56"/>
      <c r="CJ140" s="56"/>
      <c r="CK140" s="56"/>
      <c r="CL140" s="56"/>
      <c r="CM140" s="56"/>
    </row>
    <row r="141" spans="18:93" ht="39.950000000000003" customHeight="1">
      <c r="R141" s="76"/>
      <c r="V141" s="170"/>
      <c r="W141" s="69"/>
      <c r="X141" s="69"/>
      <c r="Y141" s="69"/>
      <c r="AD141" s="76"/>
      <c r="AG141" s="69"/>
      <c r="AH141" s="69"/>
      <c r="AI141" s="69"/>
      <c r="AJ141" s="69"/>
      <c r="AK141" s="69"/>
      <c r="AP141" s="76"/>
      <c r="AQ141" s="67"/>
      <c r="AR141" s="68"/>
      <c r="AS141" s="69"/>
      <c r="AT141" s="69"/>
      <c r="AU141" s="69"/>
      <c r="AV141" s="69"/>
      <c r="AW141" s="69"/>
      <c r="AX141" s="68"/>
      <c r="AY141" s="69"/>
      <c r="AZ141" s="67"/>
      <c r="BA141" s="69"/>
      <c r="BB141" s="76"/>
      <c r="BC141" s="67"/>
      <c r="BD141" s="68"/>
      <c r="BE141" s="69"/>
      <c r="BF141" s="69"/>
      <c r="BG141" s="69"/>
      <c r="BH141" s="69"/>
      <c r="BI141" s="69"/>
      <c r="BJ141" s="68"/>
      <c r="BK141" s="69"/>
      <c r="BL141" s="67"/>
      <c r="BM141" s="67"/>
      <c r="BN141" s="56"/>
      <c r="BO141" s="56"/>
      <c r="BT141" s="63"/>
      <c r="BW141" s="56"/>
      <c r="BX141" s="56"/>
      <c r="BY141" s="56"/>
      <c r="BZ141" s="56"/>
      <c r="CA141" s="56"/>
      <c r="CF141" s="63"/>
      <c r="CI141" s="56"/>
      <c r="CJ141" s="56"/>
      <c r="CK141" s="56"/>
      <c r="CL141" s="56"/>
      <c r="CM141" s="56"/>
    </row>
    <row r="142" spans="18:93" ht="39.950000000000003" customHeight="1">
      <c r="AQ142" s="67"/>
      <c r="AR142" s="68"/>
      <c r="AS142" s="68"/>
      <c r="AT142" s="68"/>
      <c r="AU142" s="68"/>
      <c r="AV142" s="68"/>
      <c r="AW142" s="68"/>
      <c r="AX142" s="68"/>
      <c r="AY142" s="69"/>
      <c r="AZ142" s="67"/>
      <c r="BA142" s="68"/>
      <c r="BB142" s="67"/>
      <c r="BC142" s="67"/>
      <c r="BD142" s="68"/>
      <c r="BE142" s="68"/>
      <c r="BF142" s="68"/>
      <c r="BG142" s="68"/>
      <c r="BH142" s="68"/>
      <c r="BI142" s="68"/>
      <c r="BJ142" s="68"/>
      <c r="BK142" s="69"/>
      <c r="BL142" s="67"/>
      <c r="BM142" s="67"/>
    </row>
    <row r="143" spans="18:93" ht="39.950000000000003" customHeight="1">
      <c r="R143" s="76"/>
      <c r="S143" s="77"/>
      <c r="Y143" s="533"/>
      <c r="Z143" s="533"/>
      <c r="AA143" s="533"/>
      <c r="AD143" s="76"/>
      <c r="AE143" s="77"/>
      <c r="AK143" s="533"/>
      <c r="AL143" s="533"/>
      <c r="AM143" s="533"/>
      <c r="AP143" s="76"/>
      <c r="AQ143" s="77"/>
      <c r="AR143" s="68"/>
      <c r="AS143" s="68"/>
      <c r="AT143" s="68"/>
      <c r="AU143" s="68"/>
      <c r="AV143" s="68"/>
      <c r="AW143" s="533"/>
      <c r="AX143" s="533"/>
      <c r="AY143" s="533"/>
      <c r="AZ143" s="67"/>
      <c r="BA143" s="68"/>
      <c r="BB143" s="76"/>
      <c r="BC143" s="77"/>
      <c r="BD143" s="68"/>
      <c r="BE143" s="68"/>
      <c r="BF143" s="68"/>
      <c r="BG143" s="68"/>
      <c r="BH143" s="68"/>
      <c r="BI143" s="533"/>
      <c r="BJ143" s="533"/>
      <c r="BK143" s="533"/>
      <c r="BL143" s="67"/>
      <c r="BM143" s="67"/>
      <c r="BO143" s="531"/>
      <c r="BP143" s="531"/>
      <c r="BQ143" s="531"/>
      <c r="BT143" s="63"/>
      <c r="BU143" s="64"/>
      <c r="CA143" s="531"/>
      <c r="CB143" s="531"/>
      <c r="CC143" s="531"/>
      <c r="CF143" s="63"/>
      <c r="CG143" s="64"/>
      <c r="CM143" s="531"/>
      <c r="CN143" s="531"/>
      <c r="CO143" s="531"/>
    </row>
    <row r="144" spans="18:93" ht="39.950000000000003" customHeight="1">
      <c r="R144" s="76"/>
      <c r="V144" s="170"/>
      <c r="W144" s="69"/>
      <c r="X144" s="69"/>
      <c r="Y144" s="69"/>
      <c r="AD144" s="76"/>
      <c r="AG144" s="69"/>
      <c r="AH144" s="69"/>
      <c r="AI144" s="69"/>
      <c r="AJ144" s="69"/>
      <c r="AK144" s="69"/>
      <c r="AP144" s="76"/>
      <c r="AQ144" s="67"/>
      <c r="AR144" s="68"/>
      <c r="AS144" s="69"/>
      <c r="AT144" s="69"/>
      <c r="AU144" s="69"/>
      <c r="AV144" s="69"/>
      <c r="AW144" s="69"/>
      <c r="AX144" s="68"/>
      <c r="AY144" s="69"/>
      <c r="AZ144" s="67"/>
      <c r="BA144" s="69"/>
      <c r="BB144" s="76"/>
      <c r="BC144" s="67"/>
      <c r="BD144" s="68"/>
      <c r="BE144" s="69"/>
      <c r="BF144" s="69"/>
      <c r="BG144" s="69"/>
      <c r="BH144" s="69"/>
      <c r="BI144" s="69"/>
      <c r="BJ144" s="68"/>
      <c r="BK144" s="69"/>
      <c r="BL144" s="67"/>
      <c r="BM144" s="67"/>
      <c r="BN144" s="56"/>
      <c r="BO144" s="56"/>
      <c r="BT144" s="63"/>
      <c r="BW144" s="56"/>
      <c r="BX144" s="56"/>
      <c r="BY144" s="56"/>
      <c r="BZ144" s="56"/>
      <c r="CA144" s="56"/>
      <c r="CF144" s="63"/>
      <c r="CI144" s="56"/>
      <c r="CJ144" s="56"/>
      <c r="CK144" s="56"/>
      <c r="CL144" s="56"/>
      <c r="CM144" s="56"/>
    </row>
    <row r="145" spans="18:93" ht="39.950000000000003" customHeight="1">
      <c r="R145" s="76"/>
      <c r="V145" s="170"/>
      <c r="W145" s="69"/>
      <c r="X145" s="69"/>
      <c r="Y145" s="69"/>
      <c r="AD145" s="76"/>
      <c r="AG145" s="69"/>
      <c r="AH145" s="69"/>
      <c r="AI145" s="69"/>
      <c r="AJ145" s="69"/>
      <c r="AK145" s="69"/>
      <c r="AP145" s="76"/>
      <c r="AQ145" s="67"/>
      <c r="AR145" s="68"/>
      <c r="AS145" s="69"/>
      <c r="AT145" s="69"/>
      <c r="AU145" s="69"/>
      <c r="AV145" s="69"/>
      <c r="AW145" s="69"/>
      <c r="AX145" s="68"/>
      <c r="AY145" s="69"/>
      <c r="AZ145" s="67"/>
      <c r="BA145" s="69"/>
      <c r="BB145" s="76"/>
      <c r="BC145" s="67"/>
      <c r="BD145" s="68"/>
      <c r="BE145" s="69"/>
      <c r="BF145" s="69"/>
      <c r="BG145" s="69"/>
      <c r="BH145" s="69"/>
      <c r="BI145" s="69"/>
      <c r="BJ145" s="68"/>
      <c r="BK145" s="69"/>
      <c r="BL145" s="67"/>
      <c r="BM145" s="67"/>
      <c r="BN145" s="56"/>
      <c r="BO145" s="56"/>
      <c r="BT145" s="63"/>
      <c r="BW145" s="56"/>
      <c r="BX145" s="56"/>
      <c r="BY145" s="56"/>
      <c r="BZ145" s="56"/>
      <c r="CA145" s="56"/>
      <c r="CF145" s="63"/>
      <c r="CI145" s="56"/>
      <c r="CJ145" s="56"/>
      <c r="CK145" s="56"/>
      <c r="CL145" s="56"/>
      <c r="CM145" s="56"/>
    </row>
    <row r="146" spans="18:93" ht="39.950000000000003" customHeight="1">
      <c r="R146" s="76"/>
      <c r="V146" s="170"/>
      <c r="W146" s="69"/>
      <c r="X146" s="69"/>
      <c r="Y146" s="69"/>
      <c r="AD146" s="76"/>
      <c r="AG146" s="69"/>
      <c r="AH146" s="69"/>
      <c r="AI146" s="69"/>
      <c r="AJ146" s="69"/>
      <c r="AK146" s="69"/>
      <c r="AP146" s="76"/>
      <c r="AQ146" s="67"/>
      <c r="AR146" s="68"/>
      <c r="AS146" s="69"/>
      <c r="AT146" s="69"/>
      <c r="AU146" s="69"/>
      <c r="AV146" s="69"/>
      <c r="AW146" s="69"/>
      <c r="AX146" s="68"/>
      <c r="AY146" s="69"/>
      <c r="AZ146" s="67"/>
      <c r="BA146" s="69"/>
      <c r="BB146" s="76"/>
      <c r="BC146" s="67"/>
      <c r="BD146" s="68"/>
      <c r="BE146" s="69"/>
      <c r="BF146" s="69"/>
      <c r="BG146" s="69"/>
      <c r="BH146" s="69"/>
      <c r="BI146" s="69"/>
      <c r="BJ146" s="68"/>
      <c r="BK146" s="69"/>
      <c r="BL146" s="67"/>
      <c r="BM146" s="67"/>
      <c r="BN146" s="56"/>
      <c r="BO146" s="56"/>
      <c r="BT146" s="63"/>
      <c r="BW146" s="56"/>
      <c r="BX146" s="56"/>
      <c r="BY146" s="56"/>
      <c r="BZ146" s="56"/>
      <c r="CA146" s="56"/>
      <c r="CF146" s="63"/>
      <c r="CI146" s="56"/>
      <c r="CJ146" s="56"/>
      <c r="CK146" s="56"/>
      <c r="CL146" s="56"/>
      <c r="CM146" s="56"/>
    </row>
    <row r="147" spans="18:93" ht="39.950000000000003" customHeight="1">
      <c r="R147" s="76"/>
      <c r="V147" s="170"/>
      <c r="W147" s="69"/>
      <c r="X147" s="69"/>
      <c r="Y147" s="69"/>
      <c r="AD147" s="76"/>
      <c r="AG147" s="69"/>
      <c r="AH147" s="69"/>
      <c r="AI147" s="69"/>
      <c r="AJ147" s="69"/>
      <c r="AK147" s="69"/>
      <c r="AP147" s="76"/>
      <c r="AQ147" s="67"/>
      <c r="AR147" s="68"/>
      <c r="AS147" s="69"/>
      <c r="AT147" s="69"/>
      <c r="AU147" s="69"/>
      <c r="AV147" s="69"/>
      <c r="AW147" s="69"/>
      <c r="AX147" s="68"/>
      <c r="AY147" s="69"/>
      <c r="AZ147" s="67"/>
      <c r="BA147" s="69"/>
      <c r="BB147" s="76"/>
      <c r="BC147" s="67"/>
      <c r="BD147" s="68"/>
      <c r="BE147" s="69"/>
      <c r="BF147" s="69"/>
      <c r="BG147" s="69"/>
      <c r="BH147" s="69"/>
      <c r="BI147" s="69"/>
      <c r="BJ147" s="68"/>
      <c r="BK147" s="69"/>
      <c r="BL147" s="67"/>
      <c r="BM147" s="67"/>
      <c r="BN147" s="56"/>
      <c r="BO147" s="56"/>
      <c r="BT147" s="63"/>
      <c r="BW147" s="56"/>
      <c r="BX147" s="56"/>
      <c r="BY147" s="56"/>
      <c r="BZ147" s="56"/>
      <c r="CA147" s="56"/>
      <c r="CF147" s="63"/>
      <c r="CI147" s="56"/>
      <c r="CJ147" s="56"/>
      <c r="CK147" s="56"/>
      <c r="CL147" s="56"/>
      <c r="CM147" s="56"/>
    </row>
    <row r="148" spans="18:93" ht="39.950000000000003" customHeight="1">
      <c r="AQ148" s="67"/>
      <c r="AR148" s="68"/>
      <c r="AS148" s="68"/>
      <c r="AT148" s="68"/>
      <c r="AU148" s="68"/>
      <c r="AV148" s="68"/>
      <c r="AW148" s="68"/>
      <c r="AX148" s="68"/>
      <c r="AY148" s="69"/>
      <c r="AZ148" s="67"/>
      <c r="BA148" s="68"/>
      <c r="BB148" s="67"/>
      <c r="BC148" s="67"/>
      <c r="BD148" s="68"/>
      <c r="BE148" s="68"/>
      <c r="BF148" s="68"/>
      <c r="BG148" s="68"/>
      <c r="BH148" s="68"/>
      <c r="BI148" s="68"/>
      <c r="BJ148" s="68"/>
      <c r="BK148" s="69"/>
      <c r="BL148" s="67"/>
      <c r="BM148" s="67"/>
    </row>
    <row r="149" spans="18:93" ht="39.950000000000003" customHeight="1">
      <c r="R149" s="76"/>
      <c r="S149" s="77"/>
      <c r="Y149" s="533"/>
      <c r="Z149" s="533"/>
      <c r="AA149" s="533"/>
      <c r="AD149" s="76"/>
      <c r="AE149" s="77"/>
      <c r="AK149" s="533"/>
      <c r="AL149" s="533"/>
      <c r="AM149" s="533"/>
      <c r="AP149" s="76"/>
      <c r="AQ149" s="77"/>
      <c r="AR149" s="68"/>
      <c r="AS149" s="68"/>
      <c r="AT149" s="68"/>
      <c r="AU149" s="68"/>
      <c r="AV149" s="68"/>
      <c r="AW149" s="533"/>
      <c r="AX149" s="533"/>
      <c r="AY149" s="533"/>
      <c r="AZ149" s="67"/>
      <c r="BA149" s="68"/>
      <c r="BB149" s="76"/>
      <c r="BC149" s="77"/>
      <c r="BD149" s="68"/>
      <c r="BE149" s="68"/>
      <c r="BF149" s="68"/>
      <c r="BG149" s="68"/>
      <c r="BH149" s="68"/>
      <c r="BI149" s="533"/>
      <c r="BJ149" s="533"/>
      <c r="BK149" s="533"/>
      <c r="BL149" s="67"/>
      <c r="BM149" s="67"/>
      <c r="BO149" s="531"/>
      <c r="BP149" s="531"/>
      <c r="BQ149" s="531"/>
      <c r="BT149" s="63"/>
      <c r="BU149" s="64"/>
      <c r="CA149" s="531"/>
      <c r="CB149" s="531"/>
      <c r="CC149" s="531"/>
      <c r="CF149" s="63"/>
      <c r="CG149" s="64"/>
      <c r="CM149" s="531"/>
      <c r="CN149" s="531"/>
      <c r="CO149" s="531"/>
    </row>
    <row r="150" spans="18:93" ht="39.950000000000003" customHeight="1">
      <c r="R150" s="76"/>
      <c r="V150" s="170"/>
      <c r="W150" s="69"/>
      <c r="X150" s="69"/>
      <c r="Y150" s="69"/>
      <c r="AD150" s="76"/>
      <c r="AG150" s="69"/>
      <c r="AH150" s="69"/>
      <c r="AI150" s="69"/>
      <c r="AJ150" s="69"/>
      <c r="AK150" s="69"/>
      <c r="AP150" s="76"/>
      <c r="AQ150" s="67"/>
      <c r="AR150" s="68"/>
      <c r="AS150" s="69"/>
      <c r="AT150" s="69"/>
      <c r="AU150" s="69"/>
      <c r="AV150" s="69"/>
      <c r="AW150" s="69"/>
      <c r="AX150" s="68"/>
      <c r="AY150" s="69"/>
      <c r="AZ150" s="67"/>
      <c r="BA150" s="69"/>
      <c r="BB150" s="76"/>
      <c r="BC150" s="67"/>
      <c r="BD150" s="68"/>
      <c r="BE150" s="69"/>
      <c r="BF150" s="69"/>
      <c r="BG150" s="69"/>
      <c r="BH150" s="69"/>
      <c r="BI150" s="69"/>
      <c r="BJ150" s="68"/>
      <c r="BK150" s="69"/>
      <c r="BL150" s="67"/>
      <c r="BM150" s="67"/>
      <c r="BN150" s="56"/>
      <c r="BO150" s="56"/>
      <c r="BT150" s="63"/>
      <c r="BW150" s="56"/>
      <c r="BX150" s="56"/>
      <c r="BY150" s="56"/>
      <c r="BZ150" s="56"/>
      <c r="CA150" s="56"/>
      <c r="CF150" s="63"/>
      <c r="CI150" s="56"/>
      <c r="CJ150" s="56"/>
      <c r="CK150" s="56"/>
      <c r="CL150" s="56"/>
      <c r="CM150" s="56"/>
    </row>
    <row r="151" spans="18:93" ht="39.950000000000003" customHeight="1">
      <c r="R151" s="76"/>
      <c r="V151" s="170"/>
      <c r="W151" s="69"/>
      <c r="X151" s="69"/>
      <c r="Y151" s="69"/>
      <c r="AD151" s="76"/>
      <c r="AG151" s="69"/>
      <c r="AH151" s="69"/>
      <c r="AI151" s="69"/>
      <c r="AJ151" s="69"/>
      <c r="AK151" s="69"/>
      <c r="AP151" s="76"/>
      <c r="AQ151" s="67"/>
      <c r="AR151" s="68"/>
      <c r="AS151" s="69"/>
      <c r="AT151" s="69"/>
      <c r="AU151" s="69"/>
      <c r="AV151" s="69"/>
      <c r="AW151" s="69"/>
      <c r="AX151" s="68"/>
      <c r="AY151" s="69"/>
      <c r="AZ151" s="67"/>
      <c r="BA151" s="69"/>
      <c r="BB151" s="76"/>
      <c r="BC151" s="67"/>
      <c r="BD151" s="68"/>
      <c r="BE151" s="69"/>
      <c r="BF151" s="69"/>
      <c r="BG151" s="69"/>
      <c r="BH151" s="69"/>
      <c r="BI151" s="69"/>
      <c r="BJ151" s="68"/>
      <c r="BK151" s="69"/>
      <c r="BL151" s="67"/>
      <c r="BM151" s="67"/>
      <c r="BN151" s="56"/>
      <c r="BO151" s="56"/>
      <c r="BT151" s="63"/>
      <c r="BW151" s="56"/>
      <c r="BX151" s="56"/>
      <c r="BY151" s="56"/>
      <c r="BZ151" s="56"/>
      <c r="CA151" s="56"/>
      <c r="CF151" s="63"/>
      <c r="CI151" s="56"/>
      <c r="CJ151" s="56"/>
      <c r="CK151" s="56"/>
      <c r="CL151" s="56"/>
      <c r="CM151" s="56"/>
    </row>
    <row r="152" spans="18:93" ht="39.950000000000003" customHeight="1">
      <c r="R152" s="76"/>
      <c r="V152" s="170"/>
      <c r="W152" s="69"/>
      <c r="X152" s="69"/>
      <c r="Y152" s="69"/>
      <c r="AD152" s="76"/>
      <c r="AG152" s="69"/>
      <c r="AH152" s="69"/>
      <c r="AI152" s="69"/>
      <c r="AJ152" s="69"/>
      <c r="AK152" s="69"/>
      <c r="AP152" s="76"/>
      <c r="AQ152" s="67"/>
      <c r="AR152" s="68"/>
      <c r="AS152" s="69"/>
      <c r="AT152" s="69"/>
      <c r="AU152" s="69"/>
      <c r="AV152" s="69"/>
      <c r="AW152" s="69"/>
      <c r="AX152" s="68"/>
      <c r="AY152" s="69"/>
      <c r="AZ152" s="67"/>
      <c r="BA152" s="69"/>
      <c r="BB152" s="76"/>
      <c r="BC152" s="67"/>
      <c r="BD152" s="68"/>
      <c r="BE152" s="69"/>
      <c r="BF152" s="69"/>
      <c r="BG152" s="69"/>
      <c r="BH152" s="69"/>
      <c r="BI152" s="69"/>
      <c r="BJ152" s="68"/>
      <c r="BK152" s="69"/>
      <c r="BL152" s="67"/>
      <c r="BM152" s="67"/>
      <c r="BN152" s="56"/>
      <c r="BO152" s="56"/>
      <c r="BT152" s="63"/>
      <c r="BW152" s="56"/>
      <c r="BX152" s="56"/>
      <c r="BY152" s="56"/>
      <c r="BZ152" s="56"/>
      <c r="CA152" s="56"/>
      <c r="CF152" s="63"/>
      <c r="CI152" s="56"/>
      <c r="CJ152" s="56"/>
      <c r="CK152" s="56"/>
      <c r="CL152" s="56"/>
      <c r="CM152" s="56"/>
    </row>
    <row r="153" spans="18:93" ht="39.950000000000003" customHeight="1">
      <c r="R153" s="76"/>
      <c r="V153" s="170"/>
      <c r="W153" s="69"/>
      <c r="X153" s="69"/>
      <c r="Y153" s="69"/>
      <c r="AD153" s="76"/>
      <c r="AG153" s="69"/>
      <c r="AH153" s="69"/>
      <c r="AI153" s="69"/>
      <c r="AJ153" s="69"/>
      <c r="AK153" s="69"/>
      <c r="AP153" s="76"/>
      <c r="AQ153" s="67"/>
      <c r="AR153" s="68"/>
      <c r="AS153" s="69"/>
      <c r="AT153" s="69"/>
      <c r="AU153" s="69"/>
      <c r="AV153" s="69"/>
      <c r="AW153" s="69"/>
      <c r="AX153" s="68"/>
      <c r="AY153" s="69"/>
      <c r="AZ153" s="67"/>
      <c r="BA153" s="69"/>
      <c r="BB153" s="76"/>
      <c r="BC153" s="67"/>
      <c r="BD153" s="68"/>
      <c r="BE153" s="69"/>
      <c r="BF153" s="69"/>
      <c r="BG153" s="69"/>
      <c r="BH153" s="69"/>
      <c r="BI153" s="69"/>
      <c r="BJ153" s="68"/>
      <c r="BK153" s="69"/>
      <c r="BL153" s="67"/>
      <c r="BM153" s="67"/>
      <c r="BN153" s="56"/>
      <c r="BO153" s="56"/>
      <c r="BT153" s="63"/>
      <c r="BW153" s="56"/>
      <c r="BX153" s="56"/>
      <c r="BY153" s="56"/>
      <c r="BZ153" s="56"/>
      <c r="CA153" s="56"/>
      <c r="CF153" s="63"/>
      <c r="CI153" s="56"/>
      <c r="CJ153" s="56"/>
      <c r="CK153" s="56"/>
      <c r="CL153" s="56"/>
      <c r="CM153" s="56"/>
    </row>
    <row r="154" spans="18:93" ht="39.950000000000003" customHeight="1">
      <c r="AQ154" s="67"/>
      <c r="AR154" s="68"/>
      <c r="AS154" s="68"/>
      <c r="AT154" s="68"/>
      <c r="AU154" s="68"/>
      <c r="AV154" s="68"/>
      <c r="AW154" s="68"/>
      <c r="AX154" s="68"/>
      <c r="AY154" s="69"/>
      <c r="AZ154" s="67"/>
      <c r="BA154" s="68"/>
      <c r="BB154" s="67"/>
      <c r="BC154" s="67"/>
      <c r="BD154" s="68"/>
      <c r="BE154" s="68"/>
      <c r="BF154" s="68"/>
      <c r="BG154" s="68"/>
      <c r="BH154" s="68"/>
      <c r="BI154" s="68"/>
      <c r="BJ154" s="68"/>
      <c r="BK154" s="69"/>
      <c r="BL154" s="67"/>
      <c r="BM154" s="67"/>
    </row>
    <row r="155" spans="18:93" ht="39.950000000000003" customHeight="1">
      <c r="R155" s="76"/>
      <c r="S155" s="77"/>
      <c r="Y155" s="533"/>
      <c r="Z155" s="533"/>
      <c r="AA155" s="533"/>
      <c r="AD155" s="76"/>
      <c r="AE155" s="77"/>
      <c r="AK155" s="533"/>
      <c r="AL155" s="533"/>
      <c r="AM155" s="533"/>
      <c r="AP155" s="76"/>
      <c r="AQ155" s="77"/>
      <c r="AR155" s="68"/>
      <c r="AS155" s="68"/>
      <c r="AT155" s="68"/>
      <c r="AU155" s="68"/>
      <c r="AV155" s="68"/>
      <c r="AW155" s="533"/>
      <c r="AX155" s="533"/>
      <c r="AY155" s="533"/>
      <c r="AZ155" s="67"/>
      <c r="BA155" s="68"/>
      <c r="BB155" s="76"/>
      <c r="BC155" s="77"/>
      <c r="BD155" s="68"/>
      <c r="BE155" s="68"/>
      <c r="BF155" s="68"/>
      <c r="BG155" s="68"/>
      <c r="BH155" s="68"/>
      <c r="BI155" s="533"/>
      <c r="BJ155" s="533"/>
      <c r="BK155" s="533"/>
      <c r="BL155" s="67"/>
      <c r="BM155" s="67"/>
      <c r="BO155" s="531"/>
      <c r="BP155" s="531"/>
      <c r="BQ155" s="531"/>
      <c r="BT155" s="63"/>
      <c r="BU155" s="64"/>
      <c r="CA155" s="531"/>
      <c r="CB155" s="531"/>
      <c r="CC155" s="531"/>
      <c r="CF155" s="63"/>
      <c r="CG155" s="64"/>
      <c r="CM155" s="531"/>
      <c r="CN155" s="531"/>
      <c r="CO155" s="531"/>
    </row>
    <row r="156" spans="18:93" ht="39.950000000000003" customHeight="1">
      <c r="R156" s="76"/>
      <c r="V156" s="170"/>
      <c r="W156" s="69"/>
      <c r="X156" s="69"/>
      <c r="Y156" s="69"/>
      <c r="AD156" s="76"/>
      <c r="AG156" s="69"/>
      <c r="AH156" s="69"/>
      <c r="AI156" s="69"/>
      <c r="AJ156" s="69"/>
      <c r="AK156" s="69"/>
      <c r="AP156" s="76"/>
      <c r="AQ156" s="67"/>
      <c r="AR156" s="68"/>
      <c r="AS156" s="69"/>
      <c r="AT156" s="69"/>
      <c r="AU156" s="69"/>
      <c r="AV156" s="69"/>
      <c r="AW156" s="69"/>
      <c r="AX156" s="68"/>
      <c r="AY156" s="69"/>
      <c r="AZ156" s="67"/>
      <c r="BA156" s="69"/>
      <c r="BB156" s="76"/>
      <c r="BC156" s="67"/>
      <c r="BD156" s="68"/>
      <c r="BE156" s="69"/>
      <c r="BF156" s="69"/>
      <c r="BG156" s="69"/>
      <c r="BH156" s="69"/>
      <c r="BI156" s="69"/>
      <c r="BJ156" s="68"/>
      <c r="BK156" s="69"/>
      <c r="BL156" s="67"/>
      <c r="BM156" s="67"/>
      <c r="BN156" s="56"/>
      <c r="BO156" s="56"/>
      <c r="BT156" s="63"/>
      <c r="BW156" s="56"/>
      <c r="BX156" s="56"/>
      <c r="BY156" s="56"/>
      <c r="BZ156" s="56"/>
      <c r="CA156" s="56"/>
      <c r="CF156" s="63"/>
      <c r="CI156" s="56"/>
      <c r="CJ156" s="56"/>
      <c r="CK156" s="56"/>
      <c r="CL156" s="56"/>
      <c r="CM156" s="56"/>
    </row>
    <row r="157" spans="18:93" ht="39.950000000000003" customHeight="1">
      <c r="R157" s="76"/>
      <c r="V157" s="170"/>
      <c r="W157" s="69"/>
      <c r="X157" s="69"/>
      <c r="Y157" s="69"/>
      <c r="AD157" s="76"/>
      <c r="AG157" s="69"/>
      <c r="AH157" s="69"/>
      <c r="AI157" s="69"/>
      <c r="AJ157" s="69"/>
      <c r="AK157" s="69"/>
      <c r="AP157" s="76"/>
      <c r="AQ157" s="67"/>
      <c r="AR157" s="68"/>
      <c r="AS157" s="69"/>
      <c r="AT157" s="69"/>
      <c r="AU157" s="69"/>
      <c r="AV157" s="69"/>
      <c r="AW157" s="69"/>
      <c r="AX157" s="68"/>
      <c r="AY157" s="69"/>
      <c r="AZ157" s="67"/>
      <c r="BA157" s="69"/>
      <c r="BB157" s="76"/>
      <c r="BC157" s="67"/>
      <c r="BD157" s="68"/>
      <c r="BE157" s="69"/>
      <c r="BF157" s="69"/>
      <c r="BG157" s="69"/>
      <c r="BH157" s="69"/>
      <c r="BI157" s="69"/>
      <c r="BJ157" s="68"/>
      <c r="BK157" s="69"/>
      <c r="BL157" s="67"/>
      <c r="BM157" s="67"/>
      <c r="BN157" s="56"/>
      <c r="BO157" s="56"/>
      <c r="BT157" s="63"/>
      <c r="BW157" s="56"/>
      <c r="BX157" s="56"/>
      <c r="BY157" s="56"/>
      <c r="BZ157" s="56"/>
      <c r="CA157" s="56"/>
      <c r="CF157" s="63"/>
      <c r="CI157" s="56"/>
      <c r="CJ157" s="56"/>
      <c r="CK157" s="56"/>
      <c r="CL157" s="56"/>
      <c r="CM157" s="56"/>
    </row>
    <row r="158" spans="18:93" ht="39.950000000000003" customHeight="1">
      <c r="R158" s="76"/>
      <c r="V158" s="170"/>
      <c r="W158" s="69"/>
      <c r="X158" s="69"/>
      <c r="Y158" s="69"/>
      <c r="AD158" s="76"/>
      <c r="AG158" s="69"/>
      <c r="AH158" s="69"/>
      <c r="AI158" s="69"/>
      <c r="AJ158" s="69"/>
      <c r="AK158" s="69"/>
      <c r="AP158" s="76"/>
      <c r="AQ158" s="67"/>
      <c r="AR158" s="68"/>
      <c r="AS158" s="69"/>
      <c r="AT158" s="69"/>
      <c r="AU158" s="69"/>
      <c r="AV158" s="69"/>
      <c r="AW158" s="69"/>
      <c r="AX158" s="68"/>
      <c r="AY158" s="69"/>
      <c r="AZ158" s="67"/>
      <c r="BA158" s="69"/>
      <c r="BB158" s="76"/>
      <c r="BC158" s="67"/>
      <c r="BD158" s="68"/>
      <c r="BE158" s="69"/>
      <c r="BF158" s="69"/>
      <c r="BG158" s="69"/>
      <c r="BH158" s="69"/>
      <c r="BI158" s="69"/>
      <c r="BJ158" s="68"/>
      <c r="BK158" s="69"/>
      <c r="BL158" s="67"/>
      <c r="BM158" s="67"/>
      <c r="BN158" s="56"/>
      <c r="BO158" s="56"/>
      <c r="BT158" s="63"/>
      <c r="BW158" s="56"/>
      <c r="BX158" s="56"/>
      <c r="BY158" s="56"/>
      <c r="BZ158" s="56"/>
      <c r="CA158" s="56"/>
      <c r="CF158" s="63"/>
      <c r="CI158" s="56"/>
      <c r="CJ158" s="56"/>
      <c r="CK158" s="56"/>
      <c r="CL158" s="56"/>
      <c r="CM158" s="56"/>
    </row>
    <row r="159" spans="18:93" ht="39.950000000000003" customHeight="1">
      <c r="R159" s="76"/>
      <c r="V159" s="170"/>
      <c r="W159" s="69"/>
      <c r="X159" s="69"/>
      <c r="Y159" s="69"/>
      <c r="AD159" s="76"/>
      <c r="AG159" s="69"/>
      <c r="AH159" s="69"/>
      <c r="AI159" s="69"/>
      <c r="AJ159" s="69"/>
      <c r="AK159" s="69"/>
      <c r="AP159" s="76"/>
      <c r="AQ159" s="67"/>
      <c r="AR159" s="68"/>
      <c r="AS159" s="69"/>
      <c r="AT159" s="69"/>
      <c r="AU159" s="69"/>
      <c r="AV159" s="69"/>
      <c r="AW159" s="69"/>
      <c r="AX159" s="68"/>
      <c r="AY159" s="69"/>
      <c r="AZ159" s="67"/>
      <c r="BA159" s="69"/>
      <c r="BB159" s="76"/>
      <c r="BC159" s="67"/>
      <c r="BD159" s="68"/>
      <c r="BE159" s="69"/>
      <c r="BF159" s="69"/>
      <c r="BG159" s="69"/>
      <c r="BH159" s="69"/>
      <c r="BI159" s="69"/>
      <c r="BJ159" s="68"/>
      <c r="BK159" s="69"/>
      <c r="BL159" s="67"/>
      <c r="BM159" s="67"/>
      <c r="BN159" s="56"/>
      <c r="BO159" s="56"/>
      <c r="BT159" s="63"/>
      <c r="BW159" s="56"/>
      <c r="BX159" s="56"/>
      <c r="BY159" s="56"/>
      <c r="BZ159" s="56"/>
      <c r="CA159" s="56"/>
      <c r="CF159" s="63"/>
      <c r="CI159" s="56"/>
      <c r="CJ159" s="56"/>
      <c r="CK159" s="56"/>
      <c r="CL159" s="56"/>
      <c r="CM159" s="56"/>
    </row>
    <row r="160" spans="18:93" ht="39.950000000000003" customHeight="1">
      <c r="AQ160" s="67"/>
      <c r="AR160" s="68"/>
      <c r="AS160" s="68"/>
      <c r="AT160" s="68"/>
      <c r="AU160" s="68"/>
      <c r="AV160" s="68"/>
      <c r="AW160" s="68"/>
      <c r="AX160" s="68"/>
      <c r="AY160" s="69"/>
      <c r="AZ160" s="67"/>
      <c r="BA160" s="68"/>
      <c r="BB160" s="67"/>
      <c r="BC160" s="67"/>
      <c r="BD160" s="68"/>
      <c r="BE160" s="68"/>
      <c r="BF160" s="68"/>
      <c r="BG160" s="68"/>
      <c r="BH160" s="68"/>
      <c r="BI160" s="68"/>
      <c r="BJ160" s="68"/>
      <c r="BK160" s="69"/>
      <c r="BL160" s="67"/>
      <c r="BM160" s="67"/>
    </row>
    <row r="161" spans="18:93" ht="39.950000000000003" customHeight="1">
      <c r="R161" s="76"/>
      <c r="S161" s="77"/>
      <c r="Y161" s="533"/>
      <c r="Z161" s="533"/>
      <c r="AA161" s="533"/>
      <c r="AD161" s="76"/>
      <c r="AE161" s="77"/>
      <c r="AK161" s="533"/>
      <c r="AL161" s="533"/>
      <c r="AM161" s="533"/>
      <c r="AP161" s="76"/>
      <c r="AQ161" s="77"/>
      <c r="AR161" s="68"/>
      <c r="AS161" s="68"/>
      <c r="AT161" s="68"/>
      <c r="AU161" s="68"/>
      <c r="AV161" s="68"/>
      <c r="AW161" s="533"/>
      <c r="AX161" s="533"/>
      <c r="AY161" s="533"/>
      <c r="AZ161" s="67"/>
      <c r="BA161" s="68"/>
      <c r="BB161" s="76"/>
      <c r="BC161" s="77"/>
      <c r="BD161" s="68"/>
      <c r="BE161" s="68"/>
      <c r="BF161" s="68"/>
      <c r="BG161" s="68"/>
      <c r="BH161" s="68"/>
      <c r="BI161" s="533"/>
      <c r="BJ161" s="533"/>
      <c r="BK161" s="533"/>
      <c r="BL161" s="67"/>
      <c r="BM161" s="67"/>
      <c r="BO161" s="531"/>
      <c r="BP161" s="531"/>
      <c r="BQ161" s="531"/>
      <c r="BT161" s="63"/>
      <c r="BU161" s="64"/>
      <c r="CA161" s="531"/>
      <c r="CB161" s="531"/>
      <c r="CC161" s="531"/>
      <c r="CF161" s="63"/>
      <c r="CG161" s="64"/>
      <c r="CM161" s="531"/>
      <c r="CN161" s="531"/>
      <c r="CO161" s="531"/>
    </row>
    <row r="162" spans="18:93" ht="39.950000000000003" customHeight="1">
      <c r="R162" s="76"/>
      <c r="V162" s="170"/>
      <c r="W162" s="69"/>
      <c r="X162" s="69"/>
      <c r="Y162" s="69"/>
      <c r="AD162" s="76"/>
      <c r="AG162" s="69"/>
      <c r="AH162" s="69"/>
      <c r="AI162" s="69"/>
      <c r="AJ162" s="69"/>
      <c r="AK162" s="69"/>
      <c r="AP162" s="76"/>
      <c r="AQ162" s="67"/>
      <c r="AR162" s="68"/>
      <c r="AS162" s="69"/>
      <c r="AT162" s="69"/>
      <c r="AU162" s="69"/>
      <c r="AV162" s="69"/>
      <c r="AW162" s="69"/>
      <c r="AX162" s="68"/>
      <c r="AY162" s="69"/>
      <c r="AZ162" s="67"/>
      <c r="BA162" s="69"/>
      <c r="BB162" s="76"/>
      <c r="BC162" s="67"/>
      <c r="BD162" s="68"/>
      <c r="BE162" s="69"/>
      <c r="BF162" s="69"/>
      <c r="BG162" s="69"/>
      <c r="BH162" s="69"/>
      <c r="BI162" s="69"/>
      <c r="BJ162" s="68"/>
      <c r="BK162" s="69"/>
      <c r="BL162" s="67"/>
      <c r="BM162" s="67"/>
      <c r="BN162" s="56"/>
      <c r="BO162" s="56"/>
      <c r="BT162" s="63"/>
      <c r="BW162" s="56"/>
      <c r="BX162" s="56"/>
      <c r="BY162" s="56"/>
      <c r="BZ162" s="56"/>
      <c r="CA162" s="56"/>
      <c r="CF162" s="63"/>
      <c r="CI162" s="56"/>
      <c r="CJ162" s="56"/>
      <c r="CK162" s="56"/>
      <c r="CL162" s="56"/>
      <c r="CM162" s="56"/>
    </row>
    <row r="163" spans="18:93" ht="39.950000000000003" customHeight="1">
      <c r="R163" s="76"/>
      <c r="V163" s="170"/>
      <c r="W163" s="69"/>
      <c r="X163" s="69"/>
      <c r="Y163" s="69"/>
      <c r="AD163" s="76"/>
      <c r="AG163" s="69"/>
      <c r="AH163" s="69"/>
      <c r="AI163" s="69"/>
      <c r="AJ163" s="69"/>
      <c r="AK163" s="69"/>
      <c r="AP163" s="76"/>
      <c r="AQ163" s="67"/>
      <c r="AR163" s="68"/>
      <c r="AS163" s="69"/>
      <c r="AT163" s="69"/>
      <c r="AU163" s="69"/>
      <c r="AV163" s="69"/>
      <c r="AW163" s="69"/>
      <c r="AX163" s="68"/>
      <c r="AY163" s="69"/>
      <c r="AZ163" s="67"/>
      <c r="BA163" s="69"/>
      <c r="BB163" s="76"/>
      <c r="BC163" s="67"/>
      <c r="BD163" s="68"/>
      <c r="BE163" s="69"/>
      <c r="BF163" s="69"/>
      <c r="BG163" s="69"/>
      <c r="BH163" s="69"/>
      <c r="BI163" s="69"/>
      <c r="BJ163" s="68"/>
      <c r="BK163" s="69"/>
      <c r="BL163" s="67"/>
      <c r="BM163" s="67"/>
      <c r="BN163" s="56"/>
      <c r="BO163" s="56"/>
      <c r="BT163" s="63"/>
      <c r="BW163" s="56"/>
      <c r="BX163" s="56"/>
      <c r="BY163" s="56"/>
      <c r="BZ163" s="56"/>
      <c r="CA163" s="56"/>
      <c r="CF163" s="63"/>
      <c r="CI163" s="56"/>
      <c r="CJ163" s="56"/>
      <c r="CK163" s="56"/>
      <c r="CL163" s="56"/>
      <c r="CM163" s="56"/>
    </row>
    <row r="164" spans="18:93" ht="39.950000000000003" customHeight="1">
      <c r="R164" s="76"/>
      <c r="V164" s="170"/>
      <c r="W164" s="69"/>
      <c r="X164" s="69"/>
      <c r="Y164" s="69"/>
      <c r="AD164" s="76"/>
      <c r="AG164" s="69"/>
      <c r="AH164" s="69"/>
      <c r="AI164" s="69"/>
      <c r="AJ164" s="69"/>
      <c r="AK164" s="69"/>
      <c r="AP164" s="76"/>
      <c r="AQ164" s="67"/>
      <c r="AR164" s="68"/>
      <c r="AS164" s="69"/>
      <c r="AT164" s="69"/>
      <c r="AU164" s="69"/>
      <c r="AV164" s="69"/>
      <c r="AW164" s="69"/>
      <c r="AX164" s="68"/>
      <c r="AY164" s="69"/>
      <c r="AZ164" s="67"/>
      <c r="BA164" s="69"/>
      <c r="BB164" s="76"/>
      <c r="BC164" s="67"/>
      <c r="BD164" s="68"/>
      <c r="BE164" s="69"/>
      <c r="BF164" s="69"/>
      <c r="BG164" s="69"/>
      <c r="BH164" s="69"/>
      <c r="BI164" s="69"/>
      <c r="BJ164" s="68"/>
      <c r="BK164" s="69"/>
      <c r="BL164" s="67"/>
      <c r="BM164" s="67"/>
      <c r="BN164" s="56"/>
      <c r="BO164" s="56"/>
      <c r="BT164" s="63"/>
      <c r="BW164" s="56"/>
      <c r="BX164" s="56"/>
      <c r="BY164" s="56"/>
      <c r="BZ164" s="56"/>
      <c r="CA164" s="56"/>
      <c r="CF164" s="63"/>
      <c r="CI164" s="56"/>
      <c r="CJ164" s="56"/>
      <c r="CK164" s="56"/>
      <c r="CL164" s="56"/>
      <c r="CM164" s="56"/>
    </row>
    <row r="165" spans="18:93" ht="39.950000000000003" customHeight="1">
      <c r="R165" s="76"/>
      <c r="V165" s="170"/>
      <c r="W165" s="69"/>
      <c r="X165" s="69"/>
      <c r="Y165" s="69"/>
      <c r="AD165" s="76"/>
      <c r="AG165" s="69"/>
      <c r="AH165" s="69"/>
      <c r="AI165" s="69"/>
      <c r="AJ165" s="69"/>
      <c r="AK165" s="69"/>
      <c r="AP165" s="76"/>
      <c r="AQ165" s="67"/>
      <c r="AR165" s="68"/>
      <c r="AS165" s="69"/>
      <c r="AT165" s="69"/>
      <c r="AU165" s="69"/>
      <c r="AV165" s="69"/>
      <c r="AW165" s="69"/>
      <c r="AX165" s="68"/>
      <c r="AY165" s="69"/>
      <c r="AZ165" s="67"/>
      <c r="BA165" s="69"/>
      <c r="BB165" s="76"/>
      <c r="BC165" s="67"/>
      <c r="BD165" s="68"/>
      <c r="BE165" s="69"/>
      <c r="BF165" s="69"/>
      <c r="BG165" s="69"/>
      <c r="BH165" s="69"/>
      <c r="BI165" s="69"/>
      <c r="BJ165" s="68"/>
      <c r="BK165" s="69"/>
      <c r="BL165" s="67"/>
      <c r="BM165" s="67"/>
      <c r="BN165" s="56"/>
      <c r="BO165" s="56"/>
      <c r="BT165" s="63"/>
      <c r="BW165" s="56"/>
      <c r="BX165" s="56"/>
      <c r="BY165" s="56"/>
      <c r="BZ165" s="56"/>
      <c r="CA165" s="56"/>
      <c r="CF165" s="63"/>
      <c r="CI165" s="56"/>
      <c r="CJ165" s="56"/>
      <c r="CK165" s="56"/>
      <c r="CL165" s="56"/>
      <c r="CM165" s="56"/>
    </row>
    <row r="166" spans="18:93" ht="39.950000000000003" customHeight="1">
      <c r="AQ166" s="67"/>
      <c r="AR166" s="68"/>
      <c r="AS166" s="68"/>
      <c r="AT166" s="68"/>
      <c r="AU166" s="68"/>
      <c r="AV166" s="68"/>
      <c r="AW166" s="68"/>
      <c r="AX166" s="68"/>
      <c r="AY166" s="69"/>
      <c r="AZ166" s="67"/>
      <c r="BA166" s="68"/>
      <c r="BB166" s="67"/>
      <c r="BC166" s="67"/>
      <c r="BD166" s="68"/>
      <c r="BE166" s="68"/>
      <c r="BF166" s="68"/>
      <c r="BG166" s="68"/>
      <c r="BH166" s="68"/>
      <c r="BI166" s="68"/>
      <c r="BJ166" s="68"/>
      <c r="BK166" s="69"/>
      <c r="BL166" s="67"/>
      <c r="BM166" s="67"/>
    </row>
    <row r="167" spans="18:93" ht="39.950000000000003" customHeight="1">
      <c r="R167" s="76"/>
      <c r="S167" s="77"/>
      <c r="Y167" s="533"/>
      <c r="Z167" s="533"/>
      <c r="AA167" s="533"/>
      <c r="AD167" s="76"/>
      <c r="AE167" s="77"/>
      <c r="AK167" s="533"/>
      <c r="AL167" s="533"/>
      <c r="AM167" s="533"/>
      <c r="AP167" s="76"/>
      <c r="AQ167" s="77"/>
      <c r="AR167" s="68"/>
      <c r="AS167" s="68"/>
      <c r="AT167" s="68"/>
      <c r="AU167" s="68"/>
      <c r="AV167" s="68"/>
      <c r="AW167" s="533"/>
      <c r="AX167" s="533"/>
      <c r="AY167" s="533"/>
      <c r="AZ167" s="67"/>
      <c r="BA167" s="68"/>
      <c r="BB167" s="76"/>
      <c r="BC167" s="77"/>
      <c r="BD167" s="68"/>
      <c r="BE167" s="68"/>
      <c r="BF167" s="68"/>
      <c r="BG167" s="68"/>
      <c r="BH167" s="68"/>
      <c r="BI167" s="533"/>
      <c r="BJ167" s="533"/>
      <c r="BK167" s="533"/>
      <c r="BL167" s="67"/>
      <c r="BM167" s="67"/>
      <c r="BO167" s="531"/>
      <c r="BP167" s="531"/>
      <c r="BQ167" s="531"/>
      <c r="BT167" s="63"/>
      <c r="BU167" s="64"/>
      <c r="CA167" s="531"/>
      <c r="CB167" s="531"/>
      <c r="CC167" s="531"/>
      <c r="CF167" s="63"/>
      <c r="CG167" s="64"/>
      <c r="CM167" s="531"/>
      <c r="CN167" s="531"/>
      <c r="CO167" s="531"/>
    </row>
    <row r="168" spans="18:93" ht="39.950000000000003" customHeight="1">
      <c r="R168" s="76"/>
      <c r="V168" s="170"/>
      <c r="W168" s="69"/>
      <c r="X168" s="69"/>
      <c r="Y168" s="69"/>
      <c r="AD168" s="76"/>
      <c r="AG168" s="69"/>
      <c r="AH168" s="69"/>
      <c r="AI168" s="69"/>
      <c r="AJ168" s="69"/>
      <c r="AK168" s="69"/>
      <c r="AP168" s="76"/>
      <c r="AQ168" s="67"/>
      <c r="AR168" s="68"/>
      <c r="AS168" s="69"/>
      <c r="AT168" s="69"/>
      <c r="AU168" s="69"/>
      <c r="AV168" s="69"/>
      <c r="AW168" s="69"/>
      <c r="AX168" s="68"/>
      <c r="AY168" s="69"/>
      <c r="AZ168" s="67"/>
      <c r="BA168" s="69"/>
      <c r="BB168" s="76"/>
      <c r="BC168" s="67"/>
      <c r="BD168" s="68"/>
      <c r="BE168" s="69"/>
      <c r="BF168" s="69"/>
      <c r="BG168" s="69"/>
      <c r="BH168" s="69"/>
      <c r="BI168" s="69"/>
      <c r="BJ168" s="68"/>
      <c r="BK168" s="69"/>
      <c r="BL168" s="67"/>
      <c r="BM168" s="67"/>
      <c r="BN168" s="56"/>
      <c r="BO168" s="56"/>
      <c r="BT168" s="63"/>
      <c r="BW168" s="56"/>
      <c r="BX168" s="56"/>
      <c r="BY168" s="56"/>
      <c r="BZ168" s="56"/>
      <c r="CA168" s="56"/>
      <c r="CF168" s="63"/>
      <c r="CI168" s="56"/>
      <c r="CJ168" s="56"/>
      <c r="CK168" s="56"/>
      <c r="CL168" s="56"/>
      <c r="CM168" s="56"/>
    </row>
    <row r="169" spans="18:93" ht="39.950000000000003" customHeight="1">
      <c r="R169" s="76"/>
      <c r="V169" s="170"/>
      <c r="W169" s="69"/>
      <c r="X169" s="69"/>
      <c r="Y169" s="69"/>
      <c r="AD169" s="76"/>
      <c r="AG169" s="69"/>
      <c r="AH169" s="69"/>
      <c r="AI169" s="69"/>
      <c r="AJ169" s="69"/>
      <c r="AK169" s="69"/>
      <c r="AP169" s="76"/>
      <c r="AQ169" s="67"/>
      <c r="AR169" s="68"/>
      <c r="AS169" s="69"/>
      <c r="AT169" s="69"/>
      <c r="AU169" s="69"/>
      <c r="AV169" s="69"/>
      <c r="AW169" s="69"/>
      <c r="AX169" s="68"/>
      <c r="AY169" s="69"/>
      <c r="AZ169" s="67"/>
      <c r="BA169" s="69"/>
      <c r="BB169" s="76"/>
      <c r="BC169" s="67"/>
      <c r="BD169" s="68"/>
      <c r="BE169" s="69"/>
      <c r="BF169" s="69"/>
      <c r="BG169" s="69"/>
      <c r="BH169" s="69"/>
      <c r="BI169" s="69"/>
      <c r="BJ169" s="68"/>
      <c r="BK169" s="69"/>
      <c r="BL169" s="67"/>
      <c r="BM169" s="67"/>
      <c r="BN169" s="56"/>
      <c r="BO169" s="56"/>
      <c r="BT169" s="63"/>
      <c r="BW169" s="56"/>
      <c r="BX169" s="56"/>
      <c r="BY169" s="56"/>
      <c r="BZ169" s="56"/>
      <c r="CA169" s="56"/>
      <c r="CF169" s="63"/>
      <c r="CI169" s="56"/>
      <c r="CJ169" s="56"/>
      <c r="CK169" s="56"/>
      <c r="CL169" s="56"/>
      <c r="CM169" s="56"/>
    </row>
    <row r="170" spans="18:93" ht="39.950000000000003" customHeight="1">
      <c r="R170" s="76"/>
      <c r="V170" s="170"/>
      <c r="W170" s="69"/>
      <c r="X170" s="69"/>
      <c r="Y170" s="69"/>
      <c r="AD170" s="76"/>
      <c r="AG170" s="69"/>
      <c r="AH170" s="69"/>
      <c r="AI170" s="69"/>
      <c r="AJ170" s="69"/>
      <c r="AK170" s="69"/>
      <c r="AP170" s="76"/>
      <c r="AQ170" s="67"/>
      <c r="AR170" s="68"/>
      <c r="AS170" s="69"/>
      <c r="AT170" s="69"/>
      <c r="AU170" s="69"/>
      <c r="AV170" s="69"/>
      <c r="AW170" s="69"/>
      <c r="AX170" s="68"/>
      <c r="AY170" s="69"/>
      <c r="AZ170" s="67"/>
      <c r="BA170" s="69"/>
      <c r="BB170" s="76"/>
      <c r="BC170" s="67"/>
      <c r="BD170" s="68"/>
      <c r="BE170" s="69"/>
      <c r="BF170" s="69"/>
      <c r="BG170" s="69"/>
      <c r="BH170" s="69"/>
      <c r="BI170" s="69"/>
      <c r="BJ170" s="68"/>
      <c r="BK170" s="69"/>
      <c r="BL170" s="67"/>
      <c r="BM170" s="67"/>
      <c r="BN170" s="56"/>
      <c r="BO170" s="56"/>
      <c r="BT170" s="63"/>
      <c r="BW170" s="56"/>
      <c r="BX170" s="56"/>
      <c r="BY170" s="56"/>
      <c r="BZ170" s="56"/>
      <c r="CA170" s="56"/>
      <c r="CF170" s="63"/>
      <c r="CI170" s="56"/>
      <c r="CJ170" s="56"/>
      <c r="CK170" s="56"/>
      <c r="CL170" s="56"/>
      <c r="CM170" s="56"/>
    </row>
    <row r="171" spans="18:93" ht="39.950000000000003" customHeight="1">
      <c r="R171" s="76"/>
      <c r="V171" s="170"/>
      <c r="W171" s="69"/>
      <c r="X171" s="69"/>
      <c r="Y171" s="69"/>
      <c r="AD171" s="76"/>
      <c r="AG171" s="69"/>
      <c r="AH171" s="69"/>
      <c r="AI171" s="69"/>
      <c r="AJ171" s="69"/>
      <c r="AK171" s="69"/>
      <c r="AP171" s="76"/>
      <c r="AQ171" s="67"/>
      <c r="AR171" s="68"/>
      <c r="AS171" s="69"/>
      <c r="AT171" s="69"/>
      <c r="AU171" s="69"/>
      <c r="AV171" s="69"/>
      <c r="AW171" s="69"/>
      <c r="AX171" s="68"/>
      <c r="AY171" s="69"/>
      <c r="AZ171" s="67"/>
      <c r="BA171" s="69"/>
      <c r="BB171" s="76"/>
      <c r="BC171" s="67"/>
      <c r="BD171" s="68"/>
      <c r="BE171" s="69"/>
      <c r="BF171" s="69"/>
      <c r="BG171" s="69"/>
      <c r="BH171" s="69"/>
      <c r="BI171" s="69"/>
      <c r="BJ171" s="68"/>
      <c r="BK171" s="69"/>
      <c r="BL171" s="67"/>
      <c r="BM171" s="67"/>
      <c r="BN171" s="56"/>
      <c r="BO171" s="56"/>
      <c r="BT171" s="63"/>
      <c r="BW171" s="56"/>
      <c r="BX171" s="56"/>
      <c r="BY171" s="56"/>
      <c r="BZ171" s="56"/>
      <c r="CA171" s="56"/>
      <c r="CF171" s="63"/>
      <c r="CI171" s="56"/>
      <c r="CJ171" s="56"/>
      <c r="CK171" s="56"/>
      <c r="CL171" s="56"/>
      <c r="CM171" s="56"/>
    </row>
    <row r="172" spans="18:93" ht="39.950000000000003" customHeight="1">
      <c r="AQ172" s="67"/>
      <c r="AR172" s="68"/>
      <c r="AS172" s="68"/>
      <c r="AT172" s="68"/>
      <c r="AU172" s="68"/>
      <c r="AV172" s="68"/>
      <c r="AW172" s="68"/>
      <c r="AX172" s="68"/>
      <c r="AY172" s="69"/>
      <c r="AZ172" s="67"/>
      <c r="BA172" s="68"/>
      <c r="BB172" s="67"/>
      <c r="BC172" s="67"/>
      <c r="BD172" s="68"/>
      <c r="BE172" s="68"/>
      <c r="BF172" s="68"/>
      <c r="BG172" s="68"/>
      <c r="BH172" s="68"/>
      <c r="BI172" s="68"/>
      <c r="BJ172" s="68"/>
      <c r="BK172" s="69"/>
      <c r="BL172" s="67"/>
      <c r="BM172" s="67"/>
    </row>
    <row r="173" spans="18:93" ht="39.950000000000003" customHeight="1">
      <c r="R173" s="76"/>
      <c r="S173" s="77"/>
      <c r="Y173" s="533"/>
      <c r="Z173" s="533"/>
      <c r="AA173" s="533"/>
      <c r="AD173" s="76"/>
      <c r="AE173" s="77"/>
      <c r="AK173" s="533"/>
      <c r="AL173" s="533"/>
      <c r="AM173" s="533"/>
      <c r="AP173" s="76"/>
      <c r="AQ173" s="77"/>
      <c r="AR173" s="68"/>
      <c r="AS173" s="68"/>
      <c r="AT173" s="68"/>
      <c r="AU173" s="68"/>
      <c r="AV173" s="68"/>
      <c r="AW173" s="533"/>
      <c r="AX173" s="533"/>
      <c r="AY173" s="533"/>
      <c r="AZ173" s="67"/>
      <c r="BA173" s="68"/>
      <c r="BB173" s="76"/>
      <c r="BC173" s="77"/>
      <c r="BD173" s="68"/>
      <c r="BE173" s="68"/>
      <c r="BF173" s="68"/>
      <c r="BG173" s="68"/>
      <c r="BH173" s="68"/>
      <c r="BI173" s="533"/>
      <c r="BJ173" s="533"/>
      <c r="BK173" s="533"/>
      <c r="BL173" s="67"/>
      <c r="BM173" s="67"/>
      <c r="BO173" s="531"/>
      <c r="BP173" s="531"/>
      <c r="BQ173" s="531"/>
      <c r="BT173" s="63"/>
      <c r="BU173" s="64"/>
      <c r="CA173" s="531"/>
      <c r="CB173" s="531"/>
      <c r="CC173" s="531"/>
      <c r="CF173" s="63"/>
      <c r="CG173" s="64"/>
      <c r="CM173" s="531"/>
      <c r="CN173" s="531"/>
      <c r="CO173" s="531"/>
    </row>
    <row r="174" spans="18:93" ht="39.950000000000003" customHeight="1">
      <c r="R174" s="76"/>
      <c r="V174" s="170"/>
      <c r="W174" s="69"/>
      <c r="X174" s="69"/>
      <c r="Y174" s="69"/>
      <c r="AD174" s="76"/>
      <c r="AG174" s="69"/>
      <c r="AH174" s="69"/>
      <c r="AI174" s="69"/>
      <c r="AJ174" s="69"/>
      <c r="AK174" s="69"/>
      <c r="AP174" s="76"/>
      <c r="AQ174" s="67"/>
      <c r="AR174" s="68"/>
      <c r="AS174" s="69"/>
      <c r="AT174" s="69"/>
      <c r="AU174" s="69"/>
      <c r="AV174" s="69"/>
      <c r="AW174" s="69"/>
      <c r="AX174" s="68"/>
      <c r="AY174" s="69"/>
      <c r="AZ174" s="67"/>
      <c r="BA174" s="69"/>
      <c r="BB174" s="76"/>
      <c r="BC174" s="67"/>
      <c r="BD174" s="68"/>
      <c r="BE174" s="69"/>
      <c r="BF174" s="69"/>
      <c r="BG174" s="69"/>
      <c r="BH174" s="69"/>
      <c r="BI174" s="69"/>
      <c r="BJ174" s="68"/>
      <c r="BK174" s="69"/>
      <c r="BL174" s="67"/>
      <c r="BM174" s="67"/>
      <c r="BN174" s="56"/>
      <c r="BO174" s="56"/>
      <c r="BT174" s="63"/>
      <c r="BW174" s="56"/>
      <c r="BX174" s="56"/>
      <c r="BY174" s="56"/>
      <c r="BZ174" s="56"/>
      <c r="CA174" s="56"/>
      <c r="CF174" s="63"/>
      <c r="CI174" s="56"/>
      <c r="CJ174" s="56"/>
      <c r="CK174" s="56"/>
      <c r="CL174" s="56"/>
      <c r="CM174" s="56"/>
    </row>
    <row r="175" spans="18:93" ht="39.950000000000003" customHeight="1">
      <c r="R175" s="76"/>
      <c r="V175" s="170"/>
      <c r="W175" s="69"/>
      <c r="X175" s="69"/>
      <c r="Y175" s="69"/>
      <c r="AD175" s="76"/>
      <c r="AG175" s="69"/>
      <c r="AH175" s="69"/>
      <c r="AI175" s="69"/>
      <c r="AJ175" s="69"/>
      <c r="AK175" s="69"/>
      <c r="AP175" s="76"/>
      <c r="AQ175" s="67"/>
      <c r="AR175" s="68"/>
      <c r="AS175" s="69"/>
      <c r="AT175" s="69"/>
      <c r="AU175" s="69"/>
      <c r="AV175" s="69"/>
      <c r="AW175" s="69"/>
      <c r="AX175" s="68"/>
      <c r="AY175" s="69"/>
      <c r="AZ175" s="67"/>
      <c r="BA175" s="69"/>
      <c r="BB175" s="76"/>
      <c r="BC175" s="67"/>
      <c r="BD175" s="68"/>
      <c r="BE175" s="69"/>
      <c r="BF175" s="69"/>
      <c r="BG175" s="69"/>
      <c r="BH175" s="69"/>
      <c r="BI175" s="69"/>
      <c r="BJ175" s="68"/>
      <c r="BK175" s="69"/>
      <c r="BL175" s="67"/>
      <c r="BM175" s="67"/>
      <c r="BN175" s="56"/>
      <c r="BO175" s="56"/>
      <c r="BT175" s="63"/>
      <c r="BW175" s="56"/>
      <c r="BX175" s="56"/>
      <c r="BY175" s="56"/>
      <c r="BZ175" s="56"/>
      <c r="CA175" s="56"/>
      <c r="CF175" s="63"/>
      <c r="CI175" s="56"/>
      <c r="CJ175" s="56"/>
      <c r="CK175" s="56"/>
      <c r="CL175" s="56"/>
      <c r="CM175" s="56"/>
    </row>
    <row r="176" spans="18:93" ht="39.950000000000003" customHeight="1">
      <c r="R176" s="76"/>
      <c r="V176" s="170"/>
      <c r="W176" s="69"/>
      <c r="X176" s="69"/>
      <c r="Y176" s="69"/>
      <c r="AD176" s="76"/>
      <c r="AG176" s="69"/>
      <c r="AH176" s="69"/>
      <c r="AI176" s="69"/>
      <c r="AJ176" s="69"/>
      <c r="AK176" s="69"/>
      <c r="AP176" s="76"/>
      <c r="AQ176" s="67"/>
      <c r="AR176" s="68"/>
      <c r="AS176" s="69"/>
      <c r="AT176" s="69"/>
      <c r="AU176" s="69"/>
      <c r="AV176" s="69"/>
      <c r="AW176" s="69"/>
      <c r="AX176" s="68"/>
      <c r="AY176" s="69"/>
      <c r="AZ176" s="67"/>
      <c r="BA176" s="69"/>
      <c r="BB176" s="76"/>
      <c r="BC176" s="67"/>
      <c r="BD176" s="68"/>
      <c r="BE176" s="69"/>
      <c r="BF176" s="69"/>
      <c r="BG176" s="69"/>
      <c r="BH176" s="69"/>
      <c r="BI176" s="69"/>
      <c r="BJ176" s="68"/>
      <c r="BK176" s="69"/>
      <c r="BL176" s="67"/>
      <c r="BM176" s="67"/>
      <c r="BN176" s="56"/>
      <c r="BO176" s="56"/>
      <c r="BT176" s="63"/>
      <c r="BW176" s="56"/>
      <c r="BX176" s="56"/>
      <c r="BY176" s="56"/>
      <c r="BZ176" s="56"/>
      <c r="CA176" s="56"/>
      <c r="CF176" s="63"/>
      <c r="CI176" s="56"/>
      <c r="CJ176" s="56"/>
      <c r="CK176" s="56"/>
      <c r="CL176" s="56"/>
      <c r="CM176" s="56"/>
    </row>
    <row r="177" spans="18:93" ht="39.950000000000003" customHeight="1">
      <c r="R177" s="76"/>
      <c r="V177" s="170"/>
      <c r="W177" s="69"/>
      <c r="X177" s="69"/>
      <c r="Y177" s="69"/>
      <c r="AD177" s="76"/>
      <c r="AG177" s="69"/>
      <c r="AH177" s="69"/>
      <c r="AI177" s="69"/>
      <c r="AJ177" s="69"/>
      <c r="AK177" s="69"/>
      <c r="AP177" s="76"/>
      <c r="AQ177" s="67"/>
      <c r="AR177" s="68"/>
      <c r="AS177" s="69"/>
      <c r="AT177" s="69"/>
      <c r="AU177" s="69"/>
      <c r="AV177" s="69"/>
      <c r="AW177" s="69"/>
      <c r="AX177" s="68"/>
      <c r="AY177" s="69"/>
      <c r="AZ177" s="67"/>
      <c r="BA177" s="69"/>
      <c r="BB177" s="76"/>
      <c r="BC177" s="67"/>
      <c r="BD177" s="68"/>
      <c r="BE177" s="69"/>
      <c r="BF177" s="69"/>
      <c r="BG177" s="69"/>
      <c r="BH177" s="69"/>
      <c r="BI177" s="69"/>
      <c r="BJ177" s="68"/>
      <c r="BK177" s="69"/>
      <c r="BL177" s="67"/>
      <c r="BM177" s="67"/>
      <c r="BN177" s="56"/>
      <c r="BO177" s="56"/>
      <c r="BT177" s="63"/>
      <c r="BW177" s="56"/>
      <c r="BX177" s="56"/>
      <c r="BY177" s="56"/>
      <c r="BZ177" s="56"/>
      <c r="CA177" s="56"/>
      <c r="CF177" s="63"/>
      <c r="CI177" s="56"/>
      <c r="CJ177" s="56"/>
      <c r="CK177" s="56"/>
      <c r="CL177" s="56"/>
      <c r="CM177" s="56"/>
    </row>
    <row r="178" spans="18:93" ht="39.950000000000003" customHeight="1">
      <c r="AQ178" s="67"/>
      <c r="AR178" s="68"/>
      <c r="AS178" s="68"/>
      <c r="AT178" s="68"/>
      <c r="AU178" s="68"/>
      <c r="AV178" s="68"/>
      <c r="AW178" s="68"/>
      <c r="AX178" s="68"/>
      <c r="AY178" s="69"/>
      <c r="AZ178" s="67"/>
      <c r="BA178" s="68"/>
      <c r="BB178" s="67"/>
      <c r="BC178" s="67"/>
      <c r="BD178" s="68"/>
      <c r="BE178" s="68"/>
      <c r="BF178" s="68"/>
      <c r="BG178" s="68"/>
      <c r="BH178" s="68"/>
      <c r="BI178" s="68"/>
      <c r="BJ178" s="68"/>
      <c r="BK178" s="69"/>
      <c r="BL178" s="67"/>
      <c r="BM178" s="67"/>
    </row>
    <row r="179" spans="18:93" ht="39.950000000000003" customHeight="1">
      <c r="R179" s="76"/>
      <c r="S179" s="77"/>
      <c r="Y179" s="533"/>
      <c r="Z179" s="533"/>
      <c r="AA179" s="533"/>
      <c r="AD179" s="76"/>
      <c r="AE179" s="77"/>
      <c r="AK179" s="533"/>
      <c r="AL179" s="533"/>
      <c r="AM179" s="533"/>
      <c r="AP179" s="76"/>
      <c r="AQ179" s="77"/>
      <c r="AR179" s="68"/>
      <c r="AS179" s="68"/>
      <c r="AT179" s="68"/>
      <c r="AU179" s="68"/>
      <c r="AV179" s="68"/>
      <c r="AW179" s="533"/>
      <c r="AX179" s="533"/>
      <c r="AY179" s="533"/>
      <c r="AZ179" s="67"/>
      <c r="BA179" s="68"/>
      <c r="BB179" s="76"/>
      <c r="BC179" s="77"/>
      <c r="BD179" s="68"/>
      <c r="BE179" s="68"/>
      <c r="BF179" s="68"/>
      <c r="BG179" s="68"/>
      <c r="BH179" s="68"/>
      <c r="BI179" s="533"/>
      <c r="BJ179" s="533"/>
      <c r="BK179" s="533"/>
      <c r="BL179" s="67"/>
      <c r="BM179" s="67"/>
      <c r="BO179" s="531"/>
      <c r="BP179" s="531"/>
      <c r="BQ179" s="531"/>
      <c r="BT179" s="63"/>
      <c r="BU179" s="64"/>
      <c r="CA179" s="531"/>
      <c r="CB179" s="531"/>
      <c r="CC179" s="531"/>
      <c r="CF179" s="63"/>
      <c r="CG179" s="64"/>
      <c r="CM179" s="531"/>
      <c r="CN179" s="531"/>
      <c r="CO179" s="531"/>
    </row>
    <row r="180" spans="18:93" ht="39.950000000000003" customHeight="1">
      <c r="R180" s="76"/>
      <c r="V180" s="170"/>
      <c r="W180" s="69"/>
      <c r="X180" s="69"/>
      <c r="Y180" s="69"/>
      <c r="AD180" s="76"/>
      <c r="AG180" s="69"/>
      <c r="AH180" s="69"/>
      <c r="AI180" s="69"/>
      <c r="AJ180" s="69"/>
      <c r="AK180" s="69"/>
      <c r="AP180" s="76"/>
      <c r="AQ180" s="67"/>
      <c r="AR180" s="68"/>
      <c r="AS180" s="69"/>
      <c r="AT180" s="69"/>
      <c r="AU180" s="69"/>
      <c r="AV180" s="69"/>
      <c r="AW180" s="69"/>
      <c r="AX180" s="68"/>
      <c r="AY180" s="69"/>
      <c r="AZ180" s="67"/>
      <c r="BA180" s="69"/>
      <c r="BB180" s="76"/>
      <c r="BC180" s="67"/>
      <c r="BD180" s="68"/>
      <c r="BE180" s="69"/>
      <c r="BF180" s="69"/>
      <c r="BG180" s="69"/>
      <c r="BH180" s="69"/>
      <c r="BI180" s="69"/>
      <c r="BJ180" s="68"/>
      <c r="BK180" s="69"/>
      <c r="BL180" s="67"/>
      <c r="BM180" s="67"/>
      <c r="BN180" s="56"/>
      <c r="BO180" s="56"/>
      <c r="BT180" s="63"/>
      <c r="BW180" s="56"/>
      <c r="BX180" s="56"/>
      <c r="BY180" s="56"/>
      <c r="BZ180" s="56"/>
      <c r="CA180" s="56"/>
      <c r="CF180" s="63"/>
      <c r="CI180" s="56"/>
      <c r="CJ180" s="56"/>
      <c r="CK180" s="56"/>
      <c r="CL180" s="56"/>
      <c r="CM180" s="56"/>
    </row>
    <row r="181" spans="18:93" ht="39.950000000000003" customHeight="1">
      <c r="R181" s="76"/>
      <c r="V181" s="170"/>
      <c r="W181" s="69"/>
      <c r="X181" s="69"/>
      <c r="Y181" s="69"/>
      <c r="AD181" s="76"/>
      <c r="AG181" s="69"/>
      <c r="AH181" s="69"/>
      <c r="AI181" s="69"/>
      <c r="AJ181" s="69"/>
      <c r="AK181" s="69"/>
      <c r="AP181" s="76"/>
      <c r="AQ181" s="67"/>
      <c r="AR181" s="68"/>
      <c r="AS181" s="69"/>
      <c r="AT181" s="69"/>
      <c r="AU181" s="69"/>
      <c r="AV181" s="69"/>
      <c r="AW181" s="69"/>
      <c r="AX181" s="68"/>
      <c r="AY181" s="69"/>
      <c r="AZ181" s="67"/>
      <c r="BA181" s="69"/>
      <c r="BB181" s="76"/>
      <c r="BC181" s="67"/>
      <c r="BD181" s="68"/>
      <c r="BE181" s="69"/>
      <c r="BF181" s="69"/>
      <c r="BG181" s="69"/>
      <c r="BH181" s="69"/>
      <c r="BI181" s="69"/>
      <c r="BJ181" s="68"/>
      <c r="BK181" s="69"/>
      <c r="BL181" s="67"/>
      <c r="BM181" s="67"/>
      <c r="BN181" s="56"/>
      <c r="BO181" s="56"/>
      <c r="BT181" s="63"/>
      <c r="BW181" s="56"/>
      <c r="BX181" s="56"/>
      <c r="BY181" s="56"/>
      <c r="BZ181" s="56"/>
      <c r="CA181" s="56"/>
      <c r="CF181" s="63"/>
      <c r="CI181" s="56"/>
      <c r="CJ181" s="56"/>
      <c r="CK181" s="56"/>
      <c r="CL181" s="56"/>
      <c r="CM181" s="56"/>
    </row>
    <row r="182" spans="18:93" ht="39.950000000000003" customHeight="1">
      <c r="R182" s="76"/>
      <c r="V182" s="170"/>
      <c r="W182" s="69"/>
      <c r="X182" s="69"/>
      <c r="Y182" s="69"/>
      <c r="AD182" s="76"/>
      <c r="AG182" s="69"/>
      <c r="AH182" s="69"/>
      <c r="AI182" s="69"/>
      <c r="AJ182" s="69"/>
      <c r="AK182" s="69"/>
      <c r="AP182" s="76"/>
      <c r="AQ182" s="67"/>
      <c r="AR182" s="68"/>
      <c r="AS182" s="69"/>
      <c r="AT182" s="69"/>
      <c r="AU182" s="69"/>
      <c r="AV182" s="69"/>
      <c r="AW182" s="69"/>
      <c r="AX182" s="68"/>
      <c r="AY182" s="69"/>
      <c r="AZ182" s="67"/>
      <c r="BA182" s="69"/>
      <c r="BB182" s="76"/>
      <c r="BC182" s="67"/>
      <c r="BD182" s="68"/>
      <c r="BE182" s="69"/>
      <c r="BF182" s="69"/>
      <c r="BG182" s="69"/>
      <c r="BH182" s="69"/>
      <c r="BI182" s="69"/>
      <c r="BJ182" s="68"/>
      <c r="BK182" s="69"/>
      <c r="BL182" s="67"/>
      <c r="BM182" s="67"/>
      <c r="BN182" s="56"/>
      <c r="BO182" s="56"/>
      <c r="BT182" s="63"/>
      <c r="BW182" s="56"/>
      <c r="BX182" s="56"/>
      <c r="BY182" s="56"/>
      <c r="BZ182" s="56"/>
      <c r="CA182" s="56"/>
      <c r="CF182" s="63"/>
      <c r="CI182" s="56"/>
      <c r="CJ182" s="56"/>
      <c r="CK182" s="56"/>
      <c r="CL182" s="56"/>
      <c r="CM182" s="56"/>
    </row>
    <row r="183" spans="18:93" ht="39.950000000000003" customHeight="1">
      <c r="R183" s="76"/>
      <c r="V183" s="170"/>
      <c r="W183" s="69"/>
      <c r="X183" s="69"/>
      <c r="Y183" s="69"/>
      <c r="AD183" s="76"/>
      <c r="AG183" s="69"/>
      <c r="AH183" s="69"/>
      <c r="AI183" s="69"/>
      <c r="AJ183" s="69"/>
      <c r="AK183" s="69"/>
      <c r="AP183" s="76"/>
      <c r="AQ183" s="67"/>
      <c r="AR183" s="68"/>
      <c r="AS183" s="69"/>
      <c r="AT183" s="69"/>
      <c r="AU183" s="69"/>
      <c r="AV183" s="69"/>
      <c r="AW183" s="69"/>
      <c r="AX183" s="68"/>
      <c r="AY183" s="69"/>
      <c r="AZ183" s="67"/>
      <c r="BA183" s="69"/>
      <c r="BB183" s="76"/>
      <c r="BC183" s="67"/>
      <c r="BD183" s="68"/>
      <c r="BE183" s="69"/>
      <c r="BF183" s="69"/>
      <c r="BG183" s="69"/>
      <c r="BH183" s="69"/>
      <c r="BI183" s="69"/>
      <c r="BJ183" s="68"/>
      <c r="BK183" s="69"/>
      <c r="BL183" s="67"/>
      <c r="BM183" s="67"/>
      <c r="BN183" s="56"/>
      <c r="BO183" s="56"/>
      <c r="BT183" s="63"/>
      <c r="BW183" s="56"/>
      <c r="BX183" s="56"/>
      <c r="BY183" s="56"/>
      <c r="BZ183" s="56"/>
      <c r="CA183" s="56"/>
      <c r="CF183" s="63"/>
      <c r="CI183" s="56"/>
      <c r="CJ183" s="56"/>
      <c r="CK183" s="56"/>
      <c r="CL183" s="56"/>
      <c r="CM183" s="56"/>
    </row>
    <row r="184" spans="18:93" ht="39.950000000000003" customHeight="1">
      <c r="AQ184" s="67"/>
      <c r="AR184" s="68"/>
      <c r="AS184" s="68"/>
      <c r="AT184" s="68"/>
      <c r="AU184" s="68"/>
      <c r="AV184" s="68"/>
      <c r="AW184" s="68"/>
      <c r="AX184" s="68"/>
      <c r="AY184" s="69"/>
      <c r="AZ184" s="67"/>
      <c r="BA184" s="68"/>
      <c r="BB184" s="67"/>
      <c r="BC184" s="67"/>
      <c r="BD184" s="68"/>
      <c r="BE184" s="68"/>
      <c r="BF184" s="68"/>
      <c r="BG184" s="68"/>
      <c r="BH184" s="68"/>
      <c r="BI184" s="68"/>
      <c r="BJ184" s="68"/>
      <c r="BK184" s="69"/>
      <c r="BL184" s="67"/>
      <c r="BM184" s="67"/>
    </row>
    <row r="185" spans="18:93" ht="39.950000000000003" customHeight="1">
      <c r="R185" s="76"/>
      <c r="S185" s="77"/>
      <c r="Y185" s="533"/>
      <c r="Z185" s="533"/>
      <c r="AA185" s="533"/>
      <c r="AD185" s="76"/>
      <c r="AE185" s="77"/>
      <c r="AK185" s="533"/>
      <c r="AL185" s="533"/>
      <c r="AM185" s="533"/>
      <c r="AP185" s="76"/>
      <c r="AQ185" s="77"/>
      <c r="AR185" s="68"/>
      <c r="AS185" s="68"/>
      <c r="AT185" s="68"/>
      <c r="AU185" s="68"/>
      <c r="AV185" s="68"/>
      <c r="AW185" s="533"/>
      <c r="AX185" s="533"/>
      <c r="AY185" s="533"/>
      <c r="AZ185" s="67"/>
      <c r="BA185" s="68"/>
      <c r="BB185" s="76"/>
      <c r="BC185" s="77"/>
      <c r="BD185" s="68"/>
      <c r="BE185" s="68"/>
      <c r="BF185" s="68"/>
      <c r="BG185" s="68"/>
      <c r="BH185" s="68"/>
      <c r="BI185" s="533"/>
      <c r="BJ185" s="533"/>
      <c r="BK185" s="533"/>
      <c r="BL185" s="67"/>
      <c r="BM185" s="67"/>
      <c r="BO185" s="531"/>
      <c r="BP185" s="531"/>
      <c r="BQ185" s="531"/>
      <c r="BT185" s="63"/>
      <c r="BU185" s="64"/>
      <c r="CA185" s="531"/>
      <c r="CB185" s="531"/>
      <c r="CC185" s="531"/>
      <c r="CF185" s="63"/>
      <c r="CG185" s="64"/>
      <c r="CM185" s="531"/>
      <c r="CN185" s="531"/>
      <c r="CO185" s="531"/>
    </row>
    <row r="186" spans="18:93" ht="39.950000000000003" customHeight="1">
      <c r="R186" s="76"/>
      <c r="V186" s="170"/>
      <c r="W186" s="69"/>
      <c r="X186" s="69"/>
      <c r="Y186" s="69"/>
      <c r="AD186" s="76"/>
      <c r="AG186" s="69"/>
      <c r="AH186" s="69"/>
      <c r="AI186" s="69"/>
      <c r="AJ186" s="69"/>
      <c r="AK186" s="69"/>
      <c r="AP186" s="76"/>
      <c r="AQ186" s="67"/>
      <c r="AR186" s="68"/>
      <c r="AS186" s="69"/>
      <c r="AT186" s="69"/>
      <c r="AU186" s="69"/>
      <c r="AV186" s="69"/>
      <c r="AW186" s="69"/>
      <c r="AX186" s="68"/>
      <c r="AY186" s="69"/>
      <c r="AZ186" s="67"/>
      <c r="BA186" s="69"/>
      <c r="BB186" s="76"/>
      <c r="BC186" s="67"/>
      <c r="BD186" s="68"/>
      <c r="BE186" s="69"/>
      <c r="BF186" s="69"/>
      <c r="BG186" s="69"/>
      <c r="BH186" s="69"/>
      <c r="BI186" s="69"/>
      <c r="BJ186" s="68"/>
      <c r="BK186" s="69"/>
      <c r="BL186" s="67"/>
      <c r="BM186" s="67"/>
      <c r="BN186" s="56"/>
      <c r="BO186" s="56"/>
      <c r="BT186" s="63"/>
      <c r="BW186" s="56"/>
      <c r="BX186" s="56"/>
      <c r="BY186" s="56"/>
      <c r="BZ186" s="56"/>
      <c r="CA186" s="56"/>
      <c r="CF186" s="63"/>
      <c r="CI186" s="56"/>
      <c r="CJ186" s="56"/>
      <c r="CK186" s="56"/>
      <c r="CL186" s="56"/>
      <c r="CM186" s="56"/>
    </row>
    <row r="187" spans="18:93" ht="39.950000000000003" customHeight="1">
      <c r="R187" s="76"/>
      <c r="V187" s="170"/>
      <c r="W187" s="69"/>
      <c r="X187" s="69"/>
      <c r="Y187" s="69"/>
      <c r="AD187" s="76"/>
      <c r="AG187" s="69"/>
      <c r="AH187" s="69"/>
      <c r="AI187" s="69"/>
      <c r="AJ187" s="69"/>
      <c r="AK187" s="69"/>
      <c r="AP187" s="76"/>
      <c r="AQ187" s="67"/>
      <c r="AR187" s="68"/>
      <c r="AS187" s="69"/>
      <c r="AT187" s="69"/>
      <c r="AU187" s="69"/>
      <c r="AV187" s="69"/>
      <c r="AW187" s="69"/>
      <c r="AX187" s="68"/>
      <c r="AY187" s="69"/>
      <c r="AZ187" s="67"/>
      <c r="BA187" s="69"/>
      <c r="BB187" s="76"/>
      <c r="BC187" s="67"/>
      <c r="BD187" s="68"/>
      <c r="BE187" s="69"/>
      <c r="BF187" s="69"/>
      <c r="BG187" s="69"/>
      <c r="BH187" s="69"/>
      <c r="BI187" s="69"/>
      <c r="BJ187" s="68"/>
      <c r="BK187" s="69"/>
      <c r="BL187" s="67"/>
      <c r="BM187" s="67"/>
      <c r="BN187" s="56"/>
      <c r="BO187" s="56"/>
      <c r="BT187" s="63"/>
      <c r="BW187" s="56"/>
      <c r="BX187" s="56"/>
      <c r="BY187" s="56"/>
      <c r="BZ187" s="56"/>
      <c r="CA187" s="56"/>
      <c r="CF187" s="63"/>
      <c r="CI187" s="56"/>
      <c r="CJ187" s="56"/>
      <c r="CK187" s="56"/>
      <c r="CL187" s="56"/>
      <c r="CM187" s="56"/>
    </row>
    <row r="188" spans="18:93" ht="39.950000000000003" customHeight="1">
      <c r="R188" s="76"/>
      <c r="V188" s="170"/>
      <c r="W188" s="69"/>
      <c r="X188" s="69"/>
      <c r="Y188" s="69"/>
      <c r="AD188" s="76"/>
      <c r="AG188" s="69"/>
      <c r="AH188" s="69"/>
      <c r="AI188" s="69"/>
      <c r="AJ188" s="69"/>
      <c r="AK188" s="69"/>
      <c r="AP188" s="76"/>
      <c r="AQ188" s="67"/>
      <c r="AR188" s="68"/>
      <c r="AS188" s="69"/>
      <c r="AT188" s="69"/>
      <c r="AU188" s="69"/>
      <c r="AV188" s="69"/>
      <c r="AW188" s="69"/>
      <c r="AX188" s="68"/>
      <c r="AY188" s="69"/>
      <c r="AZ188" s="67"/>
      <c r="BA188" s="69"/>
      <c r="BB188" s="76"/>
      <c r="BC188" s="67"/>
      <c r="BD188" s="68"/>
      <c r="BE188" s="69"/>
      <c r="BF188" s="69"/>
      <c r="BG188" s="69"/>
      <c r="BH188" s="69"/>
      <c r="BI188" s="69"/>
      <c r="BJ188" s="68"/>
      <c r="BK188" s="69"/>
      <c r="BL188" s="67"/>
      <c r="BM188" s="67"/>
      <c r="BN188" s="56"/>
      <c r="BO188" s="56"/>
      <c r="BT188" s="63"/>
      <c r="BW188" s="56"/>
      <c r="BX188" s="56"/>
      <c r="BY188" s="56"/>
      <c r="BZ188" s="56"/>
      <c r="CA188" s="56"/>
      <c r="CF188" s="63"/>
      <c r="CI188" s="56"/>
      <c r="CJ188" s="56"/>
      <c r="CK188" s="56"/>
      <c r="CL188" s="56"/>
      <c r="CM188" s="56"/>
    </row>
    <row r="189" spans="18:93" ht="39.950000000000003" customHeight="1">
      <c r="R189" s="76"/>
      <c r="V189" s="170"/>
      <c r="W189" s="69"/>
      <c r="X189" s="69"/>
      <c r="Y189" s="69"/>
      <c r="AD189" s="76"/>
      <c r="AG189" s="69"/>
      <c r="AH189" s="69"/>
      <c r="AI189" s="69"/>
      <c r="AJ189" s="69"/>
      <c r="AK189" s="69"/>
      <c r="AP189" s="76"/>
      <c r="AQ189" s="67"/>
      <c r="AR189" s="68"/>
      <c r="AS189" s="69"/>
      <c r="AT189" s="69"/>
      <c r="AU189" s="69"/>
      <c r="AV189" s="69"/>
      <c r="AW189" s="69"/>
      <c r="AX189" s="68"/>
      <c r="AY189" s="69"/>
      <c r="AZ189" s="67"/>
      <c r="BA189" s="69"/>
      <c r="BB189" s="76"/>
      <c r="BC189" s="67"/>
      <c r="BD189" s="68"/>
      <c r="BE189" s="69"/>
      <c r="BF189" s="69"/>
      <c r="BG189" s="69"/>
      <c r="BH189" s="69"/>
      <c r="BI189" s="69"/>
      <c r="BJ189" s="68"/>
      <c r="BK189" s="69"/>
      <c r="BL189" s="67"/>
      <c r="BM189" s="67"/>
      <c r="BN189" s="56"/>
      <c r="BO189" s="56"/>
      <c r="BT189" s="63"/>
      <c r="BW189" s="56"/>
      <c r="BX189" s="56"/>
      <c r="BY189" s="56"/>
      <c r="BZ189" s="56"/>
      <c r="CA189" s="56"/>
      <c r="CF189" s="63"/>
      <c r="CI189" s="56"/>
      <c r="CJ189" s="56"/>
      <c r="CK189" s="56"/>
      <c r="CL189" s="56"/>
      <c r="CM189" s="56"/>
    </row>
    <row r="190" spans="18:93" ht="18" customHeight="1">
      <c r="AQ190" s="67"/>
      <c r="AR190" s="68"/>
      <c r="AS190" s="68"/>
      <c r="AT190" s="68"/>
      <c r="AU190" s="68"/>
      <c r="AV190" s="68"/>
      <c r="AW190" s="68"/>
      <c r="AX190" s="68"/>
      <c r="AY190" s="69"/>
      <c r="AZ190" s="67"/>
      <c r="BA190" s="68"/>
      <c r="BB190" s="67"/>
      <c r="BC190" s="67"/>
      <c r="BD190" s="68"/>
      <c r="BE190" s="68"/>
      <c r="BF190" s="68"/>
      <c r="BG190" s="68"/>
      <c r="BH190" s="68"/>
      <c r="BI190" s="68"/>
      <c r="BJ190" s="68"/>
      <c r="BK190" s="69"/>
      <c r="BL190" s="67"/>
      <c r="BM190" s="67"/>
    </row>
    <row r="191" spans="18:93" ht="18" customHeight="1">
      <c r="R191" s="76"/>
      <c r="S191" s="77"/>
      <c r="Y191" s="533"/>
      <c r="Z191" s="533"/>
      <c r="AA191" s="533"/>
      <c r="AD191" s="76"/>
      <c r="AE191" s="77"/>
      <c r="AK191" s="533"/>
      <c r="AL191" s="533"/>
      <c r="AM191" s="533"/>
      <c r="AP191" s="76"/>
      <c r="AQ191" s="77"/>
      <c r="AR191" s="68"/>
      <c r="AS191" s="68"/>
      <c r="AT191" s="68"/>
      <c r="AU191" s="68"/>
      <c r="AV191" s="68"/>
      <c r="AW191" s="533"/>
      <c r="AX191" s="533"/>
      <c r="AY191" s="533"/>
      <c r="AZ191" s="67"/>
      <c r="BA191" s="68"/>
      <c r="BB191" s="76"/>
      <c r="BC191" s="77"/>
      <c r="BD191" s="68"/>
      <c r="BE191" s="68"/>
      <c r="BF191" s="68"/>
      <c r="BG191" s="68"/>
      <c r="BH191" s="68"/>
      <c r="BI191" s="533"/>
      <c r="BJ191" s="533"/>
      <c r="BK191" s="533"/>
      <c r="BL191" s="67"/>
      <c r="BM191" s="67"/>
      <c r="BO191" s="531"/>
      <c r="BP191" s="531"/>
      <c r="BQ191" s="531"/>
      <c r="BT191" s="63"/>
      <c r="BU191" s="64"/>
      <c r="CA191" s="531"/>
      <c r="CB191" s="531"/>
      <c r="CC191" s="531"/>
      <c r="CF191" s="63"/>
      <c r="CG191" s="64"/>
      <c r="CM191" s="531"/>
      <c r="CN191" s="531"/>
      <c r="CO191" s="531"/>
    </row>
    <row r="192" spans="18:93" ht="18" customHeight="1">
      <c r="R192" s="76"/>
      <c r="V192" s="170"/>
      <c r="W192" s="69"/>
      <c r="X192" s="69"/>
      <c r="Y192" s="69"/>
      <c r="AD192" s="76"/>
      <c r="AG192" s="69"/>
      <c r="AH192" s="69"/>
      <c r="AI192" s="69"/>
      <c r="AJ192" s="69"/>
      <c r="AK192" s="69"/>
      <c r="AP192" s="76"/>
      <c r="AQ192" s="67"/>
      <c r="AR192" s="68"/>
      <c r="AS192" s="69"/>
      <c r="AT192" s="69"/>
      <c r="AU192" s="69"/>
      <c r="AV192" s="69"/>
      <c r="AW192" s="69"/>
      <c r="AX192" s="68"/>
      <c r="AY192" s="69"/>
      <c r="AZ192" s="67"/>
      <c r="BA192" s="69"/>
      <c r="BB192" s="76"/>
      <c r="BC192" s="67"/>
      <c r="BD192" s="68"/>
      <c r="BE192" s="69"/>
      <c r="BF192" s="69"/>
      <c r="BG192" s="69"/>
      <c r="BH192" s="69"/>
      <c r="BI192" s="69"/>
      <c r="BJ192" s="68"/>
      <c r="BK192" s="69"/>
      <c r="BL192" s="67"/>
      <c r="BM192" s="67"/>
      <c r="BN192" s="56"/>
      <c r="BO192" s="56"/>
      <c r="BT192" s="63"/>
      <c r="BW192" s="56"/>
      <c r="BX192" s="56"/>
      <c r="BY192" s="56"/>
      <c r="BZ192" s="56"/>
      <c r="CA192" s="56"/>
      <c r="CF192" s="63"/>
      <c r="CI192" s="56"/>
      <c r="CJ192" s="56"/>
      <c r="CK192" s="56"/>
      <c r="CL192" s="56"/>
      <c r="CM192" s="56"/>
    </row>
    <row r="193" spans="18:93" ht="18" customHeight="1">
      <c r="R193" s="76"/>
      <c r="V193" s="170"/>
      <c r="W193" s="69"/>
      <c r="X193" s="69"/>
      <c r="Y193" s="69"/>
      <c r="AD193" s="76"/>
      <c r="AG193" s="69"/>
      <c r="AH193" s="69"/>
      <c r="AI193" s="69"/>
      <c r="AJ193" s="69"/>
      <c r="AK193" s="69"/>
      <c r="AP193" s="76"/>
      <c r="AQ193" s="67"/>
      <c r="AR193" s="68"/>
      <c r="AS193" s="69"/>
      <c r="AT193" s="69"/>
      <c r="AU193" s="69"/>
      <c r="AV193" s="69"/>
      <c r="AW193" s="69"/>
      <c r="AX193" s="68"/>
      <c r="AY193" s="69"/>
      <c r="AZ193" s="67"/>
      <c r="BA193" s="69"/>
      <c r="BB193" s="76"/>
      <c r="BC193" s="67"/>
      <c r="BD193" s="68"/>
      <c r="BE193" s="69"/>
      <c r="BF193" s="69"/>
      <c r="BG193" s="69"/>
      <c r="BH193" s="69"/>
      <c r="BI193" s="69"/>
      <c r="BJ193" s="68"/>
      <c r="BK193" s="69"/>
      <c r="BL193" s="67"/>
      <c r="BM193" s="67"/>
      <c r="BN193" s="56"/>
      <c r="BO193" s="56"/>
      <c r="BT193" s="63"/>
      <c r="BW193" s="56"/>
      <c r="BX193" s="56"/>
      <c r="BY193" s="56"/>
      <c r="BZ193" s="56"/>
      <c r="CA193" s="56"/>
      <c r="CF193" s="63"/>
      <c r="CI193" s="56"/>
      <c r="CJ193" s="56"/>
      <c r="CK193" s="56"/>
      <c r="CL193" s="56"/>
      <c r="CM193" s="56"/>
    </row>
    <row r="194" spans="18:93" ht="18" customHeight="1">
      <c r="R194" s="76"/>
      <c r="V194" s="170"/>
      <c r="W194" s="69"/>
      <c r="X194" s="69"/>
      <c r="Y194" s="69"/>
      <c r="AD194" s="76"/>
      <c r="AG194" s="69"/>
      <c r="AH194" s="69"/>
      <c r="AI194" s="69"/>
      <c r="AJ194" s="69"/>
      <c r="AK194" s="69"/>
      <c r="AP194" s="76"/>
      <c r="AQ194" s="67"/>
      <c r="AR194" s="68"/>
      <c r="AS194" s="69"/>
      <c r="AT194" s="69"/>
      <c r="AU194" s="69"/>
      <c r="AV194" s="69"/>
      <c r="AW194" s="69"/>
      <c r="AX194" s="68"/>
      <c r="AY194" s="69"/>
      <c r="AZ194" s="67"/>
      <c r="BA194" s="69"/>
      <c r="BB194" s="76"/>
      <c r="BC194" s="67"/>
      <c r="BD194" s="68"/>
      <c r="BE194" s="69"/>
      <c r="BF194" s="69"/>
      <c r="BG194" s="69"/>
      <c r="BH194" s="69"/>
      <c r="BI194" s="69"/>
      <c r="BJ194" s="68"/>
      <c r="BK194" s="69"/>
      <c r="BL194" s="67"/>
      <c r="BM194" s="67"/>
      <c r="BN194" s="56"/>
      <c r="BO194" s="56"/>
      <c r="BT194" s="63"/>
      <c r="BW194" s="56"/>
      <c r="BX194" s="56"/>
      <c r="BY194" s="56"/>
      <c r="BZ194" s="56"/>
      <c r="CA194" s="56"/>
      <c r="CF194" s="63"/>
      <c r="CI194" s="56"/>
      <c r="CJ194" s="56"/>
      <c r="CK194" s="56"/>
      <c r="CL194" s="56"/>
      <c r="CM194" s="56"/>
    </row>
    <row r="195" spans="18:93" ht="18" customHeight="1">
      <c r="R195" s="76"/>
      <c r="V195" s="170"/>
      <c r="W195" s="69"/>
      <c r="X195" s="69"/>
      <c r="Y195" s="69"/>
      <c r="AD195" s="76"/>
      <c r="AG195" s="69"/>
      <c r="AH195" s="69"/>
      <c r="AI195" s="69"/>
      <c r="AJ195" s="69"/>
      <c r="AK195" s="69"/>
      <c r="AP195" s="76"/>
      <c r="AQ195" s="67"/>
      <c r="AR195" s="68"/>
      <c r="AS195" s="69"/>
      <c r="AT195" s="69"/>
      <c r="AU195" s="69"/>
      <c r="AV195" s="69"/>
      <c r="AW195" s="69"/>
      <c r="AX195" s="68"/>
      <c r="AY195" s="69"/>
      <c r="AZ195" s="67"/>
      <c r="BA195" s="69"/>
      <c r="BB195" s="76"/>
      <c r="BC195" s="67"/>
      <c r="BD195" s="68"/>
      <c r="BE195" s="69"/>
      <c r="BF195" s="69"/>
      <c r="BG195" s="69"/>
      <c r="BH195" s="69"/>
      <c r="BI195" s="69"/>
      <c r="BJ195" s="68"/>
      <c r="BK195" s="69"/>
      <c r="BL195" s="67"/>
      <c r="BM195" s="67"/>
      <c r="BN195" s="56"/>
      <c r="BO195" s="56"/>
      <c r="BT195" s="63"/>
      <c r="BW195" s="56"/>
      <c r="BX195" s="56"/>
      <c r="BY195" s="56"/>
      <c r="BZ195" s="56"/>
      <c r="CA195" s="56"/>
      <c r="CF195" s="63"/>
      <c r="CI195" s="56"/>
      <c r="CJ195" s="56"/>
      <c r="CK195" s="56"/>
      <c r="CL195" s="56"/>
      <c r="CM195" s="56"/>
    </row>
    <row r="196" spans="18:93" ht="18" customHeight="1">
      <c r="AQ196" s="67"/>
      <c r="AR196" s="68"/>
      <c r="AS196" s="68"/>
      <c r="AT196" s="68"/>
      <c r="AU196" s="68"/>
      <c r="AV196" s="68"/>
      <c r="AW196" s="68"/>
      <c r="AX196" s="68"/>
      <c r="AY196" s="69"/>
      <c r="AZ196" s="67"/>
      <c r="BA196" s="68"/>
      <c r="BB196" s="67"/>
      <c r="BC196" s="67"/>
      <c r="BD196" s="68"/>
      <c r="BE196" s="68"/>
      <c r="BF196" s="68"/>
      <c r="BG196" s="68"/>
      <c r="BH196" s="68"/>
      <c r="BI196" s="68"/>
      <c r="BJ196" s="68"/>
      <c r="BK196" s="69"/>
      <c r="BL196" s="67"/>
      <c r="BM196" s="67"/>
    </row>
    <row r="197" spans="18:93" ht="18" customHeight="1">
      <c r="R197" s="76"/>
      <c r="S197" s="77"/>
      <c r="Y197" s="533"/>
      <c r="Z197" s="533"/>
      <c r="AA197" s="533"/>
      <c r="AD197" s="76"/>
      <c r="AE197" s="77"/>
      <c r="AK197" s="533"/>
      <c r="AL197" s="533"/>
      <c r="AM197" s="533"/>
      <c r="AP197" s="76"/>
      <c r="AQ197" s="77"/>
      <c r="AR197" s="68"/>
      <c r="AS197" s="68"/>
      <c r="AT197" s="68"/>
      <c r="AU197" s="68"/>
      <c r="AV197" s="68"/>
      <c r="AW197" s="533"/>
      <c r="AX197" s="533"/>
      <c r="AY197" s="533"/>
      <c r="AZ197" s="67"/>
      <c r="BA197" s="68"/>
      <c r="BB197" s="76"/>
      <c r="BC197" s="77"/>
      <c r="BD197" s="68"/>
      <c r="BE197" s="68"/>
      <c r="BF197" s="68"/>
      <c r="BG197" s="68"/>
      <c r="BH197" s="68"/>
      <c r="BI197" s="533"/>
      <c r="BJ197" s="533"/>
      <c r="BK197" s="533"/>
      <c r="BL197" s="67"/>
      <c r="BM197" s="67"/>
      <c r="BO197" s="531"/>
      <c r="BP197" s="531"/>
      <c r="BQ197" s="531"/>
      <c r="BT197" s="63"/>
      <c r="BU197" s="64"/>
      <c r="CA197" s="531"/>
      <c r="CB197" s="531"/>
      <c r="CC197" s="531"/>
      <c r="CF197" s="63"/>
      <c r="CG197" s="64"/>
      <c r="CM197" s="531"/>
      <c r="CN197" s="531"/>
      <c r="CO197" s="531"/>
    </row>
    <row r="198" spans="18:93" ht="18" customHeight="1">
      <c r="R198" s="76"/>
      <c r="V198" s="170"/>
      <c r="W198" s="69"/>
      <c r="X198" s="69"/>
      <c r="Y198" s="69"/>
      <c r="AD198" s="76"/>
      <c r="AG198" s="69"/>
      <c r="AH198" s="69"/>
      <c r="AI198" s="69"/>
      <c r="AJ198" s="69"/>
      <c r="AK198" s="69"/>
      <c r="AP198" s="76"/>
      <c r="AQ198" s="67"/>
      <c r="AR198" s="68"/>
      <c r="AS198" s="69"/>
      <c r="AT198" s="69"/>
      <c r="AU198" s="69"/>
      <c r="AV198" s="69"/>
      <c r="AW198" s="69"/>
      <c r="AX198" s="68"/>
      <c r="AY198" s="69"/>
      <c r="AZ198" s="67"/>
      <c r="BA198" s="69"/>
      <c r="BB198" s="76"/>
      <c r="BC198" s="67"/>
      <c r="BD198" s="68"/>
      <c r="BE198" s="69"/>
      <c r="BF198" s="69"/>
      <c r="BG198" s="69"/>
      <c r="BH198" s="69"/>
      <c r="BI198" s="69"/>
      <c r="BJ198" s="68"/>
      <c r="BK198" s="69"/>
      <c r="BL198" s="67"/>
      <c r="BM198" s="67"/>
      <c r="BN198" s="56"/>
      <c r="BO198" s="56"/>
      <c r="BT198" s="63"/>
      <c r="BW198" s="56"/>
      <c r="BX198" s="56"/>
      <c r="BY198" s="56"/>
      <c r="BZ198" s="56"/>
      <c r="CA198" s="56"/>
      <c r="CF198" s="63"/>
      <c r="CI198" s="56"/>
      <c r="CJ198" s="56"/>
      <c r="CK198" s="56"/>
      <c r="CL198" s="56"/>
      <c r="CM198" s="56"/>
    </row>
    <row r="199" spans="18:93" ht="18" customHeight="1">
      <c r="R199" s="76"/>
      <c r="V199" s="170"/>
      <c r="W199" s="69"/>
      <c r="X199" s="69"/>
      <c r="Y199" s="69"/>
      <c r="AD199" s="76"/>
      <c r="AG199" s="69"/>
      <c r="AH199" s="69"/>
      <c r="AI199" s="69"/>
      <c r="AJ199" s="69"/>
      <c r="AK199" s="69"/>
      <c r="AP199" s="76"/>
      <c r="AQ199" s="67"/>
      <c r="AR199" s="68"/>
      <c r="AS199" s="69"/>
      <c r="AT199" s="69"/>
      <c r="AU199" s="69"/>
      <c r="AV199" s="69"/>
      <c r="AW199" s="69"/>
      <c r="AX199" s="68"/>
      <c r="AY199" s="69"/>
      <c r="AZ199" s="67"/>
      <c r="BA199" s="69"/>
      <c r="BB199" s="76"/>
      <c r="BC199" s="67"/>
      <c r="BD199" s="68"/>
      <c r="BE199" s="69"/>
      <c r="BF199" s="69"/>
      <c r="BG199" s="69"/>
      <c r="BH199" s="69"/>
      <c r="BI199" s="69"/>
      <c r="BJ199" s="68"/>
      <c r="BK199" s="69"/>
      <c r="BL199" s="67"/>
      <c r="BM199" s="67"/>
      <c r="BN199" s="56"/>
      <c r="BO199" s="56"/>
      <c r="BT199" s="63"/>
      <c r="BW199" s="56"/>
      <c r="BX199" s="56"/>
      <c r="BY199" s="56"/>
      <c r="BZ199" s="56"/>
      <c r="CA199" s="56"/>
      <c r="CF199" s="63"/>
      <c r="CI199" s="56"/>
      <c r="CJ199" s="56"/>
      <c r="CK199" s="56"/>
      <c r="CL199" s="56"/>
      <c r="CM199" s="56"/>
    </row>
    <row r="200" spans="18:93" ht="18" customHeight="1">
      <c r="R200" s="76"/>
      <c r="V200" s="170"/>
      <c r="W200" s="69"/>
      <c r="X200" s="69"/>
      <c r="Y200" s="69"/>
      <c r="AD200" s="76"/>
      <c r="AG200" s="69"/>
      <c r="AH200" s="69"/>
      <c r="AI200" s="69"/>
      <c r="AJ200" s="69"/>
      <c r="AK200" s="69"/>
      <c r="AP200" s="76"/>
      <c r="AQ200" s="67"/>
      <c r="AR200" s="68"/>
      <c r="AS200" s="69"/>
      <c r="AT200" s="69"/>
      <c r="AU200" s="69"/>
      <c r="AV200" s="69"/>
      <c r="AW200" s="69"/>
      <c r="AX200" s="68"/>
      <c r="AY200" s="69"/>
      <c r="AZ200" s="67"/>
      <c r="BA200" s="69"/>
      <c r="BB200" s="76"/>
      <c r="BC200" s="67"/>
      <c r="BD200" s="68"/>
      <c r="BE200" s="69"/>
      <c r="BF200" s="69"/>
      <c r="BG200" s="69"/>
      <c r="BH200" s="69"/>
      <c r="BI200" s="69"/>
      <c r="BJ200" s="68"/>
      <c r="BK200" s="69"/>
      <c r="BL200" s="67"/>
      <c r="BM200" s="67"/>
      <c r="BN200" s="56"/>
      <c r="BO200" s="56"/>
      <c r="BT200" s="63"/>
      <c r="BW200" s="56"/>
      <c r="BX200" s="56"/>
      <c r="BY200" s="56"/>
      <c r="BZ200" s="56"/>
      <c r="CA200" s="56"/>
      <c r="CF200" s="63"/>
      <c r="CI200" s="56"/>
      <c r="CJ200" s="56"/>
      <c r="CK200" s="56"/>
      <c r="CL200" s="56"/>
      <c r="CM200" s="56"/>
    </row>
    <row r="201" spans="18:93" ht="18" customHeight="1">
      <c r="R201" s="76"/>
      <c r="V201" s="170"/>
      <c r="W201" s="69"/>
      <c r="X201" s="69"/>
      <c r="Y201" s="69"/>
      <c r="AD201" s="76"/>
      <c r="AG201" s="69"/>
      <c r="AH201" s="69"/>
      <c r="AI201" s="69"/>
      <c r="AJ201" s="69"/>
      <c r="AK201" s="69"/>
      <c r="AP201" s="76"/>
      <c r="AQ201" s="67"/>
      <c r="AR201" s="68"/>
      <c r="AS201" s="69"/>
      <c r="AT201" s="69"/>
      <c r="AU201" s="69"/>
      <c r="AV201" s="69"/>
      <c r="AW201" s="69"/>
      <c r="AX201" s="68"/>
      <c r="AY201" s="69"/>
      <c r="AZ201" s="67"/>
      <c r="BA201" s="69"/>
      <c r="BB201" s="76"/>
      <c r="BC201" s="67"/>
      <c r="BD201" s="68"/>
      <c r="BE201" s="69"/>
      <c r="BF201" s="69"/>
      <c r="BG201" s="69"/>
      <c r="BH201" s="69"/>
      <c r="BI201" s="69"/>
      <c r="BJ201" s="68"/>
      <c r="BK201" s="69"/>
      <c r="BL201" s="67"/>
      <c r="BM201" s="67"/>
      <c r="BN201" s="56"/>
      <c r="BO201" s="56"/>
      <c r="BT201" s="63"/>
      <c r="BW201" s="56"/>
      <c r="BX201" s="56"/>
      <c r="BY201" s="56"/>
      <c r="BZ201" s="56"/>
      <c r="CA201" s="56"/>
      <c r="CF201" s="63"/>
      <c r="CI201" s="56"/>
      <c r="CJ201" s="56"/>
      <c r="CK201" s="56"/>
      <c r="CL201" s="56"/>
      <c r="CM201" s="56"/>
    </row>
    <row r="202" spans="18:93" ht="18" customHeight="1">
      <c r="AQ202" s="67"/>
      <c r="AR202" s="68"/>
      <c r="AS202" s="68"/>
      <c r="AT202" s="68"/>
      <c r="AU202" s="68"/>
      <c r="AV202" s="68"/>
      <c r="AW202" s="68"/>
      <c r="AX202" s="68"/>
      <c r="AY202" s="69"/>
      <c r="AZ202" s="67"/>
      <c r="BA202" s="68"/>
      <c r="BB202" s="67"/>
      <c r="BC202" s="67"/>
      <c r="BD202" s="68"/>
      <c r="BE202" s="68"/>
      <c r="BF202" s="68"/>
      <c r="BG202" s="68"/>
      <c r="BH202" s="68"/>
      <c r="BI202" s="68"/>
      <c r="BJ202" s="68"/>
      <c r="BK202" s="69"/>
      <c r="BL202" s="67"/>
      <c r="BM202" s="67"/>
    </row>
    <row r="203" spans="18:93" ht="18" customHeight="1">
      <c r="R203" s="76"/>
      <c r="S203" s="77"/>
      <c r="Y203" s="533"/>
      <c r="Z203" s="533"/>
      <c r="AA203" s="533"/>
      <c r="AD203" s="76"/>
      <c r="AE203" s="77"/>
      <c r="AK203" s="533"/>
      <c r="AL203" s="533"/>
      <c r="AM203" s="533"/>
      <c r="AP203" s="76"/>
      <c r="AQ203" s="77"/>
      <c r="AR203" s="68"/>
      <c r="AS203" s="68"/>
      <c r="AT203" s="68"/>
      <c r="AU203" s="68"/>
      <c r="AV203" s="68"/>
      <c r="AW203" s="533"/>
      <c r="AX203" s="533"/>
      <c r="AY203" s="533"/>
      <c r="AZ203" s="67"/>
      <c r="BA203" s="68"/>
      <c r="BB203" s="76"/>
      <c r="BC203" s="77"/>
      <c r="BD203" s="68"/>
      <c r="BE203" s="68"/>
      <c r="BF203" s="68"/>
      <c r="BG203" s="68"/>
      <c r="BH203" s="68"/>
      <c r="BI203" s="533"/>
      <c r="BJ203" s="533"/>
      <c r="BK203" s="533"/>
      <c r="BL203" s="67"/>
      <c r="BM203" s="67"/>
      <c r="BO203" s="531"/>
      <c r="BP203" s="531"/>
      <c r="BQ203" s="531"/>
      <c r="BT203" s="63"/>
      <c r="BU203" s="64"/>
      <c r="CA203" s="531"/>
      <c r="CB203" s="531"/>
      <c r="CC203" s="531"/>
      <c r="CF203" s="63"/>
      <c r="CG203" s="64"/>
      <c r="CM203" s="531"/>
      <c r="CN203" s="531"/>
      <c r="CO203" s="531"/>
    </row>
    <row r="204" spans="18:93" ht="18" customHeight="1">
      <c r="R204" s="76"/>
      <c r="V204" s="170"/>
      <c r="W204" s="69"/>
      <c r="X204" s="69"/>
      <c r="Y204" s="69"/>
      <c r="AD204" s="76"/>
      <c r="AG204" s="69"/>
      <c r="AH204" s="69"/>
      <c r="AI204" s="69"/>
      <c r="AJ204" s="69"/>
      <c r="AK204" s="69"/>
      <c r="AP204" s="76"/>
      <c r="AQ204" s="67"/>
      <c r="AR204" s="68"/>
      <c r="AS204" s="69"/>
      <c r="AT204" s="69"/>
      <c r="AU204" s="69"/>
      <c r="AV204" s="69"/>
      <c r="AW204" s="69"/>
      <c r="AX204" s="68"/>
      <c r="AY204" s="69"/>
      <c r="AZ204" s="67"/>
      <c r="BA204" s="69"/>
      <c r="BB204" s="76"/>
      <c r="BC204" s="67"/>
      <c r="BD204" s="68"/>
      <c r="BE204" s="69"/>
      <c r="BF204" s="69"/>
      <c r="BG204" s="69"/>
      <c r="BH204" s="69"/>
      <c r="BI204" s="69"/>
      <c r="BJ204" s="68"/>
      <c r="BK204" s="69"/>
      <c r="BL204" s="67"/>
      <c r="BM204" s="67"/>
      <c r="BN204" s="56"/>
      <c r="BO204" s="56"/>
      <c r="BT204" s="63"/>
      <c r="BW204" s="56"/>
      <c r="BX204" s="56"/>
      <c r="BY204" s="56"/>
      <c r="BZ204" s="56"/>
      <c r="CA204" s="56"/>
      <c r="CF204" s="63"/>
      <c r="CI204" s="56"/>
      <c r="CJ204" s="56"/>
      <c r="CK204" s="56"/>
      <c r="CL204" s="56"/>
      <c r="CM204" s="56"/>
    </row>
    <row r="205" spans="18:93" ht="18" customHeight="1">
      <c r="R205" s="76"/>
      <c r="V205" s="170"/>
      <c r="W205" s="69"/>
      <c r="X205" s="69"/>
      <c r="Y205" s="69"/>
      <c r="AD205" s="76"/>
      <c r="AG205" s="69"/>
      <c r="AH205" s="69"/>
      <c r="AI205" s="69"/>
      <c r="AJ205" s="69"/>
      <c r="AK205" s="69"/>
      <c r="AP205" s="76"/>
      <c r="AQ205" s="67"/>
      <c r="AR205" s="68"/>
      <c r="AS205" s="69"/>
      <c r="AT205" s="69"/>
      <c r="AU205" s="69"/>
      <c r="AV205" s="69"/>
      <c r="AW205" s="69"/>
      <c r="AX205" s="68"/>
      <c r="AY205" s="69"/>
      <c r="AZ205" s="67"/>
      <c r="BA205" s="69"/>
      <c r="BB205" s="76"/>
      <c r="BC205" s="67"/>
      <c r="BD205" s="68"/>
      <c r="BE205" s="69"/>
      <c r="BF205" s="69"/>
      <c r="BG205" s="69"/>
      <c r="BH205" s="69"/>
      <c r="BI205" s="69"/>
      <c r="BJ205" s="68"/>
      <c r="BK205" s="69"/>
      <c r="BL205" s="67"/>
      <c r="BM205" s="67"/>
      <c r="BN205" s="56"/>
      <c r="BO205" s="56"/>
      <c r="BT205" s="63"/>
      <c r="BW205" s="56"/>
      <c r="BX205" s="56"/>
      <c r="BY205" s="56"/>
      <c r="BZ205" s="56"/>
      <c r="CA205" s="56"/>
      <c r="CF205" s="63"/>
      <c r="CI205" s="56"/>
      <c r="CJ205" s="56"/>
      <c r="CK205" s="56"/>
      <c r="CL205" s="56"/>
      <c r="CM205" s="56"/>
    </row>
    <row r="206" spans="18:93" ht="18" customHeight="1">
      <c r="R206" s="76"/>
      <c r="V206" s="170"/>
      <c r="W206" s="69"/>
      <c r="X206" s="69"/>
      <c r="Y206" s="69"/>
      <c r="AD206" s="76"/>
      <c r="AG206" s="69"/>
      <c r="AH206" s="69"/>
      <c r="AI206" s="69"/>
      <c r="AJ206" s="69"/>
      <c r="AK206" s="69"/>
      <c r="AP206" s="76"/>
      <c r="AQ206" s="67"/>
      <c r="AR206" s="68"/>
      <c r="AS206" s="69"/>
      <c r="AT206" s="69"/>
      <c r="AU206" s="69"/>
      <c r="AV206" s="69"/>
      <c r="AW206" s="69"/>
      <c r="AX206" s="68"/>
      <c r="AY206" s="69"/>
      <c r="AZ206" s="67"/>
      <c r="BA206" s="69"/>
      <c r="BB206" s="76"/>
      <c r="BC206" s="67"/>
      <c r="BD206" s="68"/>
      <c r="BE206" s="69"/>
      <c r="BF206" s="69"/>
      <c r="BG206" s="69"/>
      <c r="BH206" s="69"/>
      <c r="BI206" s="69"/>
      <c r="BJ206" s="68"/>
      <c r="BK206" s="69"/>
      <c r="BL206" s="67"/>
      <c r="BM206" s="67"/>
      <c r="BN206" s="56"/>
      <c r="BO206" s="56"/>
      <c r="BT206" s="63"/>
      <c r="BW206" s="56"/>
      <c r="BX206" s="56"/>
      <c r="BY206" s="56"/>
      <c r="BZ206" s="56"/>
      <c r="CA206" s="56"/>
      <c r="CF206" s="63"/>
      <c r="CI206" s="56"/>
      <c r="CJ206" s="56"/>
      <c r="CK206" s="56"/>
      <c r="CL206" s="56"/>
      <c r="CM206" s="56"/>
    </row>
    <row r="207" spans="18:93" ht="18" customHeight="1">
      <c r="R207" s="76"/>
      <c r="V207" s="170"/>
      <c r="W207" s="69"/>
      <c r="X207" s="69"/>
      <c r="Y207" s="69"/>
      <c r="AD207" s="76"/>
      <c r="AG207" s="69"/>
      <c r="AH207" s="69"/>
      <c r="AI207" s="69"/>
      <c r="AJ207" s="69"/>
      <c r="AK207" s="69"/>
      <c r="AP207" s="76"/>
      <c r="AQ207" s="67"/>
      <c r="AR207" s="68"/>
      <c r="AS207" s="69"/>
      <c r="AT207" s="69"/>
      <c r="AU207" s="69"/>
      <c r="AV207" s="69"/>
      <c r="AW207" s="69"/>
      <c r="AX207" s="68"/>
      <c r="AY207" s="69"/>
      <c r="AZ207" s="67"/>
      <c r="BA207" s="69"/>
      <c r="BB207" s="76"/>
      <c r="BC207" s="67"/>
      <c r="BD207" s="68"/>
      <c r="BE207" s="69"/>
      <c r="BF207" s="69"/>
      <c r="BG207" s="69"/>
      <c r="BH207" s="69"/>
      <c r="BI207" s="69"/>
      <c r="BJ207" s="68"/>
      <c r="BK207" s="69"/>
      <c r="BL207" s="67"/>
      <c r="BM207" s="67"/>
      <c r="BN207" s="56"/>
      <c r="BO207" s="56"/>
      <c r="BT207" s="63"/>
      <c r="BW207" s="56"/>
      <c r="BX207" s="56"/>
      <c r="BY207" s="56"/>
      <c r="BZ207" s="56"/>
      <c r="CA207" s="56"/>
      <c r="CF207" s="63"/>
      <c r="CI207" s="56"/>
      <c r="CJ207" s="56"/>
      <c r="CK207" s="56"/>
      <c r="CL207" s="56"/>
      <c r="CM207" s="56"/>
    </row>
    <row r="208" spans="18:93" ht="18" customHeight="1">
      <c r="AQ208" s="67"/>
      <c r="AR208" s="68"/>
      <c r="AS208" s="68"/>
      <c r="AT208" s="68"/>
      <c r="AU208" s="68"/>
      <c r="AV208" s="68"/>
      <c r="AW208" s="68"/>
      <c r="AX208" s="68"/>
      <c r="AY208" s="69"/>
      <c r="AZ208" s="67"/>
      <c r="BA208" s="68"/>
      <c r="BB208" s="67"/>
      <c r="BC208" s="67"/>
      <c r="BD208" s="68"/>
      <c r="BE208" s="68"/>
      <c r="BF208" s="68"/>
      <c r="BG208" s="68"/>
      <c r="BH208" s="68"/>
      <c r="BI208" s="68"/>
      <c r="BJ208" s="68"/>
      <c r="BK208" s="69"/>
      <c r="BL208" s="67"/>
      <c r="BM208" s="67"/>
    </row>
    <row r="209" spans="18:93" ht="18" customHeight="1">
      <c r="R209" s="76"/>
      <c r="S209" s="77"/>
      <c r="Y209" s="533"/>
      <c r="Z209" s="533"/>
      <c r="AA209" s="533"/>
      <c r="AD209" s="76"/>
      <c r="AE209" s="77"/>
      <c r="AK209" s="533"/>
      <c r="AL209" s="533"/>
      <c r="AM209" s="533"/>
      <c r="AP209" s="76"/>
      <c r="AQ209" s="77"/>
      <c r="AR209" s="68"/>
      <c r="AS209" s="68"/>
      <c r="AT209" s="68"/>
      <c r="AU209" s="68"/>
      <c r="AV209" s="68"/>
      <c r="AW209" s="533"/>
      <c r="AX209" s="533"/>
      <c r="AY209" s="533"/>
      <c r="AZ209" s="67"/>
      <c r="BA209" s="68"/>
      <c r="BB209" s="76"/>
      <c r="BC209" s="77"/>
      <c r="BD209" s="68"/>
      <c r="BE209" s="68"/>
      <c r="BF209" s="68"/>
      <c r="BG209" s="68"/>
      <c r="BH209" s="68"/>
      <c r="BI209" s="533"/>
      <c r="BJ209" s="533"/>
      <c r="BK209" s="533"/>
      <c r="BL209" s="67"/>
      <c r="BM209" s="67"/>
      <c r="BO209" s="531"/>
      <c r="BP209" s="531"/>
      <c r="BQ209" s="531"/>
      <c r="BT209" s="63"/>
      <c r="BU209" s="64"/>
      <c r="CA209" s="531"/>
      <c r="CB209" s="531"/>
      <c r="CC209" s="531"/>
      <c r="CF209" s="63"/>
      <c r="CG209" s="64"/>
      <c r="CM209" s="531"/>
      <c r="CN209" s="531"/>
      <c r="CO209" s="531"/>
    </row>
    <row r="210" spans="18:93" ht="18" customHeight="1">
      <c r="R210" s="76"/>
      <c r="V210" s="170"/>
      <c r="W210" s="69"/>
      <c r="X210" s="69"/>
      <c r="Y210" s="69"/>
      <c r="AD210" s="76"/>
      <c r="AG210" s="69"/>
      <c r="AH210" s="69"/>
      <c r="AI210" s="69"/>
      <c r="AJ210" s="69"/>
      <c r="AK210" s="69"/>
      <c r="AP210" s="76"/>
      <c r="AQ210" s="67"/>
      <c r="AR210" s="68"/>
      <c r="AS210" s="69"/>
      <c r="AT210" s="69"/>
      <c r="AU210" s="69"/>
      <c r="AV210" s="69"/>
      <c r="AW210" s="69"/>
      <c r="AX210" s="68"/>
      <c r="AY210" s="69"/>
      <c r="AZ210" s="67"/>
      <c r="BA210" s="69"/>
      <c r="BB210" s="76"/>
      <c r="BC210" s="67"/>
      <c r="BD210" s="68"/>
      <c r="BE210" s="69"/>
      <c r="BF210" s="69"/>
      <c r="BG210" s="69"/>
      <c r="BH210" s="69"/>
      <c r="BI210" s="69"/>
      <c r="BJ210" s="68"/>
      <c r="BK210" s="69"/>
      <c r="BL210" s="67"/>
      <c r="BM210" s="67"/>
      <c r="BN210" s="56"/>
      <c r="BO210" s="56"/>
      <c r="BT210" s="63"/>
      <c r="BW210" s="56"/>
      <c r="BX210" s="56"/>
      <c r="BY210" s="56"/>
      <c r="BZ210" s="56"/>
      <c r="CA210" s="56"/>
      <c r="CF210" s="63"/>
      <c r="CI210" s="56"/>
      <c r="CJ210" s="56"/>
      <c r="CK210" s="56"/>
      <c r="CL210" s="56"/>
      <c r="CM210" s="56"/>
    </row>
    <row r="211" spans="18:93" ht="18" customHeight="1">
      <c r="R211" s="76"/>
      <c r="V211" s="170"/>
      <c r="W211" s="69"/>
      <c r="X211" s="69"/>
      <c r="Y211" s="69"/>
      <c r="AD211" s="76"/>
      <c r="AG211" s="69"/>
      <c r="AH211" s="69"/>
      <c r="AI211" s="69"/>
      <c r="AJ211" s="69"/>
      <c r="AK211" s="69"/>
      <c r="AP211" s="76"/>
      <c r="AQ211" s="67"/>
      <c r="AR211" s="68"/>
      <c r="AS211" s="69"/>
      <c r="AT211" s="69"/>
      <c r="AU211" s="69"/>
      <c r="AV211" s="69"/>
      <c r="AW211" s="69"/>
      <c r="AX211" s="68"/>
      <c r="AY211" s="69"/>
      <c r="AZ211" s="67"/>
      <c r="BA211" s="69"/>
      <c r="BB211" s="76"/>
      <c r="BC211" s="67"/>
      <c r="BD211" s="68"/>
      <c r="BE211" s="69"/>
      <c r="BF211" s="69"/>
      <c r="BG211" s="69"/>
      <c r="BH211" s="69"/>
      <c r="BI211" s="69"/>
      <c r="BJ211" s="68"/>
      <c r="BK211" s="69"/>
      <c r="BL211" s="67"/>
      <c r="BM211" s="67"/>
      <c r="BN211" s="56"/>
      <c r="BO211" s="56"/>
      <c r="BT211" s="63"/>
      <c r="BW211" s="56"/>
      <c r="BX211" s="56"/>
      <c r="BY211" s="56"/>
      <c r="BZ211" s="56"/>
      <c r="CA211" s="56"/>
      <c r="CF211" s="63"/>
      <c r="CI211" s="56"/>
      <c r="CJ211" s="56"/>
      <c r="CK211" s="56"/>
      <c r="CL211" s="56"/>
      <c r="CM211" s="56"/>
    </row>
    <row r="212" spans="18:93" ht="18" customHeight="1">
      <c r="R212" s="76"/>
      <c r="V212" s="170"/>
      <c r="W212" s="69"/>
      <c r="X212" s="69"/>
      <c r="Y212" s="69"/>
      <c r="AD212" s="76"/>
      <c r="AG212" s="69"/>
      <c r="AH212" s="69"/>
      <c r="AI212" s="69"/>
      <c r="AJ212" s="69"/>
      <c r="AK212" s="69"/>
      <c r="AP212" s="76"/>
      <c r="AQ212" s="67"/>
      <c r="AR212" s="68"/>
      <c r="AS212" s="69"/>
      <c r="AT212" s="69"/>
      <c r="AU212" s="69"/>
      <c r="AV212" s="69"/>
      <c r="AW212" s="69"/>
      <c r="AX212" s="68"/>
      <c r="AY212" s="69"/>
      <c r="AZ212" s="67"/>
      <c r="BA212" s="69"/>
      <c r="BB212" s="76"/>
      <c r="BC212" s="67"/>
      <c r="BD212" s="68"/>
      <c r="BE212" s="69"/>
      <c r="BF212" s="69"/>
      <c r="BG212" s="69"/>
      <c r="BH212" s="69"/>
      <c r="BI212" s="69"/>
      <c r="BJ212" s="68"/>
      <c r="BK212" s="69"/>
      <c r="BL212" s="67"/>
      <c r="BM212" s="67"/>
      <c r="BN212" s="56"/>
      <c r="BO212" s="56"/>
      <c r="BT212" s="63"/>
      <c r="BW212" s="56"/>
      <c r="BX212" s="56"/>
      <c r="BY212" s="56"/>
      <c r="BZ212" s="56"/>
      <c r="CA212" s="56"/>
      <c r="CF212" s="63"/>
      <c r="CI212" s="56"/>
      <c r="CJ212" s="56"/>
      <c r="CK212" s="56"/>
      <c r="CL212" s="56"/>
      <c r="CM212" s="56"/>
    </row>
    <row r="213" spans="18:93" ht="18" customHeight="1">
      <c r="R213" s="76"/>
      <c r="V213" s="170"/>
      <c r="W213" s="69"/>
      <c r="X213" s="69"/>
      <c r="Y213" s="69"/>
      <c r="AD213" s="76"/>
      <c r="AG213" s="69"/>
      <c r="AH213" s="69"/>
      <c r="AI213" s="69"/>
      <c r="AJ213" s="69"/>
      <c r="AK213" s="69"/>
      <c r="AP213" s="76"/>
      <c r="AQ213" s="67"/>
      <c r="AR213" s="68"/>
      <c r="AS213" s="69"/>
      <c r="AT213" s="69"/>
      <c r="AU213" s="69"/>
      <c r="AV213" s="69"/>
      <c r="AW213" s="69"/>
      <c r="AX213" s="68"/>
      <c r="AY213" s="69"/>
      <c r="AZ213" s="67"/>
      <c r="BA213" s="69"/>
      <c r="BB213" s="76"/>
      <c r="BC213" s="67"/>
      <c r="BD213" s="68"/>
      <c r="BE213" s="69"/>
      <c r="BF213" s="69"/>
      <c r="BG213" s="69"/>
      <c r="BH213" s="69"/>
      <c r="BI213" s="69"/>
      <c r="BJ213" s="68"/>
      <c r="BK213" s="69"/>
      <c r="BL213" s="67"/>
      <c r="BM213" s="67"/>
      <c r="BN213" s="56"/>
      <c r="BO213" s="56"/>
      <c r="BT213" s="63"/>
      <c r="BW213" s="56"/>
      <c r="BX213" s="56"/>
      <c r="BY213" s="56"/>
      <c r="BZ213" s="56"/>
      <c r="CA213" s="56"/>
      <c r="CF213" s="63"/>
      <c r="CI213" s="56"/>
      <c r="CJ213" s="56"/>
      <c r="CK213" s="56"/>
      <c r="CL213" s="56"/>
      <c r="CM213" s="56"/>
    </row>
    <row r="214" spans="18:93" ht="18" customHeight="1">
      <c r="AQ214" s="67"/>
      <c r="AR214" s="68"/>
      <c r="AS214" s="68"/>
      <c r="AT214" s="68"/>
      <c r="AU214" s="68"/>
      <c r="AV214" s="68"/>
      <c r="AW214" s="68"/>
      <c r="AX214" s="68"/>
      <c r="AY214" s="69"/>
      <c r="AZ214" s="67"/>
      <c r="BA214" s="68"/>
      <c r="BB214" s="67"/>
      <c r="BC214" s="67"/>
      <c r="BD214" s="68"/>
      <c r="BE214" s="68"/>
      <c r="BF214" s="68"/>
      <c r="BG214" s="68"/>
      <c r="BH214" s="68"/>
      <c r="BI214" s="68"/>
      <c r="BJ214" s="68"/>
      <c r="BK214" s="69"/>
      <c r="BL214" s="67"/>
      <c r="BM214" s="67"/>
    </row>
    <row r="215" spans="18:93" ht="18" customHeight="1">
      <c r="R215" s="76"/>
      <c r="S215" s="77"/>
      <c r="Y215" s="533"/>
      <c r="Z215" s="533"/>
      <c r="AA215" s="533"/>
      <c r="AD215" s="76"/>
      <c r="AE215" s="77"/>
      <c r="AK215" s="533"/>
      <c r="AL215" s="533"/>
      <c r="AM215" s="533"/>
      <c r="AP215" s="76"/>
      <c r="AQ215" s="77"/>
      <c r="AR215" s="68"/>
      <c r="AS215" s="68"/>
      <c r="AT215" s="68"/>
      <c r="AU215" s="68"/>
      <c r="AV215" s="68"/>
      <c r="AW215" s="533"/>
      <c r="AX215" s="533"/>
      <c r="AY215" s="533"/>
      <c r="AZ215" s="67"/>
      <c r="BA215" s="68"/>
      <c r="BB215" s="76"/>
      <c r="BC215" s="77"/>
      <c r="BD215" s="68"/>
      <c r="BE215" s="68"/>
      <c r="BF215" s="68"/>
      <c r="BG215" s="68"/>
      <c r="BH215" s="68"/>
      <c r="BI215" s="533"/>
      <c r="BJ215" s="533"/>
      <c r="BK215" s="533"/>
      <c r="BL215" s="67"/>
      <c r="BM215" s="67"/>
      <c r="BO215" s="531"/>
      <c r="BP215" s="531"/>
      <c r="BQ215" s="531"/>
      <c r="BT215" s="63"/>
      <c r="BU215" s="64"/>
      <c r="CA215" s="531"/>
      <c r="CB215" s="531"/>
      <c r="CC215" s="531"/>
      <c r="CF215" s="63"/>
      <c r="CG215" s="64"/>
      <c r="CM215" s="531"/>
      <c r="CN215" s="531"/>
      <c r="CO215" s="531"/>
    </row>
    <row r="216" spans="18:93" ht="18" customHeight="1">
      <c r="R216" s="76"/>
      <c r="V216" s="170"/>
      <c r="W216" s="69"/>
      <c r="X216" s="69"/>
      <c r="Y216" s="69"/>
      <c r="AD216" s="76"/>
      <c r="AG216" s="69"/>
      <c r="AH216" s="69"/>
      <c r="AI216" s="69"/>
      <c r="AJ216" s="69"/>
      <c r="AK216" s="69"/>
      <c r="AP216" s="76"/>
      <c r="AQ216" s="67"/>
      <c r="AR216" s="68"/>
      <c r="AS216" s="69"/>
      <c r="AT216" s="69"/>
      <c r="AU216" s="69"/>
      <c r="AV216" s="69"/>
      <c r="AW216" s="69"/>
      <c r="AX216" s="68"/>
      <c r="AY216" s="69"/>
      <c r="AZ216" s="67"/>
      <c r="BA216" s="69"/>
      <c r="BB216" s="76"/>
      <c r="BC216" s="67"/>
      <c r="BD216" s="68"/>
      <c r="BE216" s="69"/>
      <c r="BF216" s="69"/>
      <c r="BG216" s="69"/>
      <c r="BH216" s="69"/>
      <c r="BI216" s="69"/>
      <c r="BJ216" s="68"/>
      <c r="BK216" s="69"/>
      <c r="BL216" s="67"/>
      <c r="BM216" s="67"/>
      <c r="BN216" s="56"/>
      <c r="BO216" s="56"/>
      <c r="BT216" s="63"/>
      <c r="BW216" s="56"/>
      <c r="BX216" s="56"/>
      <c r="BY216" s="56"/>
      <c r="BZ216" s="56"/>
      <c r="CA216" s="56"/>
      <c r="CF216" s="63"/>
      <c r="CI216" s="56"/>
      <c r="CJ216" s="56"/>
      <c r="CK216" s="56"/>
      <c r="CL216" s="56"/>
      <c r="CM216" s="56"/>
    </row>
    <row r="217" spans="18:93" ht="18" customHeight="1">
      <c r="R217" s="76"/>
      <c r="V217" s="170"/>
      <c r="W217" s="69"/>
      <c r="X217" s="69"/>
      <c r="Y217" s="69"/>
      <c r="AD217" s="76"/>
      <c r="AG217" s="69"/>
      <c r="AH217" s="69"/>
      <c r="AI217" s="69"/>
      <c r="AJ217" s="69"/>
      <c r="AK217" s="69"/>
      <c r="AP217" s="76"/>
      <c r="AQ217" s="67"/>
      <c r="AR217" s="68"/>
      <c r="AS217" s="69"/>
      <c r="AT217" s="69"/>
      <c r="AU217" s="69"/>
      <c r="AV217" s="69"/>
      <c r="AW217" s="69"/>
      <c r="AX217" s="68"/>
      <c r="AY217" s="69"/>
      <c r="AZ217" s="67"/>
      <c r="BA217" s="69"/>
      <c r="BB217" s="76"/>
      <c r="BC217" s="67"/>
      <c r="BD217" s="68"/>
      <c r="BE217" s="69"/>
      <c r="BF217" s="69"/>
      <c r="BG217" s="69"/>
      <c r="BH217" s="69"/>
      <c r="BI217" s="69"/>
      <c r="BJ217" s="68"/>
      <c r="BK217" s="69"/>
      <c r="BL217" s="67"/>
      <c r="BM217" s="67"/>
      <c r="BN217" s="56"/>
      <c r="BO217" s="56"/>
      <c r="BT217" s="63"/>
      <c r="BW217" s="56"/>
      <c r="BX217" s="56"/>
      <c r="BY217" s="56"/>
      <c r="BZ217" s="56"/>
      <c r="CA217" s="56"/>
      <c r="CF217" s="63"/>
      <c r="CI217" s="56"/>
      <c r="CJ217" s="56"/>
      <c r="CK217" s="56"/>
      <c r="CL217" s="56"/>
      <c r="CM217" s="56"/>
    </row>
    <row r="218" spans="18:93" ht="18" customHeight="1">
      <c r="R218" s="76"/>
      <c r="V218" s="170"/>
      <c r="W218" s="69"/>
      <c r="X218" s="69"/>
      <c r="Y218" s="69"/>
      <c r="AD218" s="76"/>
      <c r="AG218" s="69"/>
      <c r="AH218" s="69"/>
      <c r="AI218" s="69"/>
      <c r="AJ218" s="69"/>
      <c r="AK218" s="69"/>
      <c r="AP218" s="76"/>
      <c r="AQ218" s="67"/>
      <c r="AR218" s="68"/>
      <c r="AS218" s="69"/>
      <c r="AT218" s="69"/>
      <c r="AU218" s="69"/>
      <c r="AV218" s="69"/>
      <c r="AW218" s="69"/>
      <c r="AX218" s="68"/>
      <c r="AY218" s="69"/>
      <c r="AZ218" s="67"/>
      <c r="BA218" s="69"/>
      <c r="BB218" s="76"/>
      <c r="BC218" s="67"/>
      <c r="BD218" s="68"/>
      <c r="BE218" s="69"/>
      <c r="BF218" s="69"/>
      <c r="BG218" s="69"/>
      <c r="BH218" s="69"/>
      <c r="BI218" s="69"/>
      <c r="BJ218" s="68"/>
      <c r="BK218" s="69"/>
      <c r="BL218" s="67"/>
      <c r="BM218" s="67"/>
      <c r="BN218" s="56"/>
      <c r="BO218" s="56"/>
      <c r="BT218" s="63"/>
      <c r="BW218" s="56"/>
      <c r="BX218" s="56"/>
      <c r="BY218" s="56"/>
      <c r="BZ218" s="56"/>
      <c r="CA218" s="56"/>
      <c r="CF218" s="63"/>
      <c r="CI218" s="56"/>
      <c r="CJ218" s="56"/>
      <c r="CK218" s="56"/>
      <c r="CL218" s="56"/>
      <c r="CM218" s="56"/>
    </row>
    <row r="219" spans="18:93" ht="18" customHeight="1">
      <c r="R219" s="76"/>
      <c r="V219" s="170"/>
      <c r="W219" s="69"/>
      <c r="X219" s="69"/>
      <c r="Y219" s="69"/>
      <c r="AD219" s="76"/>
      <c r="AG219" s="69"/>
      <c r="AH219" s="69"/>
      <c r="AI219" s="69"/>
      <c r="AJ219" s="69"/>
      <c r="AK219" s="69"/>
      <c r="AP219" s="76"/>
      <c r="AQ219" s="67"/>
      <c r="AR219" s="68"/>
      <c r="AS219" s="69"/>
      <c r="AT219" s="69"/>
      <c r="AU219" s="69"/>
      <c r="AV219" s="69"/>
      <c r="AW219" s="69"/>
      <c r="AX219" s="68"/>
      <c r="AY219" s="69"/>
      <c r="AZ219" s="67"/>
      <c r="BA219" s="69"/>
      <c r="BB219" s="76"/>
      <c r="BC219" s="67"/>
      <c r="BD219" s="68"/>
      <c r="BE219" s="69"/>
      <c r="BF219" s="69"/>
      <c r="BG219" s="69"/>
      <c r="BH219" s="69"/>
      <c r="BI219" s="69"/>
      <c r="BJ219" s="68"/>
      <c r="BK219" s="69"/>
      <c r="BL219" s="67"/>
      <c r="BM219" s="67"/>
      <c r="BN219" s="56"/>
      <c r="BO219" s="56"/>
      <c r="BT219" s="63"/>
      <c r="BW219" s="56"/>
      <c r="BX219" s="56"/>
      <c r="BY219" s="56"/>
      <c r="BZ219" s="56"/>
      <c r="CA219" s="56"/>
      <c r="CF219" s="63"/>
      <c r="CI219" s="56"/>
      <c r="CJ219" s="56"/>
      <c r="CK219" s="56"/>
      <c r="CL219" s="56"/>
      <c r="CM219" s="56"/>
    </row>
    <row r="220" spans="18:93" ht="18" customHeight="1">
      <c r="AQ220" s="67"/>
      <c r="AR220" s="68"/>
      <c r="AS220" s="68"/>
      <c r="AT220" s="68"/>
      <c r="AU220" s="68"/>
      <c r="AV220" s="68"/>
      <c r="AW220" s="68"/>
      <c r="AX220" s="68"/>
      <c r="AY220" s="69"/>
      <c r="AZ220" s="67"/>
      <c r="BA220" s="68"/>
      <c r="BB220" s="67"/>
      <c r="BC220" s="67"/>
      <c r="BD220" s="68"/>
      <c r="BE220" s="68"/>
      <c r="BF220" s="68"/>
      <c r="BG220" s="68"/>
      <c r="BH220" s="68"/>
      <c r="BI220" s="68"/>
      <c r="BJ220" s="68"/>
      <c r="BK220" s="69"/>
      <c r="BL220" s="67"/>
      <c r="BM220" s="67"/>
    </row>
    <row r="221" spans="18:93" ht="18" customHeight="1">
      <c r="R221" s="76"/>
      <c r="S221" s="77"/>
      <c r="Y221" s="533"/>
      <c r="Z221" s="533"/>
      <c r="AA221" s="533"/>
      <c r="AD221" s="76"/>
      <c r="AE221" s="77"/>
      <c r="AK221" s="533"/>
      <c r="AL221" s="533"/>
      <c r="AM221" s="533"/>
      <c r="AP221" s="76"/>
      <c r="AQ221" s="77"/>
      <c r="AR221" s="68"/>
      <c r="AS221" s="68"/>
      <c r="AT221" s="68"/>
      <c r="AU221" s="68"/>
      <c r="AV221" s="68"/>
      <c r="AW221" s="533"/>
      <c r="AX221" s="533"/>
      <c r="AY221" s="533"/>
      <c r="AZ221" s="67"/>
      <c r="BA221" s="68"/>
      <c r="BB221" s="76"/>
      <c r="BC221" s="77"/>
      <c r="BD221" s="68"/>
      <c r="BE221" s="68"/>
      <c r="BF221" s="68"/>
      <c r="BG221" s="68"/>
      <c r="BH221" s="68"/>
      <c r="BI221" s="533"/>
      <c r="BJ221" s="533"/>
      <c r="BK221" s="533"/>
      <c r="BL221" s="67"/>
      <c r="BM221" s="67"/>
      <c r="BO221" s="531"/>
      <c r="BP221" s="531"/>
      <c r="BQ221" s="531"/>
      <c r="BT221" s="63"/>
      <c r="BU221" s="64"/>
      <c r="CA221" s="531"/>
      <c r="CB221" s="531"/>
      <c r="CC221" s="531"/>
      <c r="CF221" s="63"/>
      <c r="CG221" s="64"/>
      <c r="CM221" s="531"/>
      <c r="CN221" s="531"/>
      <c r="CO221" s="531"/>
    </row>
    <row r="222" spans="18:93" ht="18" customHeight="1">
      <c r="R222" s="76"/>
      <c r="V222" s="170"/>
      <c r="W222" s="69"/>
      <c r="X222" s="69"/>
      <c r="Y222" s="69"/>
      <c r="AD222" s="76"/>
      <c r="AG222" s="69"/>
      <c r="AH222" s="69"/>
      <c r="AI222" s="69"/>
      <c r="AJ222" s="69"/>
      <c r="AK222" s="69"/>
      <c r="AP222" s="76"/>
      <c r="AQ222" s="67"/>
      <c r="AR222" s="68"/>
      <c r="AS222" s="69"/>
      <c r="AT222" s="69"/>
      <c r="AU222" s="69"/>
      <c r="AV222" s="69"/>
      <c r="AW222" s="69"/>
      <c r="AX222" s="68"/>
      <c r="AY222" s="69"/>
      <c r="AZ222" s="67"/>
      <c r="BA222" s="69"/>
      <c r="BB222" s="76"/>
      <c r="BC222" s="67"/>
      <c r="BD222" s="68"/>
      <c r="BE222" s="69"/>
      <c r="BF222" s="69"/>
      <c r="BG222" s="69"/>
      <c r="BH222" s="69"/>
      <c r="BI222" s="69"/>
      <c r="BJ222" s="68"/>
      <c r="BK222" s="69"/>
      <c r="BL222" s="67"/>
      <c r="BM222" s="67"/>
      <c r="BN222" s="56"/>
      <c r="BO222" s="56"/>
      <c r="BT222" s="63"/>
      <c r="BW222" s="56"/>
      <c r="BX222" s="56"/>
      <c r="BY222" s="56"/>
      <c r="BZ222" s="56"/>
      <c r="CA222" s="56"/>
      <c r="CF222" s="63"/>
      <c r="CI222" s="56"/>
      <c r="CJ222" s="56"/>
      <c r="CK222" s="56"/>
      <c r="CL222" s="56"/>
      <c r="CM222" s="56"/>
    </row>
    <row r="223" spans="18:93" ht="18" customHeight="1">
      <c r="R223" s="76"/>
      <c r="V223" s="170"/>
      <c r="W223" s="69"/>
      <c r="X223" s="69"/>
      <c r="Y223" s="69"/>
      <c r="AD223" s="76"/>
      <c r="AG223" s="69"/>
      <c r="AH223" s="69"/>
      <c r="AI223" s="69"/>
      <c r="AJ223" s="69"/>
      <c r="AK223" s="69"/>
      <c r="AP223" s="76"/>
      <c r="AQ223" s="67"/>
      <c r="AR223" s="68"/>
      <c r="AS223" s="69"/>
      <c r="AT223" s="69"/>
      <c r="AU223" s="69"/>
      <c r="AV223" s="69"/>
      <c r="AW223" s="69"/>
      <c r="AX223" s="68"/>
      <c r="AY223" s="69"/>
      <c r="AZ223" s="67"/>
      <c r="BA223" s="69"/>
      <c r="BB223" s="76"/>
      <c r="BC223" s="67"/>
      <c r="BD223" s="68"/>
      <c r="BE223" s="69"/>
      <c r="BF223" s="69"/>
      <c r="BG223" s="69"/>
      <c r="BH223" s="69"/>
      <c r="BI223" s="69"/>
      <c r="BJ223" s="68"/>
      <c r="BK223" s="69"/>
      <c r="BL223" s="67"/>
      <c r="BM223" s="67"/>
      <c r="BN223" s="56"/>
      <c r="BO223" s="56"/>
      <c r="BT223" s="63"/>
      <c r="BW223" s="56"/>
      <c r="BX223" s="56"/>
      <c r="BY223" s="56"/>
      <c r="BZ223" s="56"/>
      <c r="CA223" s="56"/>
      <c r="CF223" s="63"/>
      <c r="CI223" s="56"/>
      <c r="CJ223" s="56"/>
      <c r="CK223" s="56"/>
      <c r="CL223" s="56"/>
      <c r="CM223" s="56"/>
    </row>
    <row r="224" spans="18:93" ht="18" customHeight="1">
      <c r="R224" s="76"/>
      <c r="V224" s="170"/>
      <c r="W224" s="69"/>
      <c r="X224" s="69"/>
      <c r="Y224" s="69"/>
      <c r="AD224" s="76"/>
      <c r="AG224" s="69"/>
      <c r="AH224" s="69"/>
      <c r="AI224" s="69"/>
      <c r="AJ224" s="69"/>
      <c r="AK224" s="69"/>
      <c r="AP224" s="76"/>
      <c r="AQ224" s="67"/>
      <c r="AR224" s="68"/>
      <c r="AS224" s="69"/>
      <c r="AT224" s="69"/>
      <c r="AU224" s="69"/>
      <c r="AV224" s="69"/>
      <c r="AW224" s="69"/>
      <c r="AX224" s="68"/>
      <c r="AY224" s="69"/>
      <c r="AZ224" s="67"/>
      <c r="BA224" s="69"/>
      <c r="BB224" s="76"/>
      <c r="BC224" s="67"/>
      <c r="BD224" s="68"/>
      <c r="BE224" s="69"/>
      <c r="BF224" s="69"/>
      <c r="BG224" s="69"/>
      <c r="BH224" s="69"/>
      <c r="BI224" s="69"/>
      <c r="BJ224" s="68"/>
      <c r="BK224" s="69"/>
      <c r="BL224" s="67"/>
      <c r="BM224" s="67"/>
      <c r="BN224" s="56"/>
      <c r="BO224" s="56"/>
      <c r="BT224" s="63"/>
      <c r="BW224" s="56"/>
      <c r="BX224" s="56"/>
      <c r="BY224" s="56"/>
      <c r="BZ224" s="56"/>
      <c r="CA224" s="56"/>
      <c r="CF224" s="63"/>
      <c r="CI224" s="56"/>
      <c r="CJ224" s="56"/>
      <c r="CK224" s="56"/>
      <c r="CL224" s="56"/>
      <c r="CM224" s="56"/>
    </row>
    <row r="225" spans="18:93" ht="18" customHeight="1">
      <c r="R225" s="76"/>
      <c r="V225" s="170"/>
      <c r="W225" s="69"/>
      <c r="X225" s="69"/>
      <c r="Y225" s="69"/>
      <c r="AD225" s="76"/>
      <c r="AG225" s="69"/>
      <c r="AH225" s="69"/>
      <c r="AI225" s="69"/>
      <c r="AJ225" s="69"/>
      <c r="AK225" s="69"/>
      <c r="AP225" s="76"/>
      <c r="AQ225" s="67"/>
      <c r="AR225" s="68"/>
      <c r="AS225" s="69"/>
      <c r="AT225" s="69"/>
      <c r="AU225" s="69"/>
      <c r="AV225" s="69"/>
      <c r="AW225" s="69"/>
      <c r="AX225" s="68"/>
      <c r="AY225" s="69"/>
      <c r="AZ225" s="67"/>
      <c r="BA225" s="69"/>
      <c r="BB225" s="76"/>
      <c r="BC225" s="67"/>
      <c r="BD225" s="68"/>
      <c r="BE225" s="69"/>
      <c r="BF225" s="69"/>
      <c r="BG225" s="69"/>
      <c r="BH225" s="69"/>
      <c r="BI225" s="69"/>
      <c r="BJ225" s="68"/>
      <c r="BK225" s="69"/>
      <c r="BL225" s="67"/>
      <c r="BM225" s="67"/>
      <c r="BN225" s="56"/>
      <c r="BO225" s="56"/>
      <c r="BT225" s="63"/>
      <c r="BW225" s="56"/>
      <c r="BX225" s="56"/>
      <c r="BY225" s="56"/>
      <c r="BZ225" s="56"/>
      <c r="CA225" s="56"/>
      <c r="CF225" s="63"/>
      <c r="CI225" s="56"/>
      <c r="CJ225" s="56"/>
      <c r="CK225" s="56"/>
      <c r="CL225" s="56"/>
      <c r="CM225" s="56"/>
    </row>
    <row r="226" spans="18:93" ht="18" customHeight="1">
      <c r="AQ226" s="67"/>
      <c r="AR226" s="68"/>
      <c r="AS226" s="68"/>
      <c r="AT226" s="68"/>
      <c r="AU226" s="68"/>
      <c r="AV226" s="68"/>
      <c r="AW226" s="68"/>
      <c r="AX226" s="68"/>
      <c r="AY226" s="69"/>
      <c r="AZ226" s="67"/>
      <c r="BA226" s="68"/>
      <c r="BB226" s="67"/>
      <c r="BC226" s="67"/>
      <c r="BD226" s="68"/>
      <c r="BE226" s="68"/>
      <c r="BF226" s="68"/>
      <c r="BG226" s="68"/>
      <c r="BH226" s="68"/>
      <c r="BI226" s="68"/>
      <c r="BJ226" s="68"/>
      <c r="BK226" s="69"/>
      <c r="BL226" s="67"/>
      <c r="BM226" s="67"/>
    </row>
    <row r="227" spans="18:93" ht="18" customHeight="1">
      <c r="R227" s="76"/>
      <c r="S227" s="77"/>
      <c r="Y227" s="533"/>
      <c r="Z227" s="533"/>
      <c r="AA227" s="533"/>
      <c r="AD227" s="76"/>
      <c r="AE227" s="77"/>
      <c r="AK227" s="533"/>
      <c r="AL227" s="533"/>
      <c r="AM227" s="533"/>
      <c r="AP227" s="76"/>
      <c r="AQ227" s="77"/>
      <c r="AR227" s="68"/>
      <c r="AS227" s="68"/>
      <c r="AT227" s="68"/>
      <c r="AU227" s="68"/>
      <c r="AV227" s="68"/>
      <c r="AW227" s="533"/>
      <c r="AX227" s="533"/>
      <c r="AY227" s="533"/>
      <c r="AZ227" s="67"/>
      <c r="BA227" s="68"/>
      <c r="BB227" s="76"/>
      <c r="BC227" s="77"/>
      <c r="BD227" s="68"/>
      <c r="BE227" s="68"/>
      <c r="BF227" s="68"/>
      <c r="BG227" s="68"/>
      <c r="BH227" s="68"/>
      <c r="BI227" s="533"/>
      <c r="BJ227" s="533"/>
      <c r="BK227" s="533"/>
      <c r="BL227" s="67"/>
      <c r="BM227" s="67"/>
      <c r="BO227" s="531"/>
      <c r="BP227" s="531"/>
      <c r="BQ227" s="531"/>
      <c r="BT227" s="63"/>
      <c r="BU227" s="64"/>
      <c r="CA227" s="531"/>
      <c r="CB227" s="531"/>
      <c r="CC227" s="531"/>
      <c r="CF227" s="63"/>
      <c r="CG227" s="64"/>
      <c r="CM227" s="531"/>
      <c r="CN227" s="531"/>
      <c r="CO227" s="531"/>
    </row>
    <row r="228" spans="18:93" ht="18" customHeight="1">
      <c r="R228" s="76"/>
      <c r="V228" s="170"/>
      <c r="W228" s="69"/>
      <c r="X228" s="69"/>
      <c r="Y228" s="69"/>
      <c r="AD228" s="76"/>
      <c r="AG228" s="69"/>
      <c r="AH228" s="69"/>
      <c r="AI228" s="69"/>
      <c r="AJ228" s="69"/>
      <c r="AK228" s="69"/>
      <c r="AP228" s="76"/>
      <c r="AQ228" s="67"/>
      <c r="AR228" s="68"/>
      <c r="AS228" s="69"/>
      <c r="AT228" s="69"/>
      <c r="AU228" s="69"/>
      <c r="AV228" s="69"/>
      <c r="AW228" s="69"/>
      <c r="AX228" s="68"/>
      <c r="AY228" s="69"/>
      <c r="AZ228" s="67"/>
      <c r="BA228" s="69"/>
      <c r="BB228" s="76"/>
      <c r="BC228" s="67"/>
      <c r="BD228" s="68"/>
      <c r="BE228" s="69"/>
      <c r="BF228" s="69"/>
      <c r="BG228" s="69"/>
      <c r="BH228" s="69"/>
      <c r="BI228" s="69"/>
      <c r="BJ228" s="68"/>
      <c r="BK228" s="69"/>
      <c r="BL228" s="67"/>
      <c r="BM228" s="67"/>
      <c r="BN228" s="56"/>
      <c r="BO228" s="56"/>
      <c r="BT228" s="63"/>
      <c r="BW228" s="56"/>
      <c r="BX228" s="56"/>
      <c r="BY228" s="56"/>
      <c r="BZ228" s="56"/>
      <c r="CA228" s="56"/>
      <c r="CF228" s="63"/>
      <c r="CI228" s="56"/>
      <c r="CJ228" s="56"/>
      <c r="CK228" s="56"/>
      <c r="CL228" s="56"/>
      <c r="CM228" s="56"/>
    </row>
    <row r="229" spans="18:93" ht="18" customHeight="1">
      <c r="R229" s="76"/>
      <c r="V229" s="170"/>
      <c r="W229" s="69"/>
      <c r="X229" s="69"/>
      <c r="Y229" s="69"/>
      <c r="AD229" s="76"/>
      <c r="AG229" s="69"/>
      <c r="AH229" s="69"/>
      <c r="AI229" s="69"/>
      <c r="AJ229" s="69"/>
      <c r="AK229" s="69"/>
      <c r="AP229" s="76"/>
      <c r="AQ229" s="67"/>
      <c r="AR229" s="68"/>
      <c r="AS229" s="69"/>
      <c r="AT229" s="69"/>
      <c r="AU229" s="69"/>
      <c r="AV229" s="69"/>
      <c r="AW229" s="69"/>
      <c r="AX229" s="68"/>
      <c r="AY229" s="69"/>
      <c r="AZ229" s="67"/>
      <c r="BA229" s="69"/>
      <c r="BB229" s="76"/>
      <c r="BC229" s="67"/>
      <c r="BD229" s="68"/>
      <c r="BE229" s="69"/>
      <c r="BF229" s="69"/>
      <c r="BG229" s="69"/>
      <c r="BH229" s="69"/>
      <c r="BI229" s="69"/>
      <c r="BJ229" s="68"/>
      <c r="BK229" s="69"/>
      <c r="BL229" s="67"/>
      <c r="BM229" s="67"/>
      <c r="BN229" s="56"/>
      <c r="BO229" s="56"/>
      <c r="BT229" s="63"/>
      <c r="BW229" s="56"/>
      <c r="BX229" s="56"/>
      <c r="BY229" s="56"/>
      <c r="BZ229" s="56"/>
      <c r="CA229" s="56"/>
      <c r="CF229" s="63"/>
      <c r="CI229" s="56"/>
      <c r="CJ229" s="56"/>
      <c r="CK229" s="56"/>
      <c r="CL229" s="56"/>
      <c r="CM229" s="56"/>
    </row>
    <row r="230" spans="18:93" ht="18" customHeight="1">
      <c r="R230" s="76"/>
      <c r="V230" s="170"/>
      <c r="W230" s="69"/>
      <c r="X230" s="69"/>
      <c r="Y230" s="69"/>
      <c r="AD230" s="76"/>
      <c r="AG230" s="69"/>
      <c r="AH230" s="69"/>
      <c r="AI230" s="69"/>
      <c r="AJ230" s="69"/>
      <c r="AK230" s="69"/>
      <c r="AP230" s="76"/>
      <c r="AQ230" s="67"/>
      <c r="AR230" s="68"/>
      <c r="AS230" s="69"/>
      <c r="AT230" s="69"/>
      <c r="AU230" s="69"/>
      <c r="AV230" s="69"/>
      <c r="AW230" s="69"/>
      <c r="AX230" s="68"/>
      <c r="AY230" s="69"/>
      <c r="AZ230" s="67"/>
      <c r="BA230" s="69"/>
      <c r="BB230" s="76"/>
      <c r="BC230" s="67"/>
      <c r="BD230" s="68"/>
      <c r="BE230" s="69"/>
      <c r="BF230" s="69"/>
      <c r="BG230" s="69"/>
      <c r="BH230" s="69"/>
      <c r="BI230" s="69"/>
      <c r="BJ230" s="68"/>
      <c r="BK230" s="69"/>
      <c r="BL230" s="67"/>
      <c r="BM230" s="67"/>
      <c r="BN230" s="56"/>
      <c r="BO230" s="56"/>
      <c r="BT230" s="63"/>
      <c r="BW230" s="56"/>
      <c r="BX230" s="56"/>
      <c r="BY230" s="56"/>
      <c r="BZ230" s="56"/>
      <c r="CA230" s="56"/>
      <c r="CF230" s="63"/>
      <c r="CI230" s="56"/>
      <c r="CJ230" s="56"/>
      <c r="CK230" s="56"/>
      <c r="CL230" s="56"/>
      <c r="CM230" s="56"/>
    </row>
    <row r="231" spans="18:93" ht="18" customHeight="1">
      <c r="R231" s="76"/>
      <c r="V231" s="170"/>
      <c r="W231" s="69"/>
      <c r="X231" s="69"/>
      <c r="Y231" s="69"/>
      <c r="AD231" s="76"/>
      <c r="AG231" s="69"/>
      <c r="AH231" s="69"/>
      <c r="AI231" s="69"/>
      <c r="AJ231" s="69"/>
      <c r="AK231" s="69"/>
      <c r="AP231" s="76"/>
      <c r="AQ231" s="67"/>
      <c r="AR231" s="68"/>
      <c r="AS231" s="69"/>
      <c r="AT231" s="69"/>
      <c r="AU231" s="69"/>
      <c r="AV231" s="69"/>
      <c r="AW231" s="69"/>
      <c r="AX231" s="68"/>
      <c r="AY231" s="69"/>
      <c r="AZ231" s="67"/>
      <c r="BA231" s="69"/>
      <c r="BB231" s="76"/>
      <c r="BC231" s="67"/>
      <c r="BD231" s="68"/>
      <c r="BE231" s="69"/>
      <c r="BF231" s="69"/>
      <c r="BG231" s="69"/>
      <c r="BH231" s="69"/>
      <c r="BI231" s="69"/>
      <c r="BJ231" s="68"/>
      <c r="BK231" s="69"/>
      <c r="BL231" s="67"/>
      <c r="BM231" s="67"/>
      <c r="BN231" s="56"/>
      <c r="BO231" s="56"/>
      <c r="BT231" s="63"/>
      <c r="BW231" s="56"/>
      <c r="BX231" s="56"/>
      <c r="BY231" s="56"/>
      <c r="BZ231" s="56"/>
      <c r="CA231" s="56"/>
      <c r="CF231" s="63"/>
      <c r="CI231" s="56"/>
      <c r="CJ231" s="56"/>
      <c r="CK231" s="56"/>
      <c r="CL231" s="56"/>
      <c r="CM231" s="56"/>
    </row>
    <row r="232" spans="18:93" ht="18" customHeight="1">
      <c r="AQ232" s="67"/>
      <c r="AR232" s="68"/>
      <c r="AS232" s="68"/>
      <c r="AT232" s="68"/>
      <c r="AU232" s="68"/>
      <c r="AV232" s="68"/>
      <c r="AW232" s="68"/>
      <c r="AX232" s="68"/>
      <c r="AY232" s="69"/>
      <c r="AZ232" s="67"/>
      <c r="BA232" s="68"/>
      <c r="BB232" s="67"/>
      <c r="BC232" s="67"/>
      <c r="BD232" s="68"/>
      <c r="BE232" s="68"/>
      <c r="BF232" s="68"/>
      <c r="BG232" s="68"/>
      <c r="BH232" s="68"/>
      <c r="BI232" s="68"/>
      <c r="BJ232" s="68"/>
      <c r="BK232" s="69"/>
      <c r="BL232" s="67"/>
      <c r="BM232" s="67"/>
    </row>
    <row r="233" spans="18:93" ht="18" customHeight="1">
      <c r="R233" s="76"/>
      <c r="S233" s="77"/>
      <c r="Y233" s="533"/>
      <c r="Z233" s="533"/>
      <c r="AA233" s="533"/>
      <c r="AD233" s="76"/>
      <c r="AE233" s="77"/>
      <c r="AK233" s="533"/>
      <c r="AL233" s="533"/>
      <c r="AM233" s="533"/>
      <c r="AP233" s="76"/>
      <c r="AQ233" s="77"/>
      <c r="AR233" s="68"/>
      <c r="AS233" s="68"/>
      <c r="AT233" s="68"/>
      <c r="AU233" s="68"/>
      <c r="AV233" s="68"/>
      <c r="AW233" s="533"/>
      <c r="AX233" s="533"/>
      <c r="AY233" s="533"/>
      <c r="AZ233" s="67"/>
      <c r="BA233" s="68"/>
      <c r="BB233" s="76"/>
      <c r="BC233" s="77"/>
      <c r="BD233" s="68"/>
      <c r="BE233" s="68"/>
      <c r="BF233" s="68"/>
      <c r="BG233" s="68"/>
      <c r="BH233" s="68"/>
      <c r="BI233" s="533"/>
      <c r="BJ233" s="533"/>
      <c r="BK233" s="533"/>
      <c r="BL233" s="67"/>
      <c r="BM233" s="67"/>
      <c r="BO233" s="531"/>
      <c r="BP233" s="531"/>
      <c r="BQ233" s="531"/>
      <c r="BT233" s="63"/>
      <c r="BU233" s="64"/>
      <c r="CA233" s="531"/>
      <c r="CB233" s="531"/>
      <c r="CC233" s="531"/>
      <c r="CF233" s="63"/>
      <c r="CG233" s="64"/>
      <c r="CM233" s="531"/>
      <c r="CN233" s="531"/>
      <c r="CO233" s="531"/>
    </row>
    <row r="234" spans="18:93" ht="18" customHeight="1">
      <c r="R234" s="76"/>
      <c r="V234" s="170"/>
      <c r="W234" s="69"/>
      <c r="X234" s="69"/>
      <c r="Y234" s="69"/>
      <c r="AD234" s="76"/>
      <c r="AG234" s="69"/>
      <c r="AH234" s="69"/>
      <c r="AI234" s="69"/>
      <c r="AJ234" s="69"/>
      <c r="AK234" s="69"/>
      <c r="AP234" s="76"/>
      <c r="AQ234" s="67"/>
      <c r="AR234" s="68"/>
      <c r="AS234" s="69"/>
      <c r="AT234" s="69"/>
      <c r="AU234" s="69"/>
      <c r="AV234" s="69"/>
      <c r="AW234" s="69"/>
      <c r="AX234" s="68"/>
      <c r="AY234" s="69"/>
      <c r="AZ234" s="67"/>
      <c r="BA234" s="69"/>
      <c r="BB234" s="76"/>
      <c r="BC234" s="67"/>
      <c r="BD234" s="68"/>
      <c r="BE234" s="69"/>
      <c r="BF234" s="69"/>
      <c r="BG234" s="69"/>
      <c r="BH234" s="69"/>
      <c r="BI234" s="69"/>
      <c r="BJ234" s="68"/>
      <c r="BK234" s="69"/>
      <c r="BL234" s="67"/>
      <c r="BM234" s="67"/>
      <c r="BN234" s="56"/>
      <c r="BO234" s="56"/>
      <c r="BT234" s="63"/>
      <c r="BW234" s="56"/>
      <c r="BX234" s="56"/>
      <c r="BY234" s="56"/>
      <c r="BZ234" s="56"/>
      <c r="CA234" s="56"/>
      <c r="CF234" s="63"/>
      <c r="CI234" s="56"/>
      <c r="CJ234" s="56"/>
      <c r="CK234" s="56"/>
      <c r="CL234" s="56"/>
      <c r="CM234" s="56"/>
    </row>
    <row r="235" spans="18:93" ht="18" customHeight="1">
      <c r="R235" s="76"/>
      <c r="V235" s="170"/>
      <c r="W235" s="69"/>
      <c r="X235" s="69"/>
      <c r="Y235" s="69"/>
      <c r="AD235" s="76"/>
      <c r="AG235" s="69"/>
      <c r="AH235" s="69"/>
      <c r="AI235" s="69"/>
      <c r="AJ235" s="69"/>
      <c r="AK235" s="69"/>
      <c r="AP235" s="76"/>
      <c r="AQ235" s="67"/>
      <c r="AR235" s="68"/>
      <c r="AS235" s="69"/>
      <c r="AT235" s="69"/>
      <c r="AU235" s="69"/>
      <c r="AV235" s="69"/>
      <c r="AW235" s="69"/>
      <c r="AX235" s="68"/>
      <c r="AY235" s="69"/>
      <c r="AZ235" s="67"/>
      <c r="BA235" s="69"/>
      <c r="BB235" s="76"/>
      <c r="BC235" s="67"/>
      <c r="BD235" s="68"/>
      <c r="BE235" s="69"/>
      <c r="BF235" s="69"/>
      <c r="BG235" s="69"/>
      <c r="BH235" s="69"/>
      <c r="BI235" s="69"/>
      <c r="BJ235" s="68"/>
      <c r="BK235" s="69"/>
      <c r="BL235" s="67"/>
      <c r="BM235" s="67"/>
      <c r="BN235" s="56"/>
      <c r="BO235" s="56"/>
      <c r="BT235" s="63"/>
      <c r="BW235" s="56"/>
      <c r="BX235" s="56"/>
      <c r="BY235" s="56"/>
      <c r="BZ235" s="56"/>
      <c r="CA235" s="56"/>
      <c r="CF235" s="63"/>
      <c r="CI235" s="56"/>
      <c r="CJ235" s="56"/>
      <c r="CK235" s="56"/>
      <c r="CL235" s="56"/>
      <c r="CM235" s="56"/>
    </row>
    <row r="236" spans="18:93" ht="18" customHeight="1">
      <c r="R236" s="76"/>
      <c r="V236" s="170"/>
      <c r="W236" s="69"/>
      <c r="X236" s="69"/>
      <c r="Y236" s="69"/>
      <c r="AD236" s="76"/>
      <c r="AG236" s="69"/>
      <c r="AH236" s="69"/>
      <c r="AI236" s="69"/>
      <c r="AJ236" s="69"/>
      <c r="AK236" s="69"/>
      <c r="AP236" s="76"/>
      <c r="AQ236" s="67"/>
      <c r="AR236" s="68"/>
      <c r="AS236" s="69"/>
      <c r="AT236" s="69"/>
      <c r="AU236" s="69"/>
      <c r="AV236" s="69"/>
      <c r="AW236" s="69"/>
      <c r="AX236" s="68"/>
      <c r="AY236" s="69"/>
      <c r="AZ236" s="67"/>
      <c r="BA236" s="69"/>
      <c r="BB236" s="76"/>
      <c r="BC236" s="67"/>
      <c r="BD236" s="68"/>
      <c r="BE236" s="69"/>
      <c r="BF236" s="69"/>
      <c r="BG236" s="69"/>
      <c r="BH236" s="69"/>
      <c r="BI236" s="69"/>
      <c r="BJ236" s="68"/>
      <c r="BK236" s="69"/>
      <c r="BL236" s="67"/>
      <c r="BM236" s="67"/>
      <c r="BN236" s="56"/>
      <c r="BO236" s="56"/>
      <c r="BT236" s="63"/>
      <c r="BW236" s="56"/>
      <c r="BX236" s="56"/>
      <c r="BY236" s="56"/>
      <c r="BZ236" s="56"/>
      <c r="CA236" s="56"/>
      <c r="CF236" s="63"/>
      <c r="CI236" s="56"/>
      <c r="CJ236" s="56"/>
      <c r="CK236" s="56"/>
      <c r="CL236" s="56"/>
      <c r="CM236" s="56"/>
    </row>
    <row r="237" spans="18:93" ht="18" customHeight="1">
      <c r="R237" s="76"/>
      <c r="V237" s="170"/>
      <c r="W237" s="69"/>
      <c r="X237" s="69"/>
      <c r="Y237" s="69"/>
      <c r="AD237" s="76"/>
      <c r="AG237" s="69"/>
      <c r="AH237" s="69"/>
      <c r="AI237" s="69"/>
      <c r="AJ237" s="69"/>
      <c r="AK237" s="69"/>
      <c r="AP237" s="76"/>
      <c r="AQ237" s="67"/>
      <c r="AR237" s="68"/>
      <c r="AS237" s="69"/>
      <c r="AT237" s="69"/>
      <c r="AU237" s="69"/>
      <c r="AV237" s="69"/>
      <c r="AW237" s="69"/>
      <c r="AX237" s="68"/>
      <c r="AY237" s="69"/>
      <c r="AZ237" s="67"/>
      <c r="BA237" s="69"/>
      <c r="BB237" s="76"/>
      <c r="BC237" s="67"/>
      <c r="BD237" s="68"/>
      <c r="BE237" s="69"/>
      <c r="BF237" s="69"/>
      <c r="BG237" s="69"/>
      <c r="BH237" s="69"/>
      <c r="BI237" s="69"/>
      <c r="BJ237" s="68"/>
      <c r="BK237" s="69"/>
      <c r="BL237" s="67"/>
      <c r="BM237" s="67"/>
      <c r="BN237" s="56"/>
      <c r="BO237" s="56"/>
      <c r="BT237" s="63"/>
      <c r="BW237" s="56"/>
      <c r="BX237" s="56"/>
      <c r="BY237" s="56"/>
      <c r="BZ237" s="56"/>
      <c r="CA237" s="56"/>
      <c r="CF237" s="63"/>
      <c r="CI237" s="56"/>
      <c r="CJ237" s="56"/>
      <c r="CK237" s="56"/>
      <c r="CL237" s="56"/>
      <c r="CM237" s="56"/>
    </row>
    <row r="238" spans="18:93" ht="18" customHeight="1">
      <c r="AQ238" s="67"/>
      <c r="AR238" s="68"/>
      <c r="AS238" s="68"/>
      <c r="AT238" s="68"/>
      <c r="AU238" s="68"/>
      <c r="AV238" s="68"/>
      <c r="AW238" s="68"/>
      <c r="AX238" s="68"/>
      <c r="AY238" s="69"/>
      <c r="AZ238" s="67"/>
      <c r="BA238" s="68"/>
      <c r="BB238" s="67"/>
      <c r="BC238" s="67"/>
      <c r="BD238" s="68"/>
      <c r="BE238" s="68"/>
      <c r="BF238" s="68"/>
      <c r="BG238" s="68"/>
      <c r="BH238" s="68"/>
      <c r="BI238" s="68"/>
      <c r="BJ238" s="68"/>
      <c r="BK238" s="69"/>
      <c r="BL238" s="67"/>
      <c r="BM238" s="67"/>
    </row>
    <row r="239" spans="18:93" ht="18" customHeight="1">
      <c r="R239" s="76"/>
      <c r="S239" s="77"/>
      <c r="Y239" s="533"/>
      <c r="Z239" s="533"/>
      <c r="AA239" s="533"/>
      <c r="AD239" s="76"/>
      <c r="AE239" s="77"/>
      <c r="AK239" s="533"/>
      <c r="AL239" s="533"/>
      <c r="AM239" s="533"/>
      <c r="AP239" s="76"/>
      <c r="AQ239" s="77"/>
      <c r="AR239" s="68"/>
      <c r="AS239" s="68"/>
      <c r="AT239" s="68"/>
      <c r="AU239" s="68"/>
      <c r="AV239" s="68"/>
      <c r="AW239" s="533"/>
      <c r="AX239" s="533"/>
      <c r="AY239" s="533"/>
      <c r="AZ239" s="67"/>
      <c r="BA239" s="68"/>
      <c r="BB239" s="76"/>
      <c r="BC239" s="77"/>
      <c r="BD239" s="68"/>
      <c r="BE239" s="68"/>
      <c r="BF239" s="68"/>
      <c r="BG239" s="68"/>
      <c r="BH239" s="68"/>
      <c r="BI239" s="533"/>
      <c r="BJ239" s="533"/>
      <c r="BK239" s="533"/>
      <c r="BL239" s="67"/>
      <c r="BM239" s="67"/>
      <c r="BO239" s="531"/>
      <c r="BP239" s="531"/>
      <c r="BQ239" s="531"/>
      <c r="BT239" s="63"/>
      <c r="BU239" s="64"/>
      <c r="CA239" s="531"/>
      <c r="CB239" s="531"/>
      <c r="CC239" s="531"/>
      <c r="CF239" s="63"/>
      <c r="CG239" s="64"/>
      <c r="CM239" s="531"/>
      <c r="CN239" s="531"/>
      <c r="CO239" s="531"/>
    </row>
    <row r="240" spans="18:93" ht="18" customHeight="1">
      <c r="R240" s="76"/>
      <c r="V240" s="170"/>
      <c r="W240" s="69"/>
      <c r="X240" s="69"/>
      <c r="Y240" s="69"/>
      <c r="AD240" s="76"/>
      <c r="AG240" s="69"/>
      <c r="AH240" s="69"/>
      <c r="AI240" s="69"/>
      <c r="AJ240" s="69"/>
      <c r="AK240" s="69"/>
      <c r="AP240" s="76"/>
      <c r="AQ240" s="67"/>
      <c r="AR240" s="68"/>
      <c r="AS240" s="69"/>
      <c r="AT240" s="69"/>
      <c r="AU240" s="69"/>
      <c r="AV240" s="69"/>
      <c r="AW240" s="69"/>
      <c r="AX240" s="68"/>
      <c r="AY240" s="69"/>
      <c r="AZ240" s="67"/>
      <c r="BA240" s="69"/>
      <c r="BB240" s="76"/>
      <c r="BC240" s="67"/>
      <c r="BD240" s="68"/>
      <c r="BE240" s="69"/>
      <c r="BF240" s="69"/>
      <c r="BG240" s="69"/>
      <c r="BH240" s="69"/>
      <c r="BI240" s="69"/>
      <c r="BJ240" s="68"/>
      <c r="BK240" s="69"/>
      <c r="BL240" s="67"/>
      <c r="BM240" s="67"/>
      <c r="BN240" s="56"/>
      <c r="BO240" s="56"/>
      <c r="BT240" s="63"/>
      <c r="BW240" s="56"/>
      <c r="BX240" s="56"/>
      <c r="BY240" s="56"/>
      <c r="BZ240" s="56"/>
      <c r="CA240" s="56"/>
      <c r="CF240" s="63"/>
      <c r="CI240" s="56"/>
      <c r="CJ240" s="56"/>
      <c r="CK240" s="56"/>
      <c r="CL240" s="56"/>
      <c r="CM240" s="56"/>
    </row>
    <row r="241" spans="18:93" ht="18" customHeight="1">
      <c r="R241" s="76"/>
      <c r="V241" s="170"/>
      <c r="W241" s="69"/>
      <c r="X241" s="69"/>
      <c r="Y241" s="69"/>
      <c r="AD241" s="76"/>
      <c r="AG241" s="69"/>
      <c r="AH241" s="69"/>
      <c r="AI241" s="69"/>
      <c r="AJ241" s="69"/>
      <c r="AK241" s="69"/>
      <c r="AP241" s="76"/>
      <c r="AQ241" s="67"/>
      <c r="AR241" s="68"/>
      <c r="AS241" s="69"/>
      <c r="AT241" s="69"/>
      <c r="AU241" s="69"/>
      <c r="AV241" s="69"/>
      <c r="AW241" s="69"/>
      <c r="AX241" s="68"/>
      <c r="AY241" s="69"/>
      <c r="AZ241" s="67"/>
      <c r="BA241" s="69"/>
      <c r="BB241" s="76"/>
      <c r="BC241" s="67"/>
      <c r="BD241" s="68"/>
      <c r="BE241" s="69"/>
      <c r="BF241" s="69"/>
      <c r="BG241" s="69"/>
      <c r="BH241" s="69"/>
      <c r="BI241" s="69"/>
      <c r="BJ241" s="68"/>
      <c r="BK241" s="69"/>
      <c r="BL241" s="67"/>
      <c r="BM241" s="67"/>
      <c r="BN241" s="56"/>
      <c r="BO241" s="56"/>
      <c r="BT241" s="63"/>
      <c r="BW241" s="56"/>
      <c r="BX241" s="56"/>
      <c r="BY241" s="56"/>
      <c r="BZ241" s="56"/>
      <c r="CA241" s="56"/>
      <c r="CF241" s="63"/>
      <c r="CI241" s="56"/>
      <c r="CJ241" s="56"/>
      <c r="CK241" s="56"/>
      <c r="CL241" s="56"/>
      <c r="CM241" s="56"/>
    </row>
    <row r="242" spans="18:93" ht="18" customHeight="1">
      <c r="R242" s="76"/>
      <c r="V242" s="170"/>
      <c r="W242" s="69"/>
      <c r="X242" s="69"/>
      <c r="Y242" s="69"/>
      <c r="AD242" s="76"/>
      <c r="AG242" s="69"/>
      <c r="AH242" s="69"/>
      <c r="AI242" s="69"/>
      <c r="AJ242" s="69"/>
      <c r="AK242" s="69"/>
      <c r="AP242" s="76"/>
      <c r="AQ242" s="67"/>
      <c r="AR242" s="68"/>
      <c r="AS242" s="69"/>
      <c r="AT242" s="69"/>
      <c r="AU242" s="69"/>
      <c r="AV242" s="69"/>
      <c r="AW242" s="69"/>
      <c r="AX242" s="68"/>
      <c r="AY242" s="69"/>
      <c r="AZ242" s="67"/>
      <c r="BA242" s="69"/>
      <c r="BB242" s="76"/>
      <c r="BC242" s="67"/>
      <c r="BD242" s="68"/>
      <c r="BE242" s="69"/>
      <c r="BF242" s="69"/>
      <c r="BG242" s="69"/>
      <c r="BH242" s="69"/>
      <c r="BI242" s="69"/>
      <c r="BJ242" s="68"/>
      <c r="BK242" s="69"/>
      <c r="BL242" s="67"/>
      <c r="BM242" s="67"/>
      <c r="BN242" s="56"/>
      <c r="BO242" s="56"/>
      <c r="BT242" s="63"/>
      <c r="BW242" s="56"/>
      <c r="BX242" s="56"/>
      <c r="BY242" s="56"/>
      <c r="BZ242" s="56"/>
      <c r="CA242" s="56"/>
      <c r="CF242" s="63"/>
      <c r="CI242" s="56"/>
      <c r="CJ242" s="56"/>
      <c r="CK242" s="56"/>
      <c r="CL242" s="56"/>
      <c r="CM242" s="56"/>
    </row>
    <row r="243" spans="18:93" ht="18" customHeight="1">
      <c r="R243" s="76"/>
      <c r="V243" s="170"/>
      <c r="W243" s="69"/>
      <c r="X243" s="69"/>
      <c r="Y243" s="69"/>
      <c r="AD243" s="76"/>
      <c r="AG243" s="69"/>
      <c r="AH243" s="69"/>
      <c r="AI243" s="69"/>
      <c r="AJ243" s="69"/>
      <c r="AK243" s="69"/>
      <c r="AP243" s="76"/>
      <c r="AQ243" s="67"/>
      <c r="AR243" s="68"/>
      <c r="AS243" s="69"/>
      <c r="AT243" s="69"/>
      <c r="AU243" s="69"/>
      <c r="AV243" s="69"/>
      <c r="AW243" s="69"/>
      <c r="AX243" s="68"/>
      <c r="AY243" s="69"/>
      <c r="AZ243" s="67"/>
      <c r="BA243" s="69"/>
      <c r="BB243" s="76"/>
      <c r="BC243" s="67"/>
      <c r="BD243" s="68"/>
      <c r="BE243" s="69"/>
      <c r="BF243" s="69"/>
      <c r="BG243" s="69"/>
      <c r="BH243" s="69"/>
      <c r="BI243" s="69"/>
      <c r="BJ243" s="68"/>
      <c r="BK243" s="69"/>
      <c r="BL243" s="67"/>
      <c r="BM243" s="67"/>
      <c r="BN243" s="56"/>
      <c r="BO243" s="56"/>
      <c r="BT243" s="63"/>
      <c r="BW243" s="56"/>
      <c r="BX243" s="56"/>
      <c r="BY243" s="56"/>
      <c r="BZ243" s="56"/>
      <c r="CA243" s="56"/>
      <c r="CF243" s="63"/>
      <c r="CI243" s="56"/>
      <c r="CJ243" s="56"/>
      <c r="CK243" s="56"/>
      <c r="CL243" s="56"/>
      <c r="CM243" s="56"/>
    </row>
    <row r="244" spans="18:93" ht="18" customHeight="1">
      <c r="AQ244" s="67"/>
      <c r="AR244" s="68"/>
      <c r="AS244" s="68"/>
      <c r="AT244" s="68"/>
      <c r="AU244" s="68"/>
      <c r="AV244" s="68"/>
      <c r="AW244" s="68"/>
      <c r="AX244" s="68"/>
      <c r="AY244" s="69"/>
      <c r="AZ244" s="67"/>
      <c r="BA244" s="68"/>
      <c r="BB244" s="67"/>
      <c r="BC244" s="67"/>
      <c r="BD244" s="68"/>
      <c r="BE244" s="68"/>
      <c r="BF244" s="68"/>
      <c r="BG244" s="68"/>
      <c r="BH244" s="68"/>
      <c r="BI244" s="68"/>
      <c r="BJ244" s="68"/>
      <c r="BK244" s="69"/>
      <c r="BL244" s="67"/>
      <c r="BM244" s="67"/>
    </row>
    <row r="245" spans="18:93" ht="18" customHeight="1">
      <c r="R245" s="76"/>
      <c r="S245" s="77"/>
      <c r="Y245" s="533"/>
      <c r="Z245" s="533"/>
      <c r="AA245" s="533"/>
      <c r="AD245" s="76"/>
      <c r="AE245" s="77"/>
      <c r="AK245" s="533"/>
      <c r="AL245" s="533"/>
      <c r="AM245" s="533"/>
      <c r="AP245" s="76"/>
      <c r="AQ245" s="77"/>
      <c r="AR245" s="68"/>
      <c r="AS245" s="68"/>
      <c r="AT245" s="68"/>
      <c r="AU245" s="68"/>
      <c r="AV245" s="68"/>
      <c r="AW245" s="533"/>
      <c r="AX245" s="533"/>
      <c r="AY245" s="533"/>
      <c r="AZ245" s="67"/>
      <c r="BA245" s="68"/>
      <c r="BB245" s="76"/>
      <c r="BC245" s="77"/>
      <c r="BD245" s="68"/>
      <c r="BE245" s="68"/>
      <c r="BF245" s="68"/>
      <c r="BG245" s="68"/>
      <c r="BH245" s="68"/>
      <c r="BI245" s="533"/>
      <c r="BJ245" s="533"/>
      <c r="BK245" s="533"/>
      <c r="BL245" s="67"/>
      <c r="BM245" s="67"/>
      <c r="BO245" s="531"/>
      <c r="BP245" s="531"/>
      <c r="BQ245" s="531"/>
      <c r="BT245" s="63"/>
      <c r="BU245" s="64"/>
      <c r="CA245" s="531"/>
      <c r="CB245" s="531"/>
      <c r="CC245" s="531"/>
      <c r="CF245" s="63"/>
      <c r="CG245" s="64"/>
      <c r="CM245" s="531"/>
      <c r="CN245" s="531"/>
      <c r="CO245" s="531"/>
    </row>
    <row r="246" spans="18:93" ht="18" customHeight="1">
      <c r="R246" s="76"/>
      <c r="V246" s="170"/>
      <c r="W246" s="69"/>
      <c r="X246" s="69"/>
      <c r="Y246" s="69"/>
      <c r="AD246" s="76"/>
      <c r="AG246" s="69"/>
      <c r="AH246" s="69"/>
      <c r="AI246" s="69"/>
      <c r="AJ246" s="69"/>
      <c r="AK246" s="69"/>
      <c r="AP246" s="76"/>
      <c r="AQ246" s="67"/>
      <c r="AR246" s="68"/>
      <c r="AS246" s="69"/>
      <c r="AT246" s="69"/>
      <c r="AU246" s="69"/>
      <c r="AV246" s="69"/>
      <c r="AW246" s="69"/>
      <c r="AX246" s="68"/>
      <c r="AY246" s="69"/>
      <c r="AZ246" s="67"/>
      <c r="BA246" s="69"/>
      <c r="BB246" s="76"/>
      <c r="BC246" s="67"/>
      <c r="BD246" s="68"/>
      <c r="BE246" s="69"/>
      <c r="BF246" s="69"/>
      <c r="BG246" s="69"/>
      <c r="BH246" s="69"/>
      <c r="BI246" s="69"/>
      <c r="BJ246" s="68"/>
      <c r="BK246" s="69"/>
      <c r="BL246" s="67"/>
      <c r="BM246" s="67"/>
      <c r="BN246" s="56"/>
      <c r="BO246" s="56"/>
      <c r="BT246" s="63"/>
      <c r="BW246" s="56"/>
      <c r="BX246" s="56"/>
      <c r="BY246" s="56"/>
      <c r="BZ246" s="56"/>
      <c r="CA246" s="56"/>
      <c r="CF246" s="63"/>
      <c r="CI246" s="56"/>
      <c r="CJ246" s="56"/>
      <c r="CK246" s="56"/>
      <c r="CL246" s="56"/>
      <c r="CM246" s="56"/>
    </row>
    <row r="247" spans="18:93" ht="18" customHeight="1">
      <c r="R247" s="76"/>
      <c r="V247" s="170"/>
      <c r="W247" s="69"/>
      <c r="X247" s="69"/>
      <c r="Y247" s="69"/>
      <c r="AD247" s="76"/>
      <c r="AG247" s="69"/>
      <c r="AH247" s="69"/>
      <c r="AI247" s="69"/>
      <c r="AJ247" s="69"/>
      <c r="AK247" s="69"/>
      <c r="AP247" s="76"/>
      <c r="AQ247" s="67"/>
      <c r="AR247" s="68"/>
      <c r="AS247" s="69"/>
      <c r="AT247" s="69"/>
      <c r="AU247" s="69"/>
      <c r="AV247" s="69"/>
      <c r="AW247" s="69"/>
      <c r="AX247" s="68"/>
      <c r="AY247" s="69"/>
      <c r="AZ247" s="67"/>
      <c r="BA247" s="69"/>
      <c r="BB247" s="76"/>
      <c r="BC247" s="67"/>
      <c r="BD247" s="68"/>
      <c r="BE247" s="69"/>
      <c r="BF247" s="69"/>
      <c r="BG247" s="69"/>
      <c r="BH247" s="69"/>
      <c r="BI247" s="69"/>
      <c r="BJ247" s="68"/>
      <c r="BK247" s="69"/>
      <c r="BL247" s="67"/>
      <c r="BM247" s="67"/>
      <c r="BN247" s="56"/>
      <c r="BO247" s="56"/>
      <c r="BT247" s="63"/>
      <c r="BW247" s="56"/>
      <c r="BX247" s="56"/>
      <c r="BY247" s="56"/>
      <c r="BZ247" s="56"/>
      <c r="CA247" s="56"/>
      <c r="CF247" s="63"/>
      <c r="CI247" s="56"/>
      <c r="CJ247" s="56"/>
      <c r="CK247" s="56"/>
      <c r="CL247" s="56"/>
      <c r="CM247" s="56"/>
    </row>
    <row r="248" spans="18:93" ht="18" customHeight="1">
      <c r="R248" s="76"/>
      <c r="V248" s="170"/>
      <c r="W248" s="69"/>
      <c r="X248" s="69"/>
      <c r="Y248" s="69"/>
      <c r="AD248" s="76"/>
      <c r="AG248" s="69"/>
      <c r="AH248" s="69"/>
      <c r="AI248" s="69"/>
      <c r="AJ248" s="69"/>
      <c r="AK248" s="69"/>
      <c r="AP248" s="76"/>
      <c r="AQ248" s="67"/>
      <c r="AR248" s="68"/>
      <c r="AS248" s="69"/>
      <c r="AT248" s="69"/>
      <c r="AU248" s="69"/>
      <c r="AV248" s="69"/>
      <c r="AW248" s="69"/>
      <c r="AX248" s="68"/>
      <c r="AY248" s="69"/>
      <c r="AZ248" s="67"/>
      <c r="BA248" s="69"/>
      <c r="BB248" s="76"/>
      <c r="BC248" s="67"/>
      <c r="BD248" s="68"/>
      <c r="BE248" s="69"/>
      <c r="BF248" s="69"/>
      <c r="BG248" s="69"/>
      <c r="BH248" s="69"/>
      <c r="BI248" s="69"/>
      <c r="BJ248" s="68"/>
      <c r="BK248" s="69"/>
      <c r="BL248" s="67"/>
      <c r="BM248" s="67"/>
      <c r="BN248" s="56"/>
      <c r="BO248" s="56"/>
      <c r="BT248" s="63"/>
      <c r="BW248" s="56"/>
      <c r="BX248" s="56"/>
      <c r="BY248" s="56"/>
      <c r="BZ248" s="56"/>
      <c r="CA248" s="56"/>
      <c r="CF248" s="63"/>
      <c r="CI248" s="56"/>
      <c r="CJ248" s="56"/>
      <c r="CK248" s="56"/>
      <c r="CL248" s="56"/>
      <c r="CM248" s="56"/>
    </row>
    <row r="249" spans="18:93" ht="18" customHeight="1">
      <c r="R249" s="76"/>
      <c r="V249" s="170"/>
      <c r="W249" s="69"/>
      <c r="X249" s="69"/>
      <c r="Y249" s="69"/>
      <c r="AD249" s="76"/>
      <c r="AG249" s="69"/>
      <c r="AH249" s="69"/>
      <c r="AI249" s="69"/>
      <c r="AJ249" s="69"/>
      <c r="AK249" s="69"/>
      <c r="AP249" s="76"/>
      <c r="AQ249" s="67"/>
      <c r="AR249" s="68"/>
      <c r="AS249" s="69"/>
      <c r="AT249" s="69"/>
      <c r="AU249" s="69"/>
      <c r="AV249" s="69"/>
      <c r="AW249" s="69"/>
      <c r="AX249" s="68"/>
      <c r="AY249" s="69"/>
      <c r="AZ249" s="67"/>
      <c r="BA249" s="69"/>
      <c r="BB249" s="76"/>
      <c r="BC249" s="67"/>
      <c r="BD249" s="68"/>
      <c r="BE249" s="69"/>
      <c r="BF249" s="69"/>
      <c r="BG249" s="69"/>
      <c r="BH249" s="69"/>
      <c r="BI249" s="69"/>
      <c r="BJ249" s="68"/>
      <c r="BK249" s="69"/>
      <c r="BL249" s="67"/>
      <c r="BM249" s="67"/>
      <c r="BN249" s="56"/>
      <c r="BO249" s="56"/>
      <c r="BT249" s="63"/>
      <c r="BW249" s="56"/>
      <c r="BX249" s="56"/>
      <c r="BY249" s="56"/>
      <c r="BZ249" s="56"/>
      <c r="CA249" s="56"/>
      <c r="CF249" s="63"/>
      <c r="CI249" s="56"/>
      <c r="CJ249" s="56"/>
      <c r="CK249" s="56"/>
      <c r="CL249" s="56"/>
      <c r="CM249" s="56"/>
    </row>
    <row r="250" spans="18:93" ht="18" customHeight="1">
      <c r="AQ250" s="67"/>
      <c r="AR250" s="68"/>
      <c r="AS250" s="68"/>
      <c r="AT250" s="68"/>
      <c r="AU250" s="68"/>
      <c r="AV250" s="68"/>
      <c r="AW250" s="68"/>
      <c r="AX250" s="68"/>
      <c r="AY250" s="69"/>
      <c r="AZ250" s="67"/>
      <c r="BA250" s="68"/>
      <c r="BB250" s="67"/>
      <c r="BC250" s="67"/>
      <c r="BD250" s="68"/>
      <c r="BE250" s="68"/>
      <c r="BF250" s="68"/>
      <c r="BG250" s="68"/>
      <c r="BH250" s="68"/>
      <c r="BI250" s="68"/>
      <c r="BJ250" s="68"/>
      <c r="BK250" s="69"/>
      <c r="BL250" s="67"/>
      <c r="BM250" s="67"/>
    </row>
    <row r="251" spans="18:93" ht="18" customHeight="1">
      <c r="R251" s="76"/>
      <c r="S251" s="77"/>
      <c r="Y251" s="533"/>
      <c r="Z251" s="533"/>
      <c r="AA251" s="533"/>
      <c r="AD251" s="76"/>
      <c r="AE251" s="77"/>
      <c r="AK251" s="533"/>
      <c r="AL251" s="533"/>
      <c r="AM251" s="533"/>
      <c r="AP251" s="76"/>
      <c r="AQ251" s="77"/>
      <c r="AR251" s="68"/>
      <c r="AS251" s="68"/>
      <c r="AT251" s="68"/>
      <c r="AU251" s="68"/>
      <c r="AV251" s="68"/>
      <c r="AW251" s="533"/>
      <c r="AX251" s="533"/>
      <c r="AY251" s="533"/>
      <c r="AZ251" s="67"/>
      <c r="BA251" s="68"/>
      <c r="BB251" s="76"/>
      <c r="BC251" s="77"/>
      <c r="BD251" s="68"/>
      <c r="BE251" s="68"/>
      <c r="BF251" s="68"/>
      <c r="BG251" s="68"/>
      <c r="BH251" s="68"/>
      <c r="BI251" s="533"/>
      <c r="BJ251" s="533"/>
      <c r="BK251" s="533"/>
      <c r="BL251" s="67"/>
      <c r="BM251" s="67"/>
      <c r="BO251" s="531"/>
      <c r="BP251" s="531"/>
      <c r="BQ251" s="531"/>
      <c r="BT251" s="63"/>
      <c r="BU251" s="64"/>
      <c r="CA251" s="531"/>
      <c r="CB251" s="531"/>
      <c r="CC251" s="531"/>
      <c r="CF251" s="63"/>
      <c r="CG251" s="64"/>
      <c r="CM251" s="531"/>
      <c r="CN251" s="531"/>
      <c r="CO251" s="531"/>
    </row>
    <row r="252" spans="18:93" ht="18" customHeight="1">
      <c r="R252" s="76"/>
      <c r="V252" s="170"/>
      <c r="W252" s="69"/>
      <c r="X252" s="69"/>
      <c r="Y252" s="69"/>
      <c r="AD252" s="76"/>
      <c r="AG252" s="69"/>
      <c r="AH252" s="69"/>
      <c r="AI252" s="69"/>
      <c r="AJ252" s="69"/>
      <c r="AK252" s="69"/>
      <c r="AP252" s="76"/>
      <c r="AQ252" s="67"/>
      <c r="AR252" s="68"/>
      <c r="AS252" s="69"/>
      <c r="AT252" s="69"/>
      <c r="AU252" s="69"/>
      <c r="AV252" s="69"/>
      <c r="AW252" s="69"/>
      <c r="AX252" s="68"/>
      <c r="AY252" s="69"/>
      <c r="AZ252" s="67"/>
      <c r="BA252" s="69"/>
      <c r="BB252" s="76"/>
      <c r="BC252" s="67"/>
      <c r="BD252" s="68"/>
      <c r="BE252" s="69"/>
      <c r="BF252" s="69"/>
      <c r="BG252" s="69"/>
      <c r="BH252" s="69"/>
      <c r="BI252" s="69"/>
      <c r="BJ252" s="68"/>
      <c r="BK252" s="69"/>
      <c r="BL252" s="67"/>
      <c r="BM252" s="67"/>
      <c r="BN252" s="56"/>
      <c r="BO252" s="56"/>
      <c r="BT252" s="63"/>
      <c r="BW252" s="56"/>
      <c r="BX252" s="56"/>
      <c r="BY252" s="56"/>
      <c r="BZ252" s="56"/>
      <c r="CA252" s="56"/>
      <c r="CF252" s="63"/>
      <c r="CI252" s="56"/>
      <c r="CJ252" s="56"/>
      <c r="CK252" s="56"/>
      <c r="CL252" s="56"/>
      <c r="CM252" s="56"/>
    </row>
    <row r="253" spans="18:93" ht="18" customHeight="1">
      <c r="R253" s="76"/>
      <c r="V253" s="170"/>
      <c r="W253" s="69"/>
      <c r="X253" s="69"/>
      <c r="Y253" s="69"/>
      <c r="AD253" s="76"/>
      <c r="AG253" s="69"/>
      <c r="AH253" s="69"/>
      <c r="AI253" s="69"/>
      <c r="AJ253" s="69"/>
      <c r="AK253" s="69"/>
      <c r="AP253" s="76"/>
      <c r="AQ253" s="67"/>
      <c r="AR253" s="68"/>
      <c r="AS253" s="69"/>
      <c r="AT253" s="69"/>
      <c r="AU253" s="69"/>
      <c r="AV253" s="69"/>
      <c r="AW253" s="69"/>
      <c r="AX253" s="68"/>
      <c r="AY253" s="69"/>
      <c r="AZ253" s="67"/>
      <c r="BA253" s="69"/>
      <c r="BB253" s="76"/>
      <c r="BC253" s="67"/>
      <c r="BD253" s="68"/>
      <c r="BE253" s="69"/>
      <c r="BF253" s="69"/>
      <c r="BG253" s="69"/>
      <c r="BH253" s="69"/>
      <c r="BI253" s="69"/>
      <c r="BJ253" s="68"/>
      <c r="BK253" s="69"/>
      <c r="BL253" s="67"/>
      <c r="BM253" s="67"/>
      <c r="BN253" s="56"/>
      <c r="BO253" s="56"/>
      <c r="BT253" s="63"/>
      <c r="BW253" s="56"/>
      <c r="BX253" s="56"/>
      <c r="BY253" s="56"/>
      <c r="BZ253" s="56"/>
      <c r="CA253" s="56"/>
      <c r="CF253" s="63"/>
      <c r="CI253" s="56"/>
      <c r="CJ253" s="56"/>
      <c r="CK253" s="56"/>
      <c r="CL253" s="56"/>
      <c r="CM253" s="56"/>
    </row>
    <row r="254" spans="18:93" ht="18" customHeight="1">
      <c r="R254" s="76"/>
      <c r="V254" s="170"/>
      <c r="W254" s="69"/>
      <c r="X254" s="69"/>
      <c r="Y254" s="69"/>
      <c r="AD254" s="76"/>
      <c r="AG254" s="69"/>
      <c r="AH254" s="69"/>
      <c r="AI254" s="69"/>
      <c r="AJ254" s="69"/>
      <c r="AK254" s="69"/>
      <c r="AP254" s="76"/>
      <c r="AQ254" s="67"/>
      <c r="AR254" s="68"/>
      <c r="AS254" s="69"/>
      <c r="AT254" s="69"/>
      <c r="AU254" s="69"/>
      <c r="AV254" s="69"/>
      <c r="AW254" s="69"/>
      <c r="AX254" s="68"/>
      <c r="AY254" s="69"/>
      <c r="AZ254" s="67"/>
      <c r="BA254" s="69"/>
      <c r="BB254" s="76"/>
      <c r="BC254" s="67"/>
      <c r="BD254" s="68"/>
      <c r="BE254" s="69"/>
      <c r="BF254" s="69"/>
      <c r="BG254" s="69"/>
      <c r="BH254" s="69"/>
      <c r="BI254" s="69"/>
      <c r="BJ254" s="68"/>
      <c r="BK254" s="69"/>
      <c r="BL254" s="67"/>
      <c r="BM254" s="67"/>
      <c r="BN254" s="56"/>
      <c r="BO254" s="56"/>
      <c r="BT254" s="63"/>
      <c r="BW254" s="56"/>
      <c r="BX254" s="56"/>
      <c r="BY254" s="56"/>
      <c r="BZ254" s="56"/>
      <c r="CA254" s="56"/>
      <c r="CF254" s="63"/>
      <c r="CI254" s="56"/>
      <c r="CJ254" s="56"/>
      <c r="CK254" s="56"/>
      <c r="CL254" s="56"/>
      <c r="CM254" s="56"/>
    </row>
    <row r="255" spans="18:93" ht="18" customHeight="1">
      <c r="R255" s="76"/>
      <c r="V255" s="170"/>
      <c r="W255" s="69"/>
      <c r="X255" s="69"/>
      <c r="Y255" s="69"/>
      <c r="AD255" s="76"/>
      <c r="AG255" s="69"/>
      <c r="AH255" s="69"/>
      <c r="AI255" s="69"/>
      <c r="AJ255" s="69"/>
      <c r="AK255" s="69"/>
      <c r="AP255" s="76"/>
      <c r="AQ255" s="67"/>
      <c r="AR255" s="68"/>
      <c r="AS255" s="69"/>
      <c r="AT255" s="69"/>
      <c r="AU255" s="69"/>
      <c r="AV255" s="69"/>
      <c r="AW255" s="69"/>
      <c r="AX255" s="68"/>
      <c r="AY255" s="69"/>
      <c r="AZ255" s="67"/>
      <c r="BA255" s="69"/>
      <c r="BB255" s="76"/>
      <c r="BC255" s="67"/>
      <c r="BD255" s="68"/>
      <c r="BE255" s="69"/>
      <c r="BF255" s="69"/>
      <c r="BG255" s="69"/>
      <c r="BH255" s="69"/>
      <c r="BI255" s="69"/>
      <c r="BJ255" s="68"/>
      <c r="BK255" s="69"/>
      <c r="BL255" s="67"/>
      <c r="BM255" s="67"/>
      <c r="BN255" s="56"/>
      <c r="BO255" s="56"/>
      <c r="BT255" s="63"/>
      <c r="BW255" s="56"/>
      <c r="BX255" s="56"/>
      <c r="BY255" s="56"/>
      <c r="BZ255" s="56"/>
      <c r="CA255" s="56"/>
      <c r="CF255" s="63"/>
      <c r="CI255" s="56"/>
      <c r="CJ255" s="56"/>
      <c r="CK255" s="56"/>
      <c r="CL255" s="56"/>
      <c r="CM255" s="56"/>
    </row>
    <row r="256" spans="18:93" ht="18" customHeight="1">
      <c r="AQ256" s="67"/>
      <c r="AR256" s="68"/>
      <c r="AS256" s="68"/>
      <c r="AT256" s="68"/>
      <c r="AU256" s="68"/>
      <c r="AV256" s="68"/>
      <c r="AW256" s="68"/>
      <c r="AX256" s="68"/>
      <c r="AY256" s="69"/>
      <c r="AZ256" s="67"/>
      <c r="BA256" s="68"/>
      <c r="BB256" s="67"/>
      <c r="BC256" s="67"/>
      <c r="BD256" s="68"/>
      <c r="BE256" s="68"/>
      <c r="BF256" s="68"/>
      <c r="BG256" s="68"/>
      <c r="BH256" s="68"/>
      <c r="BI256" s="68"/>
      <c r="BJ256" s="68"/>
      <c r="BK256" s="69"/>
      <c r="BL256" s="67"/>
      <c r="BM256" s="67"/>
    </row>
    <row r="257" spans="18:93" ht="18" customHeight="1">
      <c r="R257" s="76"/>
      <c r="S257" s="77"/>
      <c r="Y257" s="533"/>
      <c r="Z257" s="533"/>
      <c r="AA257" s="533"/>
      <c r="AD257" s="76"/>
      <c r="AE257" s="77"/>
      <c r="AK257" s="533"/>
      <c r="AL257" s="533"/>
      <c r="AM257" s="533"/>
      <c r="AP257" s="76"/>
      <c r="AQ257" s="77"/>
      <c r="AR257" s="68"/>
      <c r="AS257" s="68"/>
      <c r="AT257" s="68"/>
      <c r="AU257" s="68"/>
      <c r="AV257" s="68"/>
      <c r="AW257" s="533"/>
      <c r="AX257" s="533"/>
      <c r="AY257" s="533"/>
      <c r="AZ257" s="67"/>
      <c r="BA257" s="68"/>
      <c r="BB257" s="76"/>
      <c r="BC257" s="77"/>
      <c r="BD257" s="68"/>
      <c r="BE257" s="68"/>
      <c r="BF257" s="68"/>
      <c r="BG257" s="68"/>
      <c r="BH257" s="68"/>
      <c r="BI257" s="533"/>
      <c r="BJ257" s="533"/>
      <c r="BK257" s="533"/>
      <c r="BL257" s="67"/>
      <c r="BM257" s="67"/>
      <c r="BO257" s="531"/>
      <c r="BP257" s="531"/>
      <c r="BQ257" s="531"/>
      <c r="BT257" s="63"/>
      <c r="BU257" s="64"/>
      <c r="CA257" s="531"/>
      <c r="CB257" s="531"/>
      <c r="CC257" s="531"/>
      <c r="CF257" s="63"/>
      <c r="CG257" s="64"/>
      <c r="CM257" s="531"/>
      <c r="CN257" s="531"/>
      <c r="CO257" s="531"/>
    </row>
    <row r="258" spans="18:93" ht="18" customHeight="1">
      <c r="R258" s="76"/>
      <c r="V258" s="170"/>
      <c r="W258" s="69"/>
      <c r="X258" s="69"/>
      <c r="Y258" s="69"/>
      <c r="AD258" s="76"/>
      <c r="AG258" s="69"/>
      <c r="AH258" s="69"/>
      <c r="AI258" s="69"/>
      <c r="AJ258" s="69"/>
      <c r="AK258" s="69"/>
      <c r="AP258" s="76"/>
      <c r="AQ258" s="67"/>
      <c r="AR258" s="68"/>
      <c r="AS258" s="69"/>
      <c r="AT258" s="69"/>
      <c r="AU258" s="69"/>
      <c r="AV258" s="69"/>
      <c r="AW258" s="69"/>
      <c r="AX258" s="68"/>
      <c r="AY258" s="69"/>
      <c r="AZ258" s="67"/>
      <c r="BA258" s="69"/>
      <c r="BB258" s="76"/>
      <c r="BC258" s="67"/>
      <c r="BD258" s="68"/>
      <c r="BE258" s="69"/>
      <c r="BF258" s="69"/>
      <c r="BG258" s="69"/>
      <c r="BH258" s="69"/>
      <c r="BI258" s="69"/>
      <c r="BJ258" s="68"/>
      <c r="BK258" s="69"/>
      <c r="BL258" s="67"/>
      <c r="BM258" s="67"/>
      <c r="BN258" s="56"/>
      <c r="BO258" s="56"/>
      <c r="BT258" s="63"/>
      <c r="BW258" s="56"/>
      <c r="BX258" s="56"/>
      <c r="BY258" s="56"/>
      <c r="BZ258" s="56"/>
      <c r="CA258" s="56"/>
      <c r="CF258" s="63"/>
      <c r="CI258" s="56"/>
      <c r="CJ258" s="56"/>
      <c r="CK258" s="56"/>
      <c r="CL258" s="56"/>
      <c r="CM258" s="56"/>
    </row>
    <row r="259" spans="18:93" ht="18" customHeight="1">
      <c r="R259" s="76"/>
      <c r="V259" s="170"/>
      <c r="W259" s="69"/>
      <c r="X259" s="69"/>
      <c r="Y259" s="69"/>
      <c r="AD259" s="76"/>
      <c r="AG259" s="69"/>
      <c r="AH259" s="69"/>
      <c r="AI259" s="69"/>
      <c r="AJ259" s="69"/>
      <c r="AK259" s="69"/>
      <c r="AP259" s="76"/>
      <c r="AQ259" s="67"/>
      <c r="AR259" s="68"/>
      <c r="AS259" s="69"/>
      <c r="AT259" s="69"/>
      <c r="AU259" s="69"/>
      <c r="AV259" s="69"/>
      <c r="AW259" s="69"/>
      <c r="AX259" s="68"/>
      <c r="AY259" s="69"/>
      <c r="AZ259" s="67"/>
      <c r="BA259" s="69"/>
      <c r="BB259" s="76"/>
      <c r="BC259" s="67"/>
      <c r="BD259" s="68"/>
      <c r="BE259" s="69"/>
      <c r="BF259" s="69"/>
      <c r="BG259" s="69"/>
      <c r="BH259" s="69"/>
      <c r="BI259" s="69"/>
      <c r="BJ259" s="68"/>
      <c r="BK259" s="69"/>
      <c r="BL259" s="67"/>
      <c r="BM259" s="67"/>
      <c r="BN259" s="56"/>
      <c r="BO259" s="56"/>
      <c r="BT259" s="63"/>
      <c r="BW259" s="56"/>
      <c r="BX259" s="56"/>
      <c r="BY259" s="56"/>
      <c r="BZ259" s="56"/>
      <c r="CA259" s="56"/>
      <c r="CF259" s="63"/>
      <c r="CI259" s="56"/>
      <c r="CJ259" s="56"/>
      <c r="CK259" s="56"/>
      <c r="CL259" s="56"/>
      <c r="CM259" s="56"/>
    </row>
    <row r="260" spans="18:93" ht="18" customHeight="1">
      <c r="R260" s="76"/>
      <c r="V260" s="170"/>
      <c r="W260" s="69"/>
      <c r="X260" s="69"/>
      <c r="Y260" s="69"/>
      <c r="AD260" s="76"/>
      <c r="AG260" s="69"/>
      <c r="AH260" s="69"/>
      <c r="AI260" s="69"/>
      <c r="AJ260" s="69"/>
      <c r="AK260" s="69"/>
      <c r="AP260" s="76"/>
      <c r="AQ260" s="67"/>
      <c r="AR260" s="68"/>
      <c r="AS260" s="69"/>
      <c r="AT260" s="69"/>
      <c r="AU260" s="69"/>
      <c r="AV260" s="69"/>
      <c r="AW260" s="69"/>
      <c r="AX260" s="68"/>
      <c r="AY260" s="69"/>
      <c r="AZ260" s="67"/>
      <c r="BA260" s="69"/>
      <c r="BB260" s="76"/>
      <c r="BC260" s="67"/>
      <c r="BD260" s="68"/>
      <c r="BE260" s="69"/>
      <c r="BF260" s="69"/>
      <c r="BG260" s="69"/>
      <c r="BH260" s="69"/>
      <c r="BI260" s="69"/>
      <c r="BJ260" s="68"/>
      <c r="BK260" s="69"/>
      <c r="BL260" s="67"/>
      <c r="BM260" s="67"/>
      <c r="BN260" s="56"/>
      <c r="BO260" s="56"/>
      <c r="BT260" s="63"/>
      <c r="BW260" s="56"/>
      <c r="BX260" s="56"/>
      <c r="BY260" s="56"/>
      <c r="BZ260" s="56"/>
      <c r="CA260" s="56"/>
      <c r="CF260" s="63"/>
      <c r="CI260" s="56"/>
      <c r="CJ260" s="56"/>
      <c r="CK260" s="56"/>
      <c r="CL260" s="56"/>
      <c r="CM260" s="56"/>
    </row>
    <row r="261" spans="18:93" ht="18" customHeight="1">
      <c r="R261" s="76"/>
      <c r="V261" s="170"/>
      <c r="W261" s="69"/>
      <c r="X261" s="69"/>
      <c r="Y261" s="69"/>
      <c r="AD261" s="76"/>
      <c r="AG261" s="69"/>
      <c r="AH261" s="69"/>
      <c r="AI261" s="69"/>
      <c r="AJ261" s="69"/>
      <c r="AK261" s="69"/>
      <c r="AP261" s="76"/>
      <c r="AQ261" s="67"/>
      <c r="AR261" s="68"/>
      <c r="AS261" s="69"/>
      <c r="AT261" s="69"/>
      <c r="AU261" s="69"/>
      <c r="AV261" s="69"/>
      <c r="AW261" s="69"/>
      <c r="AX261" s="68"/>
      <c r="AY261" s="69"/>
      <c r="AZ261" s="67"/>
      <c r="BA261" s="69"/>
      <c r="BB261" s="76"/>
      <c r="BC261" s="67"/>
      <c r="BD261" s="68"/>
      <c r="BE261" s="69"/>
      <c r="BF261" s="69"/>
      <c r="BG261" s="69"/>
      <c r="BH261" s="69"/>
      <c r="BI261" s="69"/>
      <c r="BJ261" s="68"/>
      <c r="BK261" s="69"/>
      <c r="BL261" s="67"/>
      <c r="BM261" s="67"/>
      <c r="BN261" s="56"/>
      <c r="BO261" s="56"/>
      <c r="BT261" s="63"/>
      <c r="BW261" s="56"/>
      <c r="BX261" s="56"/>
      <c r="BY261" s="56"/>
      <c r="BZ261" s="56"/>
      <c r="CA261" s="56"/>
      <c r="CF261" s="63"/>
      <c r="CI261" s="56"/>
      <c r="CJ261" s="56"/>
      <c r="CK261" s="56"/>
      <c r="CL261" s="56"/>
      <c r="CM261" s="56"/>
    </row>
    <row r="262" spans="18:93" ht="18" customHeight="1">
      <c r="AQ262" s="67"/>
      <c r="AR262" s="68"/>
      <c r="AS262" s="68"/>
      <c r="AT262" s="68"/>
      <c r="AU262" s="68"/>
      <c r="AV262" s="68"/>
      <c r="AW262" s="68"/>
      <c r="AX262" s="68"/>
      <c r="AY262" s="69"/>
      <c r="AZ262" s="67"/>
      <c r="BA262" s="68"/>
      <c r="BB262" s="67"/>
      <c r="BC262" s="67"/>
      <c r="BD262" s="68"/>
      <c r="BE262" s="68"/>
      <c r="BF262" s="68"/>
      <c r="BG262" s="68"/>
      <c r="BH262" s="68"/>
      <c r="BI262" s="68"/>
      <c r="BJ262" s="68"/>
      <c r="BK262" s="69"/>
      <c r="BL262" s="67"/>
      <c r="BM262" s="67"/>
    </row>
    <row r="263" spans="18:93" ht="18" customHeight="1">
      <c r="R263" s="76"/>
      <c r="S263" s="77"/>
      <c r="Y263" s="533"/>
      <c r="Z263" s="533"/>
      <c r="AA263" s="533"/>
      <c r="AD263" s="76"/>
      <c r="AE263" s="77"/>
      <c r="AK263" s="533"/>
      <c r="AL263" s="533"/>
      <c r="AM263" s="533"/>
      <c r="AP263" s="76"/>
      <c r="AQ263" s="77"/>
      <c r="AR263" s="68"/>
      <c r="AS263" s="68"/>
      <c r="AT263" s="68"/>
      <c r="AU263" s="68"/>
      <c r="AV263" s="68"/>
      <c r="AW263" s="533"/>
      <c r="AX263" s="533"/>
      <c r="AY263" s="533"/>
      <c r="AZ263" s="67"/>
      <c r="BA263" s="68"/>
      <c r="BB263" s="76"/>
      <c r="BC263" s="77"/>
      <c r="BD263" s="68"/>
      <c r="BE263" s="68"/>
      <c r="BF263" s="68"/>
      <c r="BG263" s="68"/>
      <c r="BH263" s="68"/>
      <c r="BI263" s="533"/>
      <c r="BJ263" s="533"/>
      <c r="BK263" s="533"/>
      <c r="BL263" s="67"/>
      <c r="BM263" s="67"/>
      <c r="BO263" s="531"/>
      <c r="BP263" s="531"/>
      <c r="BQ263" s="531"/>
      <c r="BT263" s="63"/>
      <c r="BU263" s="64"/>
      <c r="CA263" s="531"/>
      <c r="CB263" s="531"/>
      <c r="CC263" s="531"/>
      <c r="CF263" s="63"/>
      <c r="CG263" s="64"/>
      <c r="CM263" s="531"/>
      <c r="CN263" s="531"/>
      <c r="CO263" s="531"/>
    </row>
    <row r="264" spans="18:93" ht="18" customHeight="1">
      <c r="R264" s="76"/>
      <c r="V264" s="170"/>
      <c r="W264" s="69"/>
      <c r="X264" s="69"/>
      <c r="Y264" s="69"/>
      <c r="AD264" s="76"/>
      <c r="AG264" s="69"/>
      <c r="AH264" s="69"/>
      <c r="AI264" s="69"/>
      <c r="AJ264" s="69"/>
      <c r="AK264" s="69"/>
      <c r="AP264" s="76"/>
      <c r="AQ264" s="67"/>
      <c r="AR264" s="68"/>
      <c r="AS264" s="69"/>
      <c r="AT264" s="69"/>
      <c r="AU264" s="69"/>
      <c r="AV264" s="69"/>
      <c r="AW264" s="69"/>
      <c r="AX264" s="68"/>
      <c r="AY264" s="69"/>
      <c r="AZ264" s="67"/>
      <c r="BA264" s="69"/>
      <c r="BB264" s="76"/>
      <c r="BC264" s="67"/>
      <c r="BD264" s="68"/>
      <c r="BE264" s="69"/>
      <c r="BF264" s="69"/>
      <c r="BG264" s="69"/>
      <c r="BH264" s="69"/>
      <c r="BI264" s="69"/>
      <c r="BJ264" s="68"/>
      <c r="BK264" s="69"/>
      <c r="BL264" s="67"/>
      <c r="BM264" s="67"/>
      <c r="BN264" s="56"/>
      <c r="BO264" s="56"/>
      <c r="BT264" s="63"/>
      <c r="BW264" s="56"/>
      <c r="BX264" s="56"/>
      <c r="BY264" s="56"/>
      <c r="BZ264" s="56"/>
      <c r="CA264" s="56"/>
      <c r="CF264" s="63"/>
      <c r="CI264" s="56"/>
      <c r="CJ264" s="56"/>
      <c r="CK264" s="56"/>
      <c r="CL264" s="56"/>
      <c r="CM264" s="56"/>
    </row>
    <row r="265" spans="18:93" ht="18" customHeight="1">
      <c r="R265" s="76"/>
      <c r="V265" s="170"/>
      <c r="W265" s="69"/>
      <c r="X265" s="69"/>
      <c r="Y265" s="69"/>
      <c r="AD265" s="76"/>
      <c r="AG265" s="69"/>
      <c r="AH265" s="69"/>
      <c r="AI265" s="69"/>
      <c r="AJ265" s="69"/>
      <c r="AK265" s="69"/>
      <c r="AP265" s="76"/>
      <c r="AQ265" s="67"/>
      <c r="AR265" s="68"/>
      <c r="AS265" s="69"/>
      <c r="AT265" s="69"/>
      <c r="AU265" s="69"/>
      <c r="AV265" s="69"/>
      <c r="AW265" s="69"/>
      <c r="AX265" s="68"/>
      <c r="AY265" s="69"/>
      <c r="AZ265" s="67"/>
      <c r="BA265" s="69"/>
      <c r="BB265" s="76"/>
      <c r="BC265" s="67"/>
      <c r="BD265" s="68"/>
      <c r="BE265" s="69"/>
      <c r="BF265" s="69"/>
      <c r="BG265" s="69"/>
      <c r="BH265" s="69"/>
      <c r="BI265" s="69"/>
      <c r="BJ265" s="68"/>
      <c r="BK265" s="69"/>
      <c r="BL265" s="67"/>
      <c r="BM265" s="67"/>
      <c r="BN265" s="56"/>
      <c r="BO265" s="56"/>
      <c r="BT265" s="63"/>
      <c r="BW265" s="56"/>
      <c r="BX265" s="56"/>
      <c r="BY265" s="56"/>
      <c r="BZ265" s="56"/>
      <c r="CA265" s="56"/>
      <c r="CF265" s="63"/>
      <c r="CI265" s="56"/>
      <c r="CJ265" s="56"/>
      <c r="CK265" s="56"/>
      <c r="CL265" s="56"/>
      <c r="CM265" s="56"/>
    </row>
    <row r="266" spans="18:93" ht="18" customHeight="1">
      <c r="R266" s="76"/>
      <c r="V266" s="170"/>
      <c r="W266" s="69"/>
      <c r="X266" s="69"/>
      <c r="Y266" s="69"/>
      <c r="AD266" s="76"/>
      <c r="AG266" s="69"/>
      <c r="AH266" s="69"/>
      <c r="AI266" s="69"/>
      <c r="AJ266" s="69"/>
      <c r="AK266" s="69"/>
      <c r="AP266" s="76"/>
      <c r="AQ266" s="67"/>
      <c r="AR266" s="68"/>
      <c r="AS266" s="69"/>
      <c r="AT266" s="69"/>
      <c r="AU266" s="69"/>
      <c r="AV266" s="69"/>
      <c r="AW266" s="69"/>
      <c r="AX266" s="68"/>
      <c r="AY266" s="69"/>
      <c r="AZ266" s="67"/>
      <c r="BA266" s="69"/>
      <c r="BB266" s="76"/>
      <c r="BC266" s="67"/>
      <c r="BD266" s="68"/>
      <c r="BE266" s="69"/>
      <c r="BF266" s="69"/>
      <c r="BG266" s="69"/>
      <c r="BH266" s="69"/>
      <c r="BI266" s="69"/>
      <c r="BJ266" s="68"/>
      <c r="BK266" s="69"/>
      <c r="BL266" s="67"/>
      <c r="BM266" s="67"/>
      <c r="BN266" s="56"/>
      <c r="BO266" s="56"/>
      <c r="BT266" s="63"/>
      <c r="BW266" s="56"/>
      <c r="BX266" s="56"/>
      <c r="BY266" s="56"/>
      <c r="BZ266" s="56"/>
      <c r="CA266" s="56"/>
      <c r="CF266" s="63"/>
      <c r="CI266" s="56"/>
      <c r="CJ266" s="56"/>
      <c r="CK266" s="56"/>
      <c r="CL266" s="56"/>
      <c r="CM266" s="56"/>
    </row>
    <row r="267" spans="18:93" ht="18" customHeight="1">
      <c r="R267" s="76"/>
      <c r="V267" s="170"/>
      <c r="W267" s="69"/>
      <c r="X267" s="69"/>
      <c r="Y267" s="69"/>
      <c r="AD267" s="76"/>
      <c r="AG267" s="69"/>
      <c r="AH267" s="69"/>
      <c r="AI267" s="69"/>
      <c r="AJ267" s="69"/>
      <c r="AK267" s="69"/>
      <c r="AP267" s="76"/>
      <c r="AQ267" s="67"/>
      <c r="AR267" s="68"/>
      <c r="AS267" s="69"/>
      <c r="AT267" s="69"/>
      <c r="AU267" s="69"/>
      <c r="AV267" s="69"/>
      <c r="AW267" s="69"/>
      <c r="AX267" s="68"/>
      <c r="AY267" s="69"/>
      <c r="AZ267" s="67"/>
      <c r="BA267" s="69"/>
      <c r="BB267" s="76"/>
      <c r="BC267" s="67"/>
      <c r="BD267" s="68"/>
      <c r="BE267" s="69"/>
      <c r="BF267" s="69"/>
      <c r="BG267" s="69"/>
      <c r="BH267" s="69"/>
      <c r="BI267" s="69"/>
      <c r="BJ267" s="68"/>
      <c r="BK267" s="69"/>
      <c r="BL267" s="67"/>
      <c r="BM267" s="67"/>
      <c r="BN267" s="56"/>
      <c r="BO267" s="56"/>
      <c r="BT267" s="63"/>
      <c r="BW267" s="56"/>
      <c r="BX267" s="56"/>
      <c r="BY267" s="56"/>
      <c r="BZ267" s="56"/>
      <c r="CA267" s="56"/>
      <c r="CF267" s="63"/>
      <c r="CI267" s="56"/>
      <c r="CJ267" s="56"/>
      <c r="CK267" s="56"/>
      <c r="CL267" s="56"/>
      <c r="CM267" s="56"/>
    </row>
    <row r="268" spans="18:93" ht="18" customHeight="1">
      <c r="AQ268" s="67"/>
      <c r="AR268" s="68"/>
      <c r="AS268" s="68"/>
      <c r="AT268" s="68"/>
      <c r="AU268" s="68"/>
      <c r="AV268" s="68"/>
      <c r="AW268" s="68"/>
      <c r="AX268" s="68"/>
      <c r="AY268" s="69"/>
      <c r="AZ268" s="67"/>
      <c r="BA268" s="68"/>
      <c r="BB268" s="67"/>
      <c r="BC268" s="67"/>
      <c r="BD268" s="68"/>
      <c r="BE268" s="68"/>
      <c r="BF268" s="68"/>
      <c r="BG268" s="68"/>
      <c r="BH268" s="68"/>
      <c r="BI268" s="68"/>
      <c r="BJ268" s="68"/>
      <c r="BK268" s="69"/>
      <c r="BL268" s="67"/>
      <c r="BM268" s="67"/>
    </row>
    <row r="269" spans="18:93" ht="18" customHeight="1">
      <c r="R269" s="76"/>
      <c r="S269" s="77"/>
      <c r="Y269" s="533"/>
      <c r="Z269" s="533"/>
      <c r="AA269" s="533"/>
      <c r="AD269" s="76"/>
      <c r="AE269" s="77"/>
      <c r="AK269" s="533"/>
      <c r="AL269" s="533"/>
      <c r="AM269" s="533"/>
      <c r="AP269" s="76"/>
      <c r="AQ269" s="77"/>
      <c r="AR269" s="68"/>
      <c r="AS269" s="68"/>
      <c r="AT269" s="68"/>
      <c r="AU269" s="68"/>
      <c r="AV269" s="68"/>
      <c r="AW269" s="533"/>
      <c r="AX269" s="533"/>
      <c r="AY269" s="533"/>
      <c r="AZ269" s="67"/>
      <c r="BA269" s="68"/>
      <c r="BB269" s="76"/>
      <c r="BC269" s="77"/>
      <c r="BD269" s="68"/>
      <c r="BE269" s="68"/>
      <c r="BF269" s="68"/>
      <c r="BG269" s="68"/>
      <c r="BH269" s="68"/>
      <c r="BI269" s="533"/>
      <c r="BJ269" s="533"/>
      <c r="BK269" s="533"/>
      <c r="BL269" s="67"/>
      <c r="BM269" s="67"/>
      <c r="BO269" s="531"/>
      <c r="BP269" s="531"/>
      <c r="BQ269" s="531"/>
      <c r="BT269" s="63"/>
      <c r="BU269" s="64"/>
      <c r="CA269" s="531"/>
      <c r="CB269" s="531"/>
      <c r="CC269" s="531"/>
      <c r="CF269" s="63"/>
      <c r="CG269" s="64"/>
      <c r="CM269" s="531"/>
      <c r="CN269" s="531"/>
      <c r="CO269" s="531"/>
    </row>
    <row r="270" spans="18:93" ht="18" customHeight="1">
      <c r="R270" s="76"/>
      <c r="V270" s="170"/>
      <c r="W270" s="69"/>
      <c r="X270" s="69"/>
      <c r="Y270" s="69"/>
      <c r="AD270" s="76"/>
      <c r="AG270" s="69"/>
      <c r="AH270" s="69"/>
      <c r="AI270" s="69"/>
      <c r="AJ270" s="69"/>
      <c r="AK270" s="69"/>
      <c r="AP270" s="76"/>
      <c r="AQ270" s="67"/>
      <c r="AR270" s="68"/>
      <c r="AS270" s="69"/>
      <c r="AT270" s="69"/>
      <c r="AU270" s="69"/>
      <c r="AV270" s="69"/>
      <c r="AW270" s="69"/>
      <c r="AX270" s="68"/>
      <c r="AY270" s="69"/>
      <c r="AZ270" s="67"/>
      <c r="BA270" s="69"/>
      <c r="BB270" s="76"/>
      <c r="BC270" s="67"/>
      <c r="BD270" s="68"/>
      <c r="BE270" s="69"/>
      <c r="BF270" s="69"/>
      <c r="BG270" s="69"/>
      <c r="BH270" s="69"/>
      <c r="BI270" s="69"/>
      <c r="BJ270" s="68"/>
      <c r="BK270" s="69"/>
      <c r="BL270" s="67"/>
      <c r="BM270" s="67"/>
      <c r="BN270" s="56"/>
      <c r="BO270" s="56"/>
      <c r="BT270" s="63"/>
      <c r="BW270" s="56"/>
      <c r="BX270" s="56"/>
      <c r="BY270" s="56"/>
      <c r="BZ270" s="56"/>
      <c r="CA270" s="56"/>
      <c r="CF270" s="63"/>
      <c r="CI270" s="56"/>
      <c r="CJ270" s="56"/>
      <c r="CK270" s="56"/>
      <c r="CL270" s="56"/>
      <c r="CM270" s="56"/>
    </row>
    <row r="271" spans="18:93" ht="18" customHeight="1">
      <c r="R271" s="76"/>
      <c r="V271" s="170"/>
      <c r="W271" s="69"/>
      <c r="X271" s="69"/>
      <c r="Y271" s="69"/>
      <c r="AD271" s="76"/>
      <c r="AG271" s="69"/>
      <c r="AH271" s="69"/>
      <c r="AI271" s="69"/>
      <c r="AJ271" s="69"/>
      <c r="AK271" s="69"/>
      <c r="AP271" s="76"/>
      <c r="AQ271" s="67"/>
      <c r="AR271" s="68"/>
      <c r="AS271" s="69"/>
      <c r="AT271" s="69"/>
      <c r="AU271" s="69"/>
      <c r="AV271" s="69"/>
      <c r="AW271" s="69"/>
      <c r="AX271" s="68"/>
      <c r="AY271" s="69"/>
      <c r="AZ271" s="67"/>
      <c r="BA271" s="69"/>
      <c r="BB271" s="76"/>
      <c r="BC271" s="67"/>
      <c r="BD271" s="68"/>
      <c r="BE271" s="69"/>
      <c r="BF271" s="69"/>
      <c r="BG271" s="69"/>
      <c r="BH271" s="69"/>
      <c r="BI271" s="69"/>
      <c r="BJ271" s="68"/>
      <c r="BK271" s="69"/>
      <c r="BL271" s="67"/>
      <c r="BM271" s="67"/>
      <c r="BN271" s="56"/>
      <c r="BO271" s="56"/>
      <c r="BT271" s="63"/>
      <c r="BW271" s="56"/>
      <c r="BX271" s="56"/>
      <c r="BY271" s="56"/>
      <c r="BZ271" s="56"/>
      <c r="CA271" s="56"/>
      <c r="CF271" s="63"/>
      <c r="CI271" s="56"/>
      <c r="CJ271" s="56"/>
      <c r="CK271" s="56"/>
      <c r="CL271" s="56"/>
      <c r="CM271" s="56"/>
    </row>
    <row r="272" spans="18:93" ht="18" customHeight="1">
      <c r="R272" s="76"/>
      <c r="V272" s="170"/>
      <c r="W272" s="69"/>
      <c r="X272" s="69"/>
      <c r="Y272" s="69"/>
      <c r="AD272" s="76"/>
      <c r="AG272" s="69"/>
      <c r="AH272" s="69"/>
      <c r="AI272" s="69"/>
      <c r="AJ272" s="69"/>
      <c r="AK272" s="69"/>
      <c r="AP272" s="76"/>
      <c r="AQ272" s="67"/>
      <c r="AR272" s="68"/>
      <c r="AS272" s="69"/>
      <c r="AT272" s="69"/>
      <c r="AU272" s="69"/>
      <c r="AV272" s="69"/>
      <c r="AW272" s="69"/>
      <c r="AX272" s="68"/>
      <c r="AY272" s="69"/>
      <c r="AZ272" s="67"/>
      <c r="BA272" s="69"/>
      <c r="BB272" s="76"/>
      <c r="BC272" s="67"/>
      <c r="BD272" s="68"/>
      <c r="BE272" s="69"/>
      <c r="BF272" s="69"/>
      <c r="BG272" s="69"/>
      <c r="BH272" s="69"/>
      <c r="BI272" s="69"/>
      <c r="BJ272" s="68"/>
      <c r="BK272" s="69"/>
      <c r="BL272" s="67"/>
      <c r="BM272" s="67"/>
      <c r="BN272" s="56"/>
      <c r="BO272" s="56"/>
      <c r="BT272" s="63"/>
      <c r="BW272" s="56"/>
      <c r="BX272" s="56"/>
      <c r="BY272" s="56"/>
      <c r="BZ272" s="56"/>
      <c r="CA272" s="56"/>
      <c r="CF272" s="63"/>
      <c r="CI272" s="56"/>
      <c r="CJ272" s="56"/>
      <c r="CK272" s="56"/>
      <c r="CL272" s="56"/>
      <c r="CM272" s="56"/>
    </row>
    <row r="273" spans="18:93" ht="18" customHeight="1">
      <c r="R273" s="76"/>
      <c r="V273" s="170"/>
      <c r="W273" s="69"/>
      <c r="X273" s="69"/>
      <c r="Y273" s="69"/>
      <c r="AD273" s="76"/>
      <c r="AG273" s="69"/>
      <c r="AH273" s="69"/>
      <c r="AI273" s="69"/>
      <c r="AJ273" s="69"/>
      <c r="AK273" s="69"/>
      <c r="AP273" s="76"/>
      <c r="AQ273" s="67"/>
      <c r="AR273" s="68"/>
      <c r="AS273" s="69"/>
      <c r="AT273" s="69"/>
      <c r="AU273" s="69"/>
      <c r="AV273" s="69"/>
      <c r="AW273" s="69"/>
      <c r="AX273" s="68"/>
      <c r="AY273" s="69"/>
      <c r="AZ273" s="67"/>
      <c r="BA273" s="69"/>
      <c r="BB273" s="76"/>
      <c r="BC273" s="67"/>
      <c r="BD273" s="68"/>
      <c r="BE273" s="69"/>
      <c r="BF273" s="69"/>
      <c r="BG273" s="69"/>
      <c r="BH273" s="69"/>
      <c r="BI273" s="69"/>
      <c r="BJ273" s="68"/>
      <c r="BK273" s="69"/>
      <c r="BL273" s="67"/>
      <c r="BM273" s="67"/>
      <c r="BN273" s="56"/>
      <c r="BO273" s="56"/>
      <c r="BT273" s="63"/>
      <c r="BW273" s="56"/>
      <c r="BX273" s="56"/>
      <c r="BY273" s="56"/>
      <c r="BZ273" s="56"/>
      <c r="CA273" s="56"/>
      <c r="CF273" s="63"/>
      <c r="CI273" s="56"/>
      <c r="CJ273" s="56"/>
      <c r="CK273" s="56"/>
      <c r="CL273" s="56"/>
      <c r="CM273" s="56"/>
    </row>
    <row r="274" spans="18:93" ht="18" customHeight="1">
      <c r="AQ274" s="67"/>
      <c r="AR274" s="68"/>
      <c r="AS274" s="68"/>
      <c r="AT274" s="68"/>
      <c r="AU274" s="68"/>
      <c r="AV274" s="68"/>
      <c r="AW274" s="68"/>
      <c r="AX274" s="68"/>
      <c r="AY274" s="69"/>
      <c r="AZ274" s="67"/>
      <c r="BA274" s="68"/>
      <c r="BB274" s="67"/>
      <c r="BC274" s="67"/>
      <c r="BD274" s="68"/>
      <c r="BE274" s="68"/>
      <c r="BF274" s="68"/>
      <c r="BG274" s="68"/>
      <c r="BH274" s="68"/>
      <c r="BI274" s="68"/>
      <c r="BJ274" s="68"/>
      <c r="BK274" s="69"/>
      <c r="BL274" s="67"/>
      <c r="BM274" s="67"/>
    </row>
    <row r="275" spans="18:93" ht="18" customHeight="1">
      <c r="R275" s="76"/>
      <c r="S275" s="77"/>
      <c r="Y275" s="533"/>
      <c r="Z275" s="533"/>
      <c r="AA275" s="533"/>
      <c r="AD275" s="76"/>
      <c r="AE275" s="77"/>
      <c r="AK275" s="533"/>
      <c r="AL275" s="533"/>
      <c r="AM275" s="533"/>
      <c r="AP275" s="76"/>
      <c r="AQ275" s="77"/>
      <c r="AR275" s="68"/>
      <c r="AS275" s="68"/>
      <c r="AT275" s="68"/>
      <c r="AU275" s="68"/>
      <c r="AV275" s="68"/>
      <c r="AW275" s="533"/>
      <c r="AX275" s="533"/>
      <c r="AY275" s="533"/>
      <c r="AZ275" s="67"/>
      <c r="BA275" s="68"/>
      <c r="BB275" s="76"/>
      <c r="BC275" s="77"/>
      <c r="BD275" s="68"/>
      <c r="BE275" s="68"/>
      <c r="BF275" s="68"/>
      <c r="BG275" s="68"/>
      <c r="BH275" s="68"/>
      <c r="BI275" s="533"/>
      <c r="BJ275" s="533"/>
      <c r="BK275" s="533"/>
      <c r="BL275" s="67"/>
      <c r="BM275" s="67"/>
      <c r="BO275" s="531"/>
      <c r="BP275" s="531"/>
      <c r="BQ275" s="531"/>
      <c r="BT275" s="63"/>
      <c r="BU275" s="64"/>
      <c r="CA275" s="531"/>
      <c r="CB275" s="531"/>
      <c r="CC275" s="531"/>
      <c r="CF275" s="63"/>
      <c r="CG275" s="64"/>
      <c r="CM275" s="531"/>
      <c r="CN275" s="531"/>
      <c r="CO275" s="531"/>
    </row>
    <row r="276" spans="18:93" ht="18" customHeight="1">
      <c r="R276" s="76"/>
      <c r="V276" s="170"/>
      <c r="W276" s="69"/>
      <c r="X276" s="69"/>
      <c r="Y276" s="69"/>
      <c r="AD276" s="76"/>
      <c r="AG276" s="69"/>
      <c r="AH276" s="69"/>
      <c r="AI276" s="69"/>
      <c r="AJ276" s="69"/>
      <c r="AK276" s="69"/>
      <c r="AP276" s="76"/>
      <c r="AQ276" s="67"/>
      <c r="AR276" s="68"/>
      <c r="AS276" s="69"/>
      <c r="AT276" s="69"/>
      <c r="AU276" s="69"/>
      <c r="AV276" s="69"/>
      <c r="AW276" s="69"/>
      <c r="AX276" s="68"/>
      <c r="AY276" s="69"/>
      <c r="AZ276" s="67"/>
      <c r="BA276" s="69"/>
      <c r="BB276" s="76"/>
      <c r="BC276" s="67"/>
      <c r="BD276" s="68"/>
      <c r="BE276" s="69"/>
      <c r="BF276" s="69"/>
      <c r="BG276" s="69"/>
      <c r="BH276" s="69"/>
      <c r="BI276" s="69"/>
      <c r="BJ276" s="68"/>
      <c r="BK276" s="69"/>
      <c r="BL276" s="67"/>
      <c r="BM276" s="67"/>
      <c r="BN276" s="56"/>
      <c r="BO276" s="56"/>
      <c r="BT276" s="63"/>
      <c r="BW276" s="56"/>
      <c r="BX276" s="56"/>
      <c r="BY276" s="56"/>
      <c r="BZ276" s="56"/>
      <c r="CA276" s="56"/>
      <c r="CF276" s="63"/>
      <c r="CI276" s="56"/>
      <c r="CJ276" s="56"/>
      <c r="CK276" s="56"/>
      <c r="CL276" s="56"/>
      <c r="CM276" s="56"/>
    </row>
    <row r="277" spans="18:93" ht="18" customHeight="1">
      <c r="R277" s="76"/>
      <c r="V277" s="170"/>
      <c r="W277" s="69"/>
      <c r="X277" s="69"/>
      <c r="Y277" s="69"/>
      <c r="AD277" s="76"/>
      <c r="AG277" s="69"/>
      <c r="AH277" s="69"/>
      <c r="AI277" s="69"/>
      <c r="AJ277" s="69"/>
      <c r="AK277" s="69"/>
      <c r="AP277" s="76"/>
      <c r="AQ277" s="67"/>
      <c r="AR277" s="68"/>
      <c r="AS277" s="69"/>
      <c r="AT277" s="69"/>
      <c r="AU277" s="69"/>
      <c r="AV277" s="69"/>
      <c r="AW277" s="69"/>
      <c r="AX277" s="68"/>
      <c r="AY277" s="69"/>
      <c r="AZ277" s="67"/>
      <c r="BA277" s="69"/>
      <c r="BB277" s="76"/>
      <c r="BC277" s="67"/>
      <c r="BD277" s="68"/>
      <c r="BE277" s="69"/>
      <c r="BF277" s="69"/>
      <c r="BG277" s="69"/>
      <c r="BH277" s="69"/>
      <c r="BI277" s="69"/>
      <c r="BJ277" s="68"/>
      <c r="BK277" s="69"/>
      <c r="BL277" s="67"/>
      <c r="BM277" s="67"/>
      <c r="BN277" s="56"/>
      <c r="BO277" s="56"/>
      <c r="BT277" s="63"/>
      <c r="BW277" s="56"/>
      <c r="BX277" s="56"/>
      <c r="BY277" s="56"/>
      <c r="BZ277" s="56"/>
      <c r="CA277" s="56"/>
      <c r="CF277" s="63"/>
      <c r="CI277" s="56"/>
      <c r="CJ277" s="56"/>
      <c r="CK277" s="56"/>
      <c r="CL277" s="56"/>
      <c r="CM277" s="56"/>
    </row>
    <row r="278" spans="18:93" ht="18" customHeight="1">
      <c r="R278" s="76"/>
      <c r="V278" s="170"/>
      <c r="W278" s="69"/>
      <c r="X278" s="69"/>
      <c r="Y278" s="69"/>
      <c r="AD278" s="76"/>
      <c r="AG278" s="69"/>
      <c r="AH278" s="69"/>
      <c r="AI278" s="69"/>
      <c r="AJ278" s="69"/>
      <c r="AK278" s="69"/>
      <c r="AP278" s="76"/>
      <c r="AQ278" s="67"/>
      <c r="AR278" s="68"/>
      <c r="AS278" s="69"/>
      <c r="AT278" s="69"/>
      <c r="AU278" s="69"/>
      <c r="AV278" s="69"/>
      <c r="AW278" s="69"/>
      <c r="AX278" s="68"/>
      <c r="AY278" s="69"/>
      <c r="AZ278" s="67"/>
      <c r="BA278" s="69"/>
      <c r="BB278" s="76"/>
      <c r="BC278" s="67"/>
      <c r="BD278" s="68"/>
      <c r="BE278" s="69"/>
      <c r="BF278" s="69"/>
      <c r="BG278" s="69"/>
      <c r="BH278" s="69"/>
      <c r="BI278" s="69"/>
      <c r="BJ278" s="68"/>
      <c r="BK278" s="69"/>
      <c r="BL278" s="67"/>
      <c r="BM278" s="67"/>
      <c r="BN278" s="56"/>
      <c r="BO278" s="56"/>
      <c r="BT278" s="63"/>
      <c r="BW278" s="56"/>
      <c r="BX278" s="56"/>
      <c r="BY278" s="56"/>
      <c r="BZ278" s="56"/>
      <c r="CA278" s="56"/>
      <c r="CF278" s="63"/>
      <c r="CI278" s="56"/>
      <c r="CJ278" s="56"/>
      <c r="CK278" s="56"/>
      <c r="CL278" s="56"/>
      <c r="CM278" s="56"/>
    </row>
    <row r="279" spans="18:93" ht="18" customHeight="1">
      <c r="R279" s="76"/>
      <c r="V279" s="170"/>
      <c r="W279" s="69"/>
      <c r="X279" s="69"/>
      <c r="Y279" s="69"/>
      <c r="AD279" s="76"/>
      <c r="AG279" s="69"/>
      <c r="AH279" s="69"/>
      <c r="AI279" s="69"/>
      <c r="AJ279" s="69"/>
      <c r="AK279" s="69"/>
      <c r="AP279" s="76"/>
      <c r="AQ279" s="67"/>
      <c r="AR279" s="68"/>
      <c r="AS279" s="69"/>
      <c r="AT279" s="69"/>
      <c r="AU279" s="69"/>
      <c r="AV279" s="69"/>
      <c r="AW279" s="69"/>
      <c r="AX279" s="68"/>
      <c r="AY279" s="69"/>
      <c r="AZ279" s="67"/>
      <c r="BA279" s="69"/>
      <c r="BB279" s="76"/>
      <c r="BC279" s="67"/>
      <c r="BD279" s="68"/>
      <c r="BE279" s="69"/>
      <c r="BF279" s="69"/>
      <c r="BG279" s="69"/>
      <c r="BH279" s="69"/>
      <c r="BI279" s="69"/>
      <c r="BJ279" s="68"/>
      <c r="BK279" s="69"/>
      <c r="BL279" s="67"/>
      <c r="BM279" s="67"/>
      <c r="BN279" s="56"/>
      <c r="BO279" s="56"/>
      <c r="BT279" s="63"/>
      <c r="BW279" s="56"/>
      <c r="BX279" s="56"/>
      <c r="BY279" s="56"/>
      <c r="BZ279" s="56"/>
      <c r="CA279" s="56"/>
      <c r="CF279" s="63"/>
      <c r="CI279" s="56"/>
      <c r="CJ279" s="56"/>
      <c r="CK279" s="56"/>
      <c r="CL279" s="56"/>
      <c r="CM279" s="56"/>
    </row>
    <row r="280" spans="18:93" ht="18" customHeight="1">
      <c r="AQ280" s="67"/>
      <c r="AR280" s="68"/>
      <c r="AS280" s="68"/>
      <c r="AT280" s="68"/>
      <c r="AU280" s="68"/>
      <c r="AV280" s="68"/>
      <c r="AW280" s="68"/>
      <c r="AX280" s="68"/>
      <c r="AY280" s="69"/>
      <c r="AZ280" s="67"/>
      <c r="BA280" s="68"/>
      <c r="BB280" s="67"/>
      <c r="BC280" s="67"/>
      <c r="BD280" s="68"/>
      <c r="BE280" s="68"/>
      <c r="BF280" s="68"/>
      <c r="BG280" s="68"/>
      <c r="BH280" s="68"/>
      <c r="BI280" s="68"/>
      <c r="BJ280" s="68"/>
      <c r="BK280" s="69"/>
      <c r="BL280" s="67"/>
      <c r="BM280" s="67"/>
    </row>
    <row r="281" spans="18:93" ht="18" customHeight="1">
      <c r="R281" s="76"/>
      <c r="S281" s="77"/>
      <c r="Y281" s="533"/>
      <c r="Z281" s="533"/>
      <c r="AA281" s="533"/>
      <c r="AD281" s="76"/>
      <c r="AE281" s="77"/>
      <c r="AK281" s="533"/>
      <c r="AL281" s="533"/>
      <c r="AM281" s="533"/>
      <c r="AP281" s="76"/>
      <c r="AQ281" s="77"/>
      <c r="AR281" s="68"/>
      <c r="AS281" s="68"/>
      <c r="AT281" s="68"/>
      <c r="AU281" s="68"/>
      <c r="AV281" s="68"/>
      <c r="AW281" s="533"/>
      <c r="AX281" s="533"/>
      <c r="AY281" s="533"/>
      <c r="AZ281" s="67"/>
      <c r="BA281" s="68"/>
      <c r="BB281" s="76"/>
      <c r="BC281" s="77"/>
      <c r="BD281" s="68"/>
      <c r="BE281" s="68"/>
      <c r="BF281" s="68"/>
      <c r="BG281" s="68"/>
      <c r="BH281" s="68"/>
      <c r="BI281" s="533"/>
      <c r="BJ281" s="533"/>
      <c r="BK281" s="533"/>
      <c r="BL281" s="67"/>
      <c r="BM281" s="67"/>
      <c r="BO281" s="531"/>
      <c r="BP281" s="531"/>
      <c r="BQ281" s="531"/>
      <c r="BT281" s="63"/>
      <c r="BU281" s="64"/>
      <c r="CA281" s="531"/>
      <c r="CB281" s="531"/>
      <c r="CC281" s="531"/>
      <c r="CF281" s="63"/>
      <c r="CG281" s="64"/>
      <c r="CM281" s="531"/>
      <c r="CN281" s="531"/>
      <c r="CO281" s="531"/>
    </row>
    <row r="282" spans="18:93" ht="18" customHeight="1">
      <c r="R282" s="76"/>
      <c r="V282" s="170"/>
      <c r="W282" s="69"/>
      <c r="X282" s="69"/>
      <c r="Y282" s="69"/>
      <c r="AD282" s="76"/>
      <c r="AG282" s="69"/>
      <c r="AH282" s="69"/>
      <c r="AI282" s="69"/>
      <c r="AJ282" s="69"/>
      <c r="AK282" s="69"/>
      <c r="AP282" s="76"/>
      <c r="AQ282" s="67"/>
      <c r="AR282" s="68"/>
      <c r="AS282" s="69"/>
      <c r="AT282" s="69"/>
      <c r="AU282" s="69"/>
      <c r="AV282" s="69"/>
      <c r="AW282" s="69"/>
      <c r="AX282" s="68"/>
      <c r="AY282" s="69"/>
      <c r="AZ282" s="67"/>
      <c r="BA282" s="69"/>
      <c r="BB282" s="76"/>
      <c r="BC282" s="67"/>
      <c r="BD282" s="68"/>
      <c r="BE282" s="69"/>
      <c r="BF282" s="69"/>
      <c r="BG282" s="69"/>
      <c r="BH282" s="69"/>
      <c r="BI282" s="69"/>
      <c r="BJ282" s="68"/>
      <c r="BK282" s="69"/>
      <c r="BL282" s="67"/>
      <c r="BM282" s="67"/>
      <c r="BN282" s="56"/>
      <c r="BO282" s="56"/>
      <c r="BT282" s="63"/>
      <c r="BW282" s="56"/>
      <c r="BX282" s="56"/>
      <c r="BY282" s="56"/>
      <c r="BZ282" s="56"/>
      <c r="CA282" s="56"/>
      <c r="CF282" s="63"/>
      <c r="CI282" s="56"/>
      <c r="CJ282" s="56"/>
      <c r="CK282" s="56"/>
      <c r="CL282" s="56"/>
      <c r="CM282" s="56"/>
    </row>
    <row r="283" spans="18:93" ht="18" customHeight="1">
      <c r="R283" s="76"/>
      <c r="V283" s="170"/>
      <c r="W283" s="69"/>
      <c r="X283" s="69"/>
      <c r="Y283" s="69"/>
      <c r="AD283" s="76"/>
      <c r="AG283" s="69"/>
      <c r="AH283" s="69"/>
      <c r="AI283" s="69"/>
      <c r="AJ283" s="69"/>
      <c r="AK283" s="69"/>
      <c r="AP283" s="76"/>
      <c r="AQ283" s="67"/>
      <c r="AR283" s="68"/>
      <c r="AS283" s="69"/>
      <c r="AT283" s="69"/>
      <c r="AU283" s="69"/>
      <c r="AV283" s="69"/>
      <c r="AW283" s="69"/>
      <c r="AX283" s="68"/>
      <c r="AY283" s="69"/>
      <c r="AZ283" s="67"/>
      <c r="BA283" s="69"/>
      <c r="BB283" s="76"/>
      <c r="BC283" s="67"/>
      <c r="BD283" s="68"/>
      <c r="BE283" s="69"/>
      <c r="BF283" s="69"/>
      <c r="BG283" s="69"/>
      <c r="BH283" s="69"/>
      <c r="BI283" s="69"/>
      <c r="BJ283" s="68"/>
      <c r="BK283" s="69"/>
      <c r="BL283" s="67"/>
      <c r="BM283" s="67"/>
      <c r="BN283" s="56"/>
      <c r="BO283" s="56"/>
      <c r="BT283" s="63"/>
      <c r="BW283" s="56"/>
      <c r="BX283" s="56"/>
      <c r="BY283" s="56"/>
      <c r="BZ283" s="56"/>
      <c r="CA283" s="56"/>
      <c r="CF283" s="63"/>
      <c r="CI283" s="56"/>
      <c r="CJ283" s="56"/>
      <c r="CK283" s="56"/>
      <c r="CL283" s="56"/>
      <c r="CM283" s="56"/>
    </row>
    <row r="284" spans="18:93" ht="18" customHeight="1">
      <c r="R284" s="76"/>
      <c r="V284" s="170"/>
      <c r="W284" s="69"/>
      <c r="X284" s="69"/>
      <c r="Y284" s="69"/>
      <c r="AD284" s="76"/>
      <c r="AG284" s="69"/>
      <c r="AH284" s="69"/>
      <c r="AI284" s="69"/>
      <c r="AJ284" s="69"/>
      <c r="AK284" s="69"/>
      <c r="AP284" s="76"/>
      <c r="AQ284" s="67"/>
      <c r="AR284" s="68"/>
      <c r="AS284" s="69"/>
      <c r="AT284" s="69"/>
      <c r="AU284" s="69"/>
      <c r="AV284" s="69"/>
      <c r="AW284" s="69"/>
      <c r="AX284" s="68"/>
      <c r="AY284" s="69"/>
      <c r="AZ284" s="67"/>
      <c r="BA284" s="69"/>
      <c r="BB284" s="76"/>
      <c r="BC284" s="67"/>
      <c r="BD284" s="68"/>
      <c r="BE284" s="69"/>
      <c r="BF284" s="69"/>
      <c r="BG284" s="69"/>
      <c r="BH284" s="69"/>
      <c r="BI284" s="69"/>
      <c r="BJ284" s="68"/>
      <c r="BK284" s="69"/>
      <c r="BL284" s="67"/>
      <c r="BM284" s="67"/>
      <c r="BN284" s="56"/>
      <c r="BO284" s="56"/>
      <c r="BT284" s="63"/>
      <c r="BW284" s="56"/>
      <c r="BX284" s="56"/>
      <c r="BY284" s="56"/>
      <c r="BZ284" s="56"/>
      <c r="CA284" s="56"/>
      <c r="CF284" s="63"/>
      <c r="CI284" s="56"/>
      <c r="CJ284" s="56"/>
      <c r="CK284" s="56"/>
      <c r="CL284" s="56"/>
      <c r="CM284" s="56"/>
    </row>
    <row r="285" spans="18:93" ht="18" customHeight="1">
      <c r="R285" s="76"/>
      <c r="V285" s="170"/>
      <c r="W285" s="69"/>
      <c r="X285" s="69"/>
      <c r="Y285" s="69"/>
      <c r="AD285" s="76"/>
      <c r="AG285" s="69"/>
      <c r="AH285" s="69"/>
      <c r="AI285" s="69"/>
      <c r="AJ285" s="69"/>
      <c r="AK285" s="69"/>
      <c r="AP285" s="76"/>
      <c r="AQ285" s="67"/>
      <c r="AR285" s="68"/>
      <c r="AS285" s="69"/>
      <c r="AT285" s="69"/>
      <c r="AU285" s="69"/>
      <c r="AV285" s="69"/>
      <c r="AW285" s="69"/>
      <c r="AX285" s="68"/>
      <c r="AY285" s="69"/>
      <c r="AZ285" s="67"/>
      <c r="BA285" s="69"/>
      <c r="BB285" s="76"/>
      <c r="BC285" s="67"/>
      <c r="BD285" s="68"/>
      <c r="BE285" s="69"/>
      <c r="BF285" s="69"/>
      <c r="BG285" s="69"/>
      <c r="BH285" s="69"/>
      <c r="BI285" s="69"/>
      <c r="BJ285" s="68"/>
      <c r="BK285" s="69"/>
      <c r="BL285" s="67"/>
      <c r="BM285" s="67"/>
      <c r="BN285" s="56"/>
      <c r="BO285" s="56"/>
      <c r="BT285" s="63"/>
      <c r="BW285" s="56"/>
      <c r="BX285" s="56"/>
      <c r="BY285" s="56"/>
      <c r="BZ285" s="56"/>
      <c r="CA285" s="56"/>
      <c r="CF285" s="63"/>
      <c r="CI285" s="56"/>
      <c r="CJ285" s="56"/>
      <c r="CK285" s="56"/>
      <c r="CL285" s="56"/>
      <c r="CM285" s="56"/>
    </row>
    <row r="286" spans="18:93" ht="18" customHeight="1">
      <c r="AQ286" s="67"/>
      <c r="AR286" s="68"/>
      <c r="AS286" s="68"/>
      <c r="AT286" s="68"/>
      <c r="AU286" s="68"/>
      <c r="AV286" s="68"/>
      <c r="AW286" s="68"/>
      <c r="AX286" s="68"/>
      <c r="AY286" s="69"/>
      <c r="AZ286" s="67"/>
      <c r="BA286" s="68"/>
      <c r="BB286" s="67"/>
      <c r="BC286" s="67"/>
      <c r="BD286" s="68"/>
      <c r="BE286" s="68"/>
      <c r="BF286" s="68"/>
      <c r="BG286" s="68"/>
      <c r="BH286" s="68"/>
      <c r="BI286" s="68"/>
      <c r="BJ286" s="68"/>
      <c r="BK286" s="69"/>
      <c r="BL286" s="67"/>
      <c r="BM286" s="67"/>
    </row>
    <row r="287" spans="18:93" ht="18" customHeight="1">
      <c r="R287" s="76"/>
      <c r="S287" s="77"/>
      <c r="Y287" s="533"/>
      <c r="Z287" s="533"/>
      <c r="AA287" s="533"/>
      <c r="AD287" s="76"/>
      <c r="AE287" s="77"/>
      <c r="AK287" s="533"/>
      <c r="AL287" s="533"/>
      <c r="AM287" s="533"/>
      <c r="AP287" s="76"/>
      <c r="AQ287" s="77"/>
      <c r="AR287" s="68"/>
      <c r="AS287" s="68"/>
      <c r="AT287" s="68"/>
      <c r="AU287" s="68"/>
      <c r="AV287" s="68"/>
      <c r="AW287" s="533"/>
      <c r="AX287" s="533"/>
      <c r="AY287" s="533"/>
      <c r="AZ287" s="67"/>
      <c r="BA287" s="68"/>
      <c r="BB287" s="76"/>
      <c r="BC287" s="77"/>
      <c r="BD287" s="68"/>
      <c r="BE287" s="68"/>
      <c r="BF287" s="68"/>
      <c r="BG287" s="68"/>
      <c r="BH287" s="68"/>
      <c r="BI287" s="533"/>
      <c r="BJ287" s="533"/>
      <c r="BK287" s="533"/>
      <c r="BL287" s="67"/>
      <c r="BM287" s="67"/>
      <c r="BO287" s="531"/>
      <c r="BP287" s="531"/>
      <c r="BQ287" s="531"/>
      <c r="BT287" s="63"/>
      <c r="BU287" s="64"/>
      <c r="CA287" s="531"/>
      <c r="CB287" s="531"/>
      <c r="CC287" s="531"/>
      <c r="CF287" s="63"/>
      <c r="CG287" s="64"/>
      <c r="CM287" s="531"/>
      <c r="CN287" s="531"/>
      <c r="CO287" s="531"/>
    </row>
    <row r="288" spans="18:93" ht="18" customHeight="1">
      <c r="R288" s="76"/>
      <c r="V288" s="170"/>
      <c r="W288" s="69"/>
      <c r="X288" s="69"/>
      <c r="Y288" s="69"/>
      <c r="AD288" s="76"/>
      <c r="AG288" s="69"/>
      <c r="AH288" s="69"/>
      <c r="AI288" s="69"/>
      <c r="AJ288" s="69"/>
      <c r="AK288" s="69"/>
      <c r="AP288" s="76"/>
      <c r="AQ288" s="67"/>
      <c r="AR288" s="68"/>
      <c r="AS288" s="69"/>
      <c r="AT288" s="69"/>
      <c r="AU288" s="69"/>
      <c r="AV288" s="69"/>
      <c r="AW288" s="69"/>
      <c r="AX288" s="68"/>
      <c r="AY288" s="69"/>
      <c r="AZ288" s="67"/>
      <c r="BA288" s="69"/>
      <c r="BB288" s="76"/>
      <c r="BC288" s="67"/>
      <c r="BD288" s="68"/>
      <c r="BE288" s="69"/>
      <c r="BF288" s="69"/>
      <c r="BG288" s="69"/>
      <c r="BH288" s="69"/>
      <c r="BI288" s="69"/>
      <c r="BJ288" s="68"/>
      <c r="BK288" s="69"/>
      <c r="BL288" s="67"/>
      <c r="BM288" s="67"/>
      <c r="BN288" s="56"/>
      <c r="BO288" s="56"/>
      <c r="BT288" s="63"/>
      <c r="BW288" s="56"/>
      <c r="BX288" s="56"/>
      <c r="BY288" s="56"/>
      <c r="BZ288" s="56"/>
      <c r="CA288" s="56"/>
      <c r="CF288" s="63"/>
      <c r="CI288" s="56"/>
      <c r="CJ288" s="56"/>
      <c r="CK288" s="56"/>
      <c r="CL288" s="56"/>
      <c r="CM288" s="56"/>
    </row>
    <row r="289" spans="18:93" ht="18" customHeight="1">
      <c r="R289" s="76"/>
      <c r="V289" s="170"/>
      <c r="W289" s="69"/>
      <c r="X289" s="69"/>
      <c r="Y289" s="69"/>
      <c r="AD289" s="76"/>
      <c r="AG289" s="69"/>
      <c r="AH289" s="69"/>
      <c r="AI289" s="69"/>
      <c r="AJ289" s="69"/>
      <c r="AK289" s="69"/>
      <c r="AP289" s="76"/>
      <c r="AQ289" s="67"/>
      <c r="AR289" s="68"/>
      <c r="AS289" s="69"/>
      <c r="AT289" s="69"/>
      <c r="AU289" s="69"/>
      <c r="AV289" s="69"/>
      <c r="AW289" s="69"/>
      <c r="AX289" s="68"/>
      <c r="AY289" s="69"/>
      <c r="AZ289" s="67"/>
      <c r="BA289" s="69"/>
      <c r="BB289" s="76"/>
      <c r="BC289" s="67"/>
      <c r="BD289" s="68"/>
      <c r="BE289" s="69"/>
      <c r="BF289" s="69"/>
      <c r="BG289" s="69"/>
      <c r="BH289" s="69"/>
      <c r="BI289" s="69"/>
      <c r="BJ289" s="68"/>
      <c r="BK289" s="69"/>
      <c r="BL289" s="67"/>
      <c r="BM289" s="67"/>
      <c r="BN289" s="56"/>
      <c r="BO289" s="56"/>
      <c r="BT289" s="63"/>
      <c r="BW289" s="56"/>
      <c r="BX289" s="56"/>
      <c r="BY289" s="56"/>
      <c r="BZ289" s="56"/>
      <c r="CA289" s="56"/>
      <c r="CF289" s="63"/>
      <c r="CI289" s="56"/>
      <c r="CJ289" s="56"/>
      <c r="CK289" s="56"/>
      <c r="CL289" s="56"/>
      <c r="CM289" s="56"/>
    </row>
    <row r="290" spans="18:93" ht="18" customHeight="1">
      <c r="R290" s="76"/>
      <c r="V290" s="170"/>
      <c r="W290" s="69"/>
      <c r="X290" s="69"/>
      <c r="Y290" s="69"/>
      <c r="AD290" s="76"/>
      <c r="AG290" s="69"/>
      <c r="AH290" s="69"/>
      <c r="AI290" s="69"/>
      <c r="AJ290" s="69"/>
      <c r="AK290" s="69"/>
      <c r="AP290" s="76"/>
      <c r="AQ290" s="67"/>
      <c r="AR290" s="68"/>
      <c r="AS290" s="69"/>
      <c r="AT290" s="69"/>
      <c r="AU290" s="69"/>
      <c r="AV290" s="69"/>
      <c r="AW290" s="69"/>
      <c r="AX290" s="68"/>
      <c r="AY290" s="69"/>
      <c r="AZ290" s="67"/>
      <c r="BA290" s="69"/>
      <c r="BB290" s="76"/>
      <c r="BC290" s="67"/>
      <c r="BD290" s="68"/>
      <c r="BE290" s="69"/>
      <c r="BF290" s="69"/>
      <c r="BG290" s="69"/>
      <c r="BH290" s="69"/>
      <c r="BI290" s="69"/>
      <c r="BJ290" s="68"/>
      <c r="BK290" s="69"/>
      <c r="BL290" s="67"/>
      <c r="BM290" s="67"/>
      <c r="BN290" s="56"/>
      <c r="BO290" s="56"/>
      <c r="BT290" s="63"/>
      <c r="BW290" s="56"/>
      <c r="BX290" s="56"/>
      <c r="BY290" s="56"/>
      <c r="BZ290" s="56"/>
      <c r="CA290" s="56"/>
      <c r="CF290" s="63"/>
      <c r="CI290" s="56"/>
      <c r="CJ290" s="56"/>
      <c r="CK290" s="56"/>
      <c r="CL290" s="56"/>
      <c r="CM290" s="56"/>
    </row>
    <row r="291" spans="18:93" ht="18" customHeight="1">
      <c r="R291" s="76"/>
      <c r="V291" s="170"/>
      <c r="W291" s="69"/>
      <c r="X291" s="69"/>
      <c r="Y291" s="69"/>
      <c r="AD291" s="76"/>
      <c r="AG291" s="69"/>
      <c r="AH291" s="69"/>
      <c r="AI291" s="69"/>
      <c r="AJ291" s="69"/>
      <c r="AK291" s="69"/>
      <c r="AP291" s="76"/>
      <c r="AQ291" s="67"/>
      <c r="AR291" s="68"/>
      <c r="AS291" s="69"/>
      <c r="AT291" s="69"/>
      <c r="AU291" s="69"/>
      <c r="AV291" s="69"/>
      <c r="AW291" s="69"/>
      <c r="AX291" s="68"/>
      <c r="AY291" s="69"/>
      <c r="AZ291" s="67"/>
      <c r="BA291" s="69"/>
      <c r="BB291" s="76"/>
      <c r="BC291" s="67"/>
      <c r="BD291" s="68"/>
      <c r="BE291" s="69"/>
      <c r="BF291" s="69"/>
      <c r="BG291" s="69"/>
      <c r="BH291" s="69"/>
      <c r="BI291" s="69"/>
      <c r="BJ291" s="68"/>
      <c r="BK291" s="69"/>
      <c r="BL291" s="67"/>
      <c r="BM291" s="67"/>
      <c r="BN291" s="56"/>
      <c r="BO291" s="56"/>
      <c r="BT291" s="63"/>
      <c r="BW291" s="56"/>
      <c r="BX291" s="56"/>
      <c r="BY291" s="56"/>
      <c r="BZ291" s="56"/>
      <c r="CA291" s="56"/>
      <c r="CF291" s="63"/>
      <c r="CI291" s="56"/>
      <c r="CJ291" s="56"/>
      <c r="CK291" s="56"/>
      <c r="CL291" s="56"/>
      <c r="CM291" s="56"/>
    </row>
    <row r="292" spans="18:93" ht="18" customHeight="1">
      <c r="AQ292" s="67"/>
      <c r="AR292" s="68"/>
      <c r="AS292" s="68"/>
      <c r="AT292" s="68"/>
      <c r="AU292" s="68"/>
      <c r="AV292" s="68"/>
      <c r="AW292" s="68"/>
      <c r="AX292" s="68"/>
      <c r="AY292" s="69"/>
      <c r="AZ292" s="67"/>
      <c r="BA292" s="68"/>
      <c r="BB292" s="67"/>
      <c r="BC292" s="67"/>
      <c r="BD292" s="68"/>
      <c r="BE292" s="68"/>
      <c r="BF292" s="68"/>
      <c r="BG292" s="68"/>
      <c r="BH292" s="68"/>
      <c r="BI292" s="68"/>
      <c r="BJ292" s="68"/>
      <c r="BK292" s="69"/>
      <c r="BL292" s="67"/>
      <c r="BM292" s="67"/>
    </row>
    <row r="293" spans="18:93" ht="18" customHeight="1">
      <c r="R293" s="76"/>
      <c r="S293" s="77"/>
      <c r="Y293" s="533"/>
      <c r="Z293" s="533"/>
      <c r="AA293" s="533"/>
      <c r="AD293" s="76"/>
      <c r="AE293" s="77"/>
      <c r="AK293" s="533"/>
      <c r="AL293" s="533"/>
      <c r="AM293" s="533"/>
      <c r="AP293" s="76"/>
      <c r="AQ293" s="77"/>
      <c r="AR293" s="68"/>
      <c r="AS293" s="68"/>
      <c r="AT293" s="68"/>
      <c r="AU293" s="68"/>
      <c r="AV293" s="68"/>
      <c r="AW293" s="533"/>
      <c r="AX293" s="533"/>
      <c r="AY293" s="533"/>
      <c r="AZ293" s="67"/>
      <c r="BA293" s="68"/>
      <c r="BB293" s="76"/>
      <c r="BC293" s="77"/>
      <c r="BD293" s="68"/>
      <c r="BE293" s="68"/>
      <c r="BF293" s="68"/>
      <c r="BG293" s="68"/>
      <c r="BH293" s="68"/>
      <c r="BI293" s="533"/>
      <c r="BJ293" s="533"/>
      <c r="BK293" s="533"/>
      <c r="BL293" s="67"/>
      <c r="BM293" s="67"/>
      <c r="BO293" s="531"/>
      <c r="BP293" s="531"/>
      <c r="BQ293" s="531"/>
      <c r="BT293" s="63"/>
      <c r="BU293" s="64"/>
      <c r="CA293" s="531"/>
      <c r="CB293" s="531"/>
      <c r="CC293" s="531"/>
      <c r="CF293" s="63"/>
      <c r="CG293" s="64"/>
      <c r="CM293" s="531"/>
      <c r="CN293" s="531"/>
      <c r="CO293" s="531"/>
    </row>
    <row r="294" spans="18:93" ht="18" customHeight="1">
      <c r="R294" s="76"/>
      <c r="V294" s="170"/>
      <c r="W294" s="69"/>
      <c r="X294" s="69"/>
      <c r="Y294" s="69"/>
      <c r="AD294" s="76"/>
      <c r="AG294" s="69"/>
      <c r="AH294" s="69"/>
      <c r="AI294" s="69"/>
      <c r="AJ294" s="69"/>
      <c r="AK294" s="69"/>
      <c r="AP294" s="76"/>
      <c r="AQ294" s="67"/>
      <c r="AR294" s="68"/>
      <c r="AS294" s="69"/>
      <c r="AT294" s="69"/>
      <c r="AU294" s="69"/>
      <c r="AV294" s="69"/>
      <c r="AW294" s="69"/>
      <c r="AX294" s="68"/>
      <c r="AY294" s="69"/>
      <c r="AZ294" s="67"/>
      <c r="BA294" s="69"/>
      <c r="BB294" s="76"/>
      <c r="BC294" s="67"/>
      <c r="BD294" s="68"/>
      <c r="BE294" s="69"/>
      <c r="BF294" s="69"/>
      <c r="BG294" s="69"/>
      <c r="BH294" s="69"/>
      <c r="BI294" s="69"/>
      <c r="BJ294" s="68"/>
      <c r="BK294" s="69"/>
      <c r="BL294" s="67"/>
      <c r="BM294" s="67"/>
      <c r="BN294" s="56"/>
      <c r="BO294" s="56"/>
      <c r="BT294" s="63"/>
      <c r="BW294" s="56"/>
      <c r="BX294" s="56"/>
      <c r="BY294" s="56"/>
      <c r="BZ294" s="56"/>
      <c r="CA294" s="56"/>
      <c r="CF294" s="63"/>
      <c r="CI294" s="56"/>
      <c r="CJ294" s="56"/>
      <c r="CK294" s="56"/>
      <c r="CL294" s="56"/>
      <c r="CM294" s="56"/>
    </row>
    <row r="295" spans="18:93" ht="18" customHeight="1">
      <c r="R295" s="76"/>
      <c r="V295" s="170"/>
      <c r="W295" s="69"/>
      <c r="X295" s="69"/>
      <c r="Y295" s="69"/>
      <c r="AD295" s="76"/>
      <c r="AG295" s="69"/>
      <c r="AH295" s="69"/>
      <c r="AI295" s="69"/>
      <c r="AJ295" s="69"/>
      <c r="AK295" s="69"/>
      <c r="AP295" s="76"/>
      <c r="AQ295" s="67"/>
      <c r="AR295" s="68"/>
      <c r="AS295" s="69"/>
      <c r="AT295" s="69"/>
      <c r="AU295" s="69"/>
      <c r="AV295" s="69"/>
      <c r="AW295" s="69"/>
      <c r="AX295" s="68"/>
      <c r="AY295" s="69"/>
      <c r="AZ295" s="67"/>
      <c r="BA295" s="69"/>
      <c r="BB295" s="76"/>
      <c r="BC295" s="67"/>
      <c r="BD295" s="68"/>
      <c r="BE295" s="69"/>
      <c r="BF295" s="69"/>
      <c r="BG295" s="69"/>
      <c r="BH295" s="69"/>
      <c r="BI295" s="69"/>
      <c r="BJ295" s="68"/>
      <c r="BK295" s="69"/>
      <c r="BL295" s="67"/>
      <c r="BM295" s="67"/>
      <c r="BN295" s="56"/>
      <c r="BO295" s="56"/>
      <c r="BT295" s="63"/>
      <c r="BW295" s="56"/>
      <c r="BX295" s="56"/>
      <c r="BY295" s="56"/>
      <c r="BZ295" s="56"/>
      <c r="CA295" s="56"/>
      <c r="CF295" s="63"/>
      <c r="CI295" s="56"/>
      <c r="CJ295" s="56"/>
      <c r="CK295" s="56"/>
      <c r="CL295" s="56"/>
      <c r="CM295" s="56"/>
    </row>
    <row r="296" spans="18:93" ht="18" customHeight="1">
      <c r="R296" s="76"/>
      <c r="V296" s="170"/>
      <c r="W296" s="69"/>
      <c r="X296" s="69"/>
      <c r="Y296" s="69"/>
      <c r="AD296" s="76"/>
      <c r="AG296" s="69"/>
      <c r="AH296" s="69"/>
      <c r="AI296" s="69"/>
      <c r="AJ296" s="69"/>
      <c r="AK296" s="69"/>
      <c r="AP296" s="76"/>
      <c r="AQ296" s="67"/>
      <c r="AR296" s="68"/>
      <c r="AS296" s="69"/>
      <c r="AT296" s="69"/>
      <c r="AU296" s="69"/>
      <c r="AV296" s="69"/>
      <c r="AW296" s="69"/>
      <c r="AX296" s="68"/>
      <c r="AY296" s="69"/>
      <c r="AZ296" s="67"/>
      <c r="BA296" s="69"/>
      <c r="BB296" s="76"/>
      <c r="BC296" s="67"/>
      <c r="BD296" s="68"/>
      <c r="BE296" s="69"/>
      <c r="BF296" s="69"/>
      <c r="BG296" s="69"/>
      <c r="BH296" s="69"/>
      <c r="BI296" s="69"/>
      <c r="BJ296" s="68"/>
      <c r="BK296" s="69"/>
      <c r="BL296" s="67"/>
      <c r="BM296" s="67"/>
      <c r="BN296" s="56"/>
      <c r="BO296" s="56"/>
      <c r="BT296" s="63"/>
      <c r="BW296" s="56"/>
      <c r="BX296" s="56"/>
      <c r="BY296" s="56"/>
      <c r="BZ296" s="56"/>
      <c r="CA296" s="56"/>
      <c r="CF296" s="63"/>
      <c r="CI296" s="56"/>
      <c r="CJ296" s="56"/>
      <c r="CK296" s="56"/>
      <c r="CL296" s="56"/>
      <c r="CM296" s="56"/>
    </row>
    <row r="297" spans="18:93" ht="18" customHeight="1">
      <c r="R297" s="76"/>
      <c r="V297" s="170"/>
      <c r="W297" s="69"/>
      <c r="X297" s="69"/>
      <c r="Y297" s="69"/>
      <c r="AD297" s="76"/>
      <c r="AG297" s="69"/>
      <c r="AH297" s="69"/>
      <c r="AI297" s="69"/>
      <c r="AJ297" s="69"/>
      <c r="AK297" s="69"/>
      <c r="AP297" s="76"/>
      <c r="AQ297" s="67"/>
      <c r="AR297" s="68"/>
      <c r="AS297" s="69"/>
      <c r="AT297" s="69"/>
      <c r="AU297" s="69"/>
      <c r="AV297" s="69"/>
      <c r="AW297" s="69"/>
      <c r="AX297" s="68"/>
      <c r="AY297" s="69"/>
      <c r="AZ297" s="67"/>
      <c r="BA297" s="69"/>
      <c r="BB297" s="76"/>
      <c r="BC297" s="67"/>
      <c r="BD297" s="68"/>
      <c r="BE297" s="69"/>
      <c r="BF297" s="69"/>
      <c r="BG297" s="69"/>
      <c r="BH297" s="69"/>
      <c r="BI297" s="69"/>
      <c r="BJ297" s="68"/>
      <c r="BK297" s="69"/>
      <c r="BL297" s="67"/>
      <c r="BM297" s="67"/>
      <c r="BN297" s="56"/>
      <c r="BO297" s="56"/>
      <c r="BT297" s="63"/>
      <c r="BW297" s="56"/>
      <c r="BX297" s="56"/>
      <c r="BY297" s="56"/>
      <c r="BZ297" s="56"/>
      <c r="CA297" s="56"/>
      <c r="CF297" s="63"/>
      <c r="CI297" s="56"/>
      <c r="CJ297" s="56"/>
      <c r="CK297" s="56"/>
      <c r="CL297" s="56"/>
      <c r="CM297" s="56"/>
    </row>
    <row r="298" spans="18:93" ht="18" customHeight="1">
      <c r="AQ298" s="67"/>
      <c r="AR298" s="68"/>
      <c r="AS298" s="68"/>
      <c r="AT298" s="68"/>
      <c r="AU298" s="68"/>
      <c r="AV298" s="68"/>
      <c r="AW298" s="68"/>
      <c r="AX298" s="68"/>
      <c r="AY298" s="69"/>
      <c r="AZ298" s="67"/>
      <c r="BA298" s="68"/>
      <c r="BB298" s="67"/>
      <c r="BC298" s="67"/>
      <c r="BD298" s="68"/>
      <c r="BE298" s="68"/>
      <c r="BF298" s="68"/>
      <c r="BG298" s="68"/>
      <c r="BH298" s="68"/>
      <c r="BI298" s="68"/>
      <c r="BJ298" s="68"/>
      <c r="BK298" s="69"/>
      <c r="BL298" s="67"/>
      <c r="BM298" s="67"/>
    </row>
    <row r="299" spans="18:93" ht="18" customHeight="1">
      <c r="R299" s="76"/>
      <c r="S299" s="77"/>
      <c r="Y299" s="533"/>
      <c r="Z299" s="533"/>
      <c r="AA299" s="533"/>
      <c r="AD299" s="76"/>
      <c r="AE299" s="77"/>
      <c r="AK299" s="533"/>
      <c r="AL299" s="533"/>
      <c r="AM299" s="533"/>
      <c r="AP299" s="76"/>
      <c r="AQ299" s="77"/>
      <c r="AR299" s="68"/>
      <c r="AS299" s="68"/>
      <c r="AT299" s="68"/>
      <c r="AU299" s="68"/>
      <c r="AV299" s="68"/>
      <c r="AW299" s="533"/>
      <c r="AX299" s="533"/>
      <c r="AY299" s="533"/>
      <c r="AZ299" s="67"/>
      <c r="BA299" s="68"/>
      <c r="BB299" s="76"/>
      <c r="BC299" s="77"/>
      <c r="BD299" s="68"/>
      <c r="BE299" s="68"/>
      <c r="BF299" s="68"/>
      <c r="BG299" s="68"/>
      <c r="BH299" s="68"/>
      <c r="BI299" s="533"/>
      <c r="BJ299" s="533"/>
      <c r="BK299" s="533"/>
      <c r="BL299" s="67"/>
      <c r="BM299" s="67"/>
      <c r="BO299" s="531"/>
      <c r="BP299" s="531"/>
      <c r="BQ299" s="531"/>
      <c r="BT299" s="63"/>
      <c r="BU299" s="64"/>
      <c r="CA299" s="531"/>
      <c r="CB299" s="531"/>
      <c r="CC299" s="531"/>
      <c r="CF299" s="63"/>
      <c r="CG299" s="64"/>
      <c r="CM299" s="531"/>
      <c r="CN299" s="531"/>
      <c r="CO299" s="531"/>
    </row>
    <row r="300" spans="18:93" ht="18" customHeight="1">
      <c r="R300" s="76"/>
      <c r="V300" s="170"/>
      <c r="W300" s="69"/>
      <c r="X300" s="69"/>
      <c r="Y300" s="69"/>
      <c r="AD300" s="76"/>
      <c r="AG300" s="69"/>
      <c r="AH300" s="69"/>
      <c r="AI300" s="69"/>
      <c r="AJ300" s="69"/>
      <c r="AK300" s="69"/>
      <c r="AP300" s="76"/>
      <c r="AQ300" s="67"/>
      <c r="AR300" s="68"/>
      <c r="AS300" s="69"/>
      <c r="AT300" s="69"/>
      <c r="AU300" s="69"/>
      <c r="AV300" s="69"/>
      <c r="AW300" s="69"/>
      <c r="AX300" s="68"/>
      <c r="AY300" s="69"/>
      <c r="AZ300" s="67"/>
      <c r="BA300" s="69"/>
      <c r="BB300" s="76"/>
      <c r="BC300" s="67"/>
      <c r="BD300" s="68"/>
      <c r="BE300" s="69"/>
      <c r="BF300" s="69"/>
      <c r="BG300" s="69"/>
      <c r="BH300" s="69"/>
      <c r="BI300" s="69"/>
      <c r="BJ300" s="68"/>
      <c r="BK300" s="69"/>
      <c r="BL300" s="67"/>
      <c r="BM300" s="67"/>
      <c r="BN300" s="56"/>
      <c r="BO300" s="56"/>
      <c r="BT300" s="63"/>
      <c r="BW300" s="56"/>
      <c r="BX300" s="56"/>
      <c r="BY300" s="56"/>
      <c r="BZ300" s="56"/>
      <c r="CA300" s="56"/>
      <c r="CF300" s="63"/>
      <c r="CI300" s="56"/>
      <c r="CJ300" s="56"/>
      <c r="CK300" s="56"/>
      <c r="CL300" s="56"/>
      <c r="CM300" s="56"/>
    </row>
    <row r="301" spans="18:93" ht="18" customHeight="1">
      <c r="R301" s="76"/>
      <c r="V301" s="170"/>
      <c r="W301" s="69"/>
      <c r="X301" s="69"/>
      <c r="Y301" s="69"/>
      <c r="AD301" s="76"/>
      <c r="AG301" s="69"/>
      <c r="AH301" s="69"/>
      <c r="AI301" s="69"/>
      <c r="AJ301" s="69"/>
      <c r="AK301" s="69"/>
      <c r="AP301" s="76"/>
      <c r="AQ301" s="67"/>
      <c r="AR301" s="68"/>
      <c r="AS301" s="69"/>
      <c r="AT301" s="69"/>
      <c r="AU301" s="69"/>
      <c r="AV301" s="69"/>
      <c r="AW301" s="69"/>
      <c r="AX301" s="68"/>
      <c r="AY301" s="69"/>
      <c r="AZ301" s="67"/>
      <c r="BA301" s="69"/>
      <c r="BB301" s="76"/>
      <c r="BC301" s="67"/>
      <c r="BD301" s="68"/>
      <c r="BE301" s="69"/>
      <c r="BF301" s="69"/>
      <c r="BG301" s="69"/>
      <c r="BH301" s="69"/>
      <c r="BI301" s="69"/>
      <c r="BJ301" s="68"/>
      <c r="BK301" s="69"/>
      <c r="BL301" s="67"/>
      <c r="BM301" s="67"/>
      <c r="BN301" s="56"/>
      <c r="BO301" s="56"/>
      <c r="BT301" s="63"/>
      <c r="BW301" s="56"/>
      <c r="BX301" s="56"/>
      <c r="BY301" s="56"/>
      <c r="BZ301" s="56"/>
      <c r="CA301" s="56"/>
      <c r="CF301" s="63"/>
      <c r="CI301" s="56"/>
      <c r="CJ301" s="56"/>
      <c r="CK301" s="56"/>
      <c r="CL301" s="56"/>
      <c r="CM301" s="56"/>
    </row>
    <row r="302" spans="18:93" ht="18" customHeight="1">
      <c r="R302" s="76"/>
      <c r="V302" s="170"/>
      <c r="W302" s="69"/>
      <c r="X302" s="69"/>
      <c r="Y302" s="69"/>
      <c r="AD302" s="76"/>
      <c r="AG302" s="69"/>
      <c r="AH302" s="69"/>
      <c r="AI302" s="69"/>
      <c r="AJ302" s="69"/>
      <c r="AK302" s="69"/>
      <c r="AP302" s="76"/>
      <c r="AQ302" s="67"/>
      <c r="AR302" s="68"/>
      <c r="AS302" s="69"/>
      <c r="AT302" s="69"/>
      <c r="AU302" s="69"/>
      <c r="AV302" s="69"/>
      <c r="AW302" s="69"/>
      <c r="AX302" s="68"/>
      <c r="AY302" s="69"/>
      <c r="AZ302" s="67"/>
      <c r="BA302" s="69"/>
      <c r="BB302" s="76"/>
      <c r="BC302" s="67"/>
      <c r="BD302" s="68"/>
      <c r="BE302" s="69"/>
      <c r="BF302" s="69"/>
      <c r="BG302" s="69"/>
      <c r="BH302" s="69"/>
      <c r="BI302" s="69"/>
      <c r="BJ302" s="68"/>
      <c r="BK302" s="69"/>
      <c r="BL302" s="67"/>
      <c r="BM302" s="67"/>
      <c r="BN302" s="56"/>
      <c r="BO302" s="56"/>
      <c r="BT302" s="63"/>
      <c r="BW302" s="56"/>
      <c r="BX302" s="56"/>
      <c r="BY302" s="56"/>
      <c r="BZ302" s="56"/>
      <c r="CA302" s="56"/>
      <c r="CF302" s="63"/>
      <c r="CI302" s="56"/>
      <c r="CJ302" s="56"/>
      <c r="CK302" s="56"/>
      <c r="CL302" s="56"/>
      <c r="CM302" s="56"/>
    </row>
    <row r="303" spans="18:93" ht="18" customHeight="1">
      <c r="R303" s="76"/>
      <c r="V303" s="170"/>
      <c r="W303" s="69"/>
      <c r="X303" s="69"/>
      <c r="Y303" s="69"/>
      <c r="AD303" s="76"/>
      <c r="AG303" s="69"/>
      <c r="AH303" s="69"/>
      <c r="AI303" s="69"/>
      <c r="AJ303" s="69"/>
      <c r="AK303" s="69"/>
      <c r="AP303" s="76"/>
      <c r="AQ303" s="67"/>
      <c r="AR303" s="68"/>
      <c r="AS303" s="69"/>
      <c r="AT303" s="69"/>
      <c r="AU303" s="69"/>
      <c r="AV303" s="69"/>
      <c r="AW303" s="69"/>
      <c r="AX303" s="68"/>
      <c r="AY303" s="69"/>
      <c r="AZ303" s="67"/>
      <c r="BA303" s="69"/>
      <c r="BB303" s="76"/>
      <c r="BC303" s="67"/>
      <c r="BD303" s="68"/>
      <c r="BE303" s="69"/>
      <c r="BF303" s="69"/>
      <c r="BG303" s="69"/>
      <c r="BH303" s="69"/>
      <c r="BI303" s="69"/>
      <c r="BJ303" s="68"/>
      <c r="BK303" s="69"/>
      <c r="BL303" s="67"/>
      <c r="BM303" s="67"/>
      <c r="BN303" s="56"/>
      <c r="BO303" s="56"/>
      <c r="BT303" s="63"/>
      <c r="BW303" s="56"/>
      <c r="BX303" s="56"/>
      <c r="BY303" s="56"/>
      <c r="BZ303" s="56"/>
      <c r="CA303" s="56"/>
      <c r="CF303" s="63"/>
      <c r="CI303" s="56"/>
      <c r="CJ303" s="56"/>
      <c r="CK303" s="56"/>
      <c r="CL303" s="56"/>
      <c r="CM303" s="56"/>
    </row>
    <row r="304" spans="18:93" ht="18" customHeight="1">
      <c r="AQ304" s="67"/>
      <c r="AR304" s="68"/>
      <c r="AS304" s="68"/>
      <c r="AT304" s="68"/>
      <c r="AU304" s="68"/>
      <c r="AV304" s="68"/>
      <c r="AW304" s="68"/>
      <c r="AX304" s="68"/>
      <c r="AY304" s="69"/>
      <c r="AZ304" s="67"/>
      <c r="BA304" s="68"/>
      <c r="BB304" s="67"/>
      <c r="BC304" s="67"/>
      <c r="BD304" s="68"/>
      <c r="BE304" s="68"/>
      <c r="BF304" s="68"/>
      <c r="BG304" s="68"/>
      <c r="BH304" s="68"/>
      <c r="BI304" s="68"/>
      <c r="BJ304" s="68"/>
      <c r="BK304" s="69"/>
      <c r="BL304" s="67"/>
      <c r="BM304" s="67"/>
    </row>
    <row r="305" spans="18:93" ht="18" customHeight="1">
      <c r="R305" s="76"/>
      <c r="S305" s="77"/>
      <c r="Y305" s="533"/>
      <c r="Z305" s="533"/>
      <c r="AA305" s="533"/>
      <c r="AD305" s="76"/>
      <c r="AE305" s="77"/>
      <c r="AK305" s="533"/>
      <c r="AL305" s="533"/>
      <c r="AM305" s="533"/>
      <c r="AP305" s="76"/>
      <c r="AQ305" s="77"/>
      <c r="AR305" s="68"/>
      <c r="AS305" s="68"/>
      <c r="AT305" s="68"/>
      <c r="AU305" s="68"/>
      <c r="AV305" s="68"/>
      <c r="AW305" s="533"/>
      <c r="AX305" s="533"/>
      <c r="AY305" s="533"/>
      <c r="AZ305" s="67"/>
      <c r="BA305" s="68"/>
      <c r="BB305" s="76"/>
      <c r="BC305" s="77"/>
      <c r="BD305" s="68"/>
      <c r="BE305" s="68"/>
      <c r="BF305" s="68"/>
      <c r="BG305" s="68"/>
      <c r="BH305" s="68"/>
      <c r="BI305" s="533"/>
      <c r="BJ305" s="533"/>
      <c r="BK305" s="533"/>
      <c r="BL305" s="67"/>
      <c r="BM305" s="67"/>
      <c r="BO305" s="531"/>
      <c r="BP305" s="531"/>
      <c r="BQ305" s="531"/>
      <c r="BT305" s="63"/>
      <c r="BU305" s="64"/>
      <c r="CA305" s="531"/>
      <c r="CB305" s="531"/>
      <c r="CC305" s="531"/>
      <c r="CF305" s="63"/>
      <c r="CG305" s="64"/>
      <c r="CM305" s="531"/>
      <c r="CN305" s="531"/>
      <c r="CO305" s="531"/>
    </row>
    <row r="306" spans="18:93" ht="18" customHeight="1">
      <c r="R306" s="76"/>
      <c r="V306" s="170"/>
      <c r="W306" s="69"/>
      <c r="X306" s="69"/>
      <c r="Y306" s="69"/>
      <c r="AD306" s="76"/>
      <c r="AG306" s="69"/>
      <c r="AH306" s="69"/>
      <c r="AI306" s="69"/>
      <c r="AJ306" s="69"/>
      <c r="AK306" s="69"/>
      <c r="AP306" s="76"/>
      <c r="AQ306" s="67"/>
      <c r="AR306" s="68"/>
      <c r="AS306" s="69"/>
      <c r="AT306" s="69"/>
      <c r="AU306" s="69"/>
      <c r="AV306" s="69"/>
      <c r="AW306" s="69"/>
      <c r="AX306" s="68"/>
      <c r="AY306" s="69"/>
      <c r="AZ306" s="67"/>
      <c r="BA306" s="69"/>
      <c r="BB306" s="76"/>
      <c r="BC306" s="67"/>
      <c r="BD306" s="68"/>
      <c r="BE306" s="69"/>
      <c r="BF306" s="69"/>
      <c r="BG306" s="69"/>
      <c r="BH306" s="69"/>
      <c r="BI306" s="69"/>
      <c r="BJ306" s="68"/>
      <c r="BK306" s="69"/>
      <c r="BL306" s="67"/>
      <c r="BM306" s="67"/>
      <c r="BN306" s="56"/>
      <c r="BO306" s="56"/>
      <c r="BT306" s="63"/>
      <c r="BW306" s="56"/>
      <c r="BX306" s="56"/>
      <c r="BY306" s="56"/>
      <c r="BZ306" s="56"/>
      <c r="CA306" s="56"/>
      <c r="CF306" s="63"/>
      <c r="CI306" s="56"/>
      <c r="CJ306" s="56"/>
      <c r="CK306" s="56"/>
      <c r="CL306" s="56"/>
      <c r="CM306" s="56"/>
    </row>
    <row r="307" spans="18:93" ht="18" customHeight="1">
      <c r="R307" s="76"/>
      <c r="V307" s="170"/>
      <c r="W307" s="69"/>
      <c r="X307" s="69"/>
      <c r="Y307" s="69"/>
      <c r="AD307" s="76"/>
      <c r="AG307" s="69"/>
      <c r="AH307" s="69"/>
      <c r="AI307" s="69"/>
      <c r="AJ307" s="69"/>
      <c r="AK307" s="69"/>
      <c r="AP307" s="76"/>
      <c r="AQ307" s="67"/>
      <c r="AR307" s="68"/>
      <c r="AS307" s="69"/>
      <c r="AT307" s="69"/>
      <c r="AU307" s="69"/>
      <c r="AV307" s="69"/>
      <c r="AW307" s="69"/>
      <c r="AX307" s="68"/>
      <c r="AY307" s="69"/>
      <c r="AZ307" s="67"/>
      <c r="BA307" s="69"/>
      <c r="BB307" s="76"/>
      <c r="BC307" s="67"/>
      <c r="BD307" s="68"/>
      <c r="BE307" s="69"/>
      <c r="BF307" s="69"/>
      <c r="BG307" s="69"/>
      <c r="BH307" s="69"/>
      <c r="BI307" s="69"/>
      <c r="BJ307" s="68"/>
      <c r="BK307" s="69"/>
      <c r="BL307" s="67"/>
      <c r="BM307" s="67"/>
      <c r="BN307" s="56"/>
      <c r="BO307" s="56"/>
      <c r="BT307" s="63"/>
      <c r="BW307" s="56"/>
      <c r="BX307" s="56"/>
      <c r="BY307" s="56"/>
      <c r="BZ307" s="56"/>
      <c r="CA307" s="56"/>
      <c r="CF307" s="63"/>
      <c r="CI307" s="56"/>
      <c r="CJ307" s="56"/>
      <c r="CK307" s="56"/>
      <c r="CL307" s="56"/>
      <c r="CM307" s="56"/>
    </row>
    <row r="308" spans="18:93" ht="18" customHeight="1">
      <c r="R308" s="76"/>
      <c r="V308" s="170"/>
      <c r="W308" s="69"/>
      <c r="X308" s="69"/>
      <c r="Y308" s="69"/>
      <c r="AD308" s="76"/>
      <c r="AG308" s="69"/>
      <c r="AH308" s="69"/>
      <c r="AI308" s="69"/>
      <c r="AJ308" s="69"/>
      <c r="AK308" s="69"/>
      <c r="AP308" s="76"/>
      <c r="AQ308" s="67"/>
      <c r="AR308" s="68"/>
      <c r="AS308" s="69"/>
      <c r="AT308" s="69"/>
      <c r="AU308" s="69"/>
      <c r="AV308" s="69"/>
      <c r="AW308" s="69"/>
      <c r="AX308" s="68"/>
      <c r="AY308" s="69"/>
      <c r="AZ308" s="67"/>
      <c r="BA308" s="69"/>
      <c r="BB308" s="76"/>
      <c r="BC308" s="67"/>
      <c r="BD308" s="68"/>
      <c r="BE308" s="69"/>
      <c r="BF308" s="69"/>
      <c r="BG308" s="69"/>
      <c r="BH308" s="69"/>
      <c r="BI308" s="69"/>
      <c r="BJ308" s="68"/>
      <c r="BK308" s="69"/>
      <c r="BL308" s="67"/>
      <c r="BM308" s="67"/>
      <c r="BN308" s="56"/>
      <c r="BO308" s="56"/>
      <c r="BT308" s="63"/>
      <c r="BW308" s="56"/>
      <c r="BX308" s="56"/>
      <c r="BY308" s="56"/>
      <c r="BZ308" s="56"/>
      <c r="CA308" s="56"/>
      <c r="CF308" s="63"/>
      <c r="CI308" s="56"/>
      <c r="CJ308" s="56"/>
      <c r="CK308" s="56"/>
      <c r="CL308" s="56"/>
      <c r="CM308" s="56"/>
    </row>
    <row r="309" spans="18:93" ht="18" customHeight="1">
      <c r="R309" s="76"/>
      <c r="V309" s="170"/>
      <c r="W309" s="69"/>
      <c r="X309" s="69"/>
      <c r="Y309" s="69"/>
      <c r="AD309" s="76"/>
      <c r="AG309" s="69"/>
      <c r="AH309" s="69"/>
      <c r="AI309" s="69"/>
      <c r="AJ309" s="69"/>
      <c r="AK309" s="69"/>
      <c r="AP309" s="76"/>
      <c r="AQ309" s="67"/>
      <c r="AR309" s="68"/>
      <c r="AS309" s="69"/>
      <c r="AT309" s="69"/>
      <c r="AU309" s="69"/>
      <c r="AV309" s="69"/>
      <c r="AW309" s="69"/>
      <c r="AX309" s="68"/>
      <c r="AY309" s="69"/>
      <c r="AZ309" s="67"/>
      <c r="BA309" s="69"/>
      <c r="BB309" s="76"/>
      <c r="BC309" s="67"/>
      <c r="BD309" s="68"/>
      <c r="BE309" s="69"/>
      <c r="BF309" s="69"/>
      <c r="BG309" s="69"/>
      <c r="BH309" s="69"/>
      <c r="BI309" s="69"/>
      <c r="BJ309" s="68"/>
      <c r="BK309" s="69"/>
      <c r="BL309" s="67"/>
      <c r="BM309" s="67"/>
      <c r="BN309" s="56"/>
      <c r="BO309" s="56"/>
      <c r="BT309" s="63"/>
      <c r="BW309" s="56"/>
      <c r="BX309" s="56"/>
      <c r="BY309" s="56"/>
      <c r="BZ309" s="56"/>
      <c r="CA309" s="56"/>
      <c r="CF309" s="63"/>
      <c r="CI309" s="56"/>
      <c r="CJ309" s="56"/>
      <c r="CK309" s="56"/>
      <c r="CL309" s="56"/>
      <c r="CM309" s="56"/>
    </row>
    <row r="310" spans="18:93" ht="18" customHeight="1">
      <c r="AQ310" s="67"/>
      <c r="AR310" s="68"/>
      <c r="AS310" s="68"/>
      <c r="AT310" s="68"/>
      <c r="AU310" s="68"/>
      <c r="AV310" s="68"/>
      <c r="AW310" s="68"/>
      <c r="AX310" s="68"/>
      <c r="AY310" s="69"/>
      <c r="AZ310" s="67"/>
      <c r="BA310" s="68"/>
      <c r="BB310" s="67"/>
      <c r="BC310" s="67"/>
      <c r="BD310" s="68"/>
      <c r="BE310" s="68"/>
      <c r="BF310" s="68"/>
      <c r="BG310" s="68"/>
      <c r="BH310" s="68"/>
      <c r="BI310" s="68"/>
      <c r="BJ310" s="68"/>
      <c r="BK310" s="69"/>
      <c r="BL310" s="67"/>
      <c r="BM310" s="67"/>
    </row>
    <row r="311" spans="18:93" ht="18" customHeight="1">
      <c r="R311" s="76"/>
      <c r="S311" s="77"/>
      <c r="Y311" s="533"/>
      <c r="Z311" s="533"/>
      <c r="AA311" s="533"/>
      <c r="AD311" s="76"/>
      <c r="AE311" s="77"/>
      <c r="AK311" s="533"/>
      <c r="AL311" s="533"/>
      <c r="AM311" s="533"/>
      <c r="AP311" s="76"/>
      <c r="AQ311" s="77"/>
      <c r="AR311" s="68"/>
      <c r="AS311" s="68"/>
      <c r="AT311" s="68"/>
      <c r="AU311" s="68"/>
      <c r="AV311" s="68"/>
      <c r="AW311" s="533"/>
      <c r="AX311" s="533"/>
      <c r="AY311" s="533"/>
      <c r="AZ311" s="67"/>
      <c r="BA311" s="68"/>
      <c r="BB311" s="76"/>
      <c r="BC311" s="77"/>
      <c r="BD311" s="68"/>
      <c r="BE311" s="68"/>
      <c r="BF311" s="68"/>
      <c r="BG311" s="68"/>
      <c r="BH311" s="68"/>
      <c r="BI311" s="533"/>
      <c r="BJ311" s="533"/>
      <c r="BK311" s="533"/>
      <c r="BL311" s="67"/>
      <c r="BM311" s="67"/>
      <c r="BO311" s="531"/>
      <c r="BP311" s="531"/>
      <c r="BQ311" s="531"/>
      <c r="BT311" s="63"/>
      <c r="BU311" s="64"/>
      <c r="CA311" s="531"/>
      <c r="CB311" s="531"/>
      <c r="CC311" s="531"/>
      <c r="CF311" s="63"/>
      <c r="CG311" s="64"/>
      <c r="CM311" s="531"/>
      <c r="CN311" s="531"/>
      <c r="CO311" s="531"/>
    </row>
    <row r="312" spans="18:93" ht="18" customHeight="1">
      <c r="R312" s="76"/>
      <c r="V312" s="170"/>
      <c r="W312" s="69"/>
      <c r="X312" s="69"/>
      <c r="Y312" s="69"/>
      <c r="AD312" s="76"/>
      <c r="AG312" s="69"/>
      <c r="AH312" s="69"/>
      <c r="AI312" s="69"/>
      <c r="AJ312" s="69"/>
      <c r="AK312" s="69"/>
      <c r="AP312" s="76"/>
      <c r="AQ312" s="67"/>
      <c r="AR312" s="68"/>
      <c r="AS312" s="69"/>
      <c r="AT312" s="69"/>
      <c r="AU312" s="69"/>
      <c r="AV312" s="69"/>
      <c r="AW312" s="69"/>
      <c r="AX312" s="68"/>
      <c r="AY312" s="69"/>
      <c r="AZ312" s="67"/>
      <c r="BA312" s="69"/>
      <c r="BB312" s="76"/>
      <c r="BC312" s="67"/>
      <c r="BD312" s="68"/>
      <c r="BE312" s="69"/>
      <c r="BF312" s="69"/>
      <c r="BG312" s="69"/>
      <c r="BH312" s="69"/>
      <c r="BI312" s="69"/>
      <c r="BJ312" s="68"/>
      <c r="BK312" s="69"/>
      <c r="BL312" s="67"/>
      <c r="BM312" s="67"/>
      <c r="BN312" s="56"/>
      <c r="BO312" s="56"/>
      <c r="BT312" s="63"/>
      <c r="BW312" s="56"/>
      <c r="BX312" s="56"/>
      <c r="BY312" s="56"/>
      <c r="BZ312" s="56"/>
      <c r="CA312" s="56"/>
      <c r="CF312" s="63"/>
      <c r="CI312" s="56"/>
      <c r="CJ312" s="56"/>
      <c r="CK312" s="56"/>
      <c r="CL312" s="56"/>
      <c r="CM312" s="56"/>
    </row>
    <row r="313" spans="18:93" ht="18" customHeight="1">
      <c r="R313" s="76"/>
      <c r="V313" s="170"/>
      <c r="W313" s="69"/>
      <c r="X313" s="69"/>
      <c r="Y313" s="69"/>
      <c r="AD313" s="76"/>
      <c r="AG313" s="69"/>
      <c r="AH313" s="69"/>
      <c r="AI313" s="69"/>
      <c r="AJ313" s="69"/>
      <c r="AK313" s="69"/>
      <c r="AP313" s="76"/>
      <c r="AQ313" s="67"/>
      <c r="AR313" s="68"/>
      <c r="AS313" s="69"/>
      <c r="AT313" s="69"/>
      <c r="AU313" s="69"/>
      <c r="AV313" s="69"/>
      <c r="AW313" s="69"/>
      <c r="AX313" s="68"/>
      <c r="AY313" s="69"/>
      <c r="AZ313" s="67"/>
      <c r="BA313" s="69"/>
      <c r="BB313" s="76"/>
      <c r="BC313" s="67"/>
      <c r="BD313" s="68"/>
      <c r="BE313" s="69"/>
      <c r="BF313" s="69"/>
      <c r="BG313" s="69"/>
      <c r="BH313" s="69"/>
      <c r="BI313" s="69"/>
      <c r="BJ313" s="68"/>
      <c r="BK313" s="69"/>
      <c r="BL313" s="67"/>
      <c r="BM313" s="67"/>
      <c r="BN313" s="56"/>
      <c r="BO313" s="56"/>
      <c r="BT313" s="63"/>
      <c r="BW313" s="56"/>
      <c r="BX313" s="56"/>
      <c r="BY313" s="56"/>
      <c r="BZ313" s="56"/>
      <c r="CA313" s="56"/>
      <c r="CF313" s="63"/>
      <c r="CI313" s="56"/>
      <c r="CJ313" s="56"/>
      <c r="CK313" s="56"/>
      <c r="CL313" s="56"/>
      <c r="CM313" s="56"/>
    </row>
    <row r="314" spans="18:93" ht="18" customHeight="1">
      <c r="R314" s="76"/>
      <c r="V314" s="170"/>
      <c r="W314" s="69"/>
      <c r="X314" s="69"/>
      <c r="Y314" s="69"/>
      <c r="AD314" s="76"/>
      <c r="AG314" s="69"/>
      <c r="AH314" s="69"/>
      <c r="AI314" s="69"/>
      <c r="AJ314" s="69"/>
      <c r="AK314" s="69"/>
      <c r="AP314" s="76"/>
      <c r="AQ314" s="67"/>
      <c r="AR314" s="68"/>
      <c r="AS314" s="69"/>
      <c r="AT314" s="69"/>
      <c r="AU314" s="69"/>
      <c r="AV314" s="69"/>
      <c r="AW314" s="69"/>
      <c r="AX314" s="68"/>
      <c r="AY314" s="69"/>
      <c r="AZ314" s="67"/>
      <c r="BA314" s="69"/>
      <c r="BB314" s="76"/>
      <c r="BC314" s="67"/>
      <c r="BD314" s="68"/>
      <c r="BE314" s="69"/>
      <c r="BF314" s="69"/>
      <c r="BG314" s="69"/>
      <c r="BH314" s="69"/>
      <c r="BI314" s="69"/>
      <c r="BJ314" s="68"/>
      <c r="BK314" s="69"/>
      <c r="BL314" s="67"/>
      <c r="BM314" s="67"/>
      <c r="BN314" s="56"/>
      <c r="BO314" s="56"/>
      <c r="BT314" s="63"/>
      <c r="BW314" s="56"/>
      <c r="BX314" s="56"/>
      <c r="BY314" s="56"/>
      <c r="BZ314" s="56"/>
      <c r="CA314" s="56"/>
      <c r="CF314" s="63"/>
      <c r="CI314" s="56"/>
      <c r="CJ314" s="56"/>
      <c r="CK314" s="56"/>
      <c r="CL314" s="56"/>
      <c r="CM314" s="56"/>
    </row>
    <row r="315" spans="18:93" ht="18" customHeight="1">
      <c r="R315" s="76"/>
      <c r="V315" s="170"/>
      <c r="W315" s="69"/>
      <c r="X315" s="69"/>
      <c r="Y315" s="69"/>
      <c r="AD315" s="76"/>
      <c r="AG315" s="69"/>
      <c r="AH315" s="69"/>
      <c r="AI315" s="69"/>
      <c r="AJ315" s="69"/>
      <c r="AK315" s="69"/>
      <c r="AP315" s="76"/>
      <c r="AQ315" s="67"/>
      <c r="AR315" s="68"/>
      <c r="AS315" s="69"/>
      <c r="AT315" s="69"/>
      <c r="AU315" s="69"/>
      <c r="AV315" s="69"/>
      <c r="AW315" s="69"/>
      <c r="AX315" s="68"/>
      <c r="AY315" s="69"/>
      <c r="AZ315" s="67"/>
      <c r="BA315" s="69"/>
      <c r="BB315" s="76"/>
      <c r="BC315" s="67"/>
      <c r="BD315" s="68"/>
      <c r="BE315" s="69"/>
      <c r="BF315" s="69"/>
      <c r="BG315" s="69"/>
      <c r="BH315" s="69"/>
      <c r="BI315" s="69"/>
      <c r="BJ315" s="68"/>
      <c r="BK315" s="69"/>
      <c r="BL315" s="67"/>
      <c r="BM315" s="67"/>
      <c r="BN315" s="56"/>
      <c r="BO315" s="56"/>
      <c r="BT315" s="63"/>
      <c r="BW315" s="56"/>
      <c r="BX315" s="56"/>
      <c r="BY315" s="56"/>
      <c r="BZ315" s="56"/>
      <c r="CA315" s="56"/>
      <c r="CF315" s="63"/>
      <c r="CI315" s="56"/>
      <c r="CJ315" s="56"/>
      <c r="CK315" s="56"/>
      <c r="CL315" s="56"/>
      <c r="CM315" s="56"/>
    </row>
    <row r="316" spans="18:93" ht="18" customHeight="1">
      <c r="AQ316" s="67"/>
      <c r="AR316" s="68"/>
      <c r="AS316" s="68"/>
      <c r="AT316" s="68"/>
      <c r="AU316" s="68"/>
      <c r="AV316" s="68"/>
      <c r="AW316" s="68"/>
      <c r="AX316" s="68"/>
      <c r="AY316" s="69"/>
      <c r="AZ316" s="67"/>
      <c r="BA316" s="68"/>
      <c r="BB316" s="67"/>
      <c r="BC316" s="67"/>
      <c r="BD316" s="68"/>
      <c r="BE316" s="68"/>
      <c r="BF316" s="68"/>
      <c r="BG316" s="68"/>
      <c r="BH316" s="68"/>
      <c r="BI316" s="68"/>
      <c r="BJ316" s="68"/>
      <c r="BK316" s="69"/>
      <c r="BL316" s="67"/>
      <c r="BM316" s="67"/>
    </row>
    <row r="317" spans="18:93" ht="18" customHeight="1">
      <c r="R317" s="76"/>
      <c r="S317" s="77"/>
      <c r="Y317" s="533"/>
      <c r="Z317" s="533"/>
      <c r="AA317" s="533"/>
      <c r="AD317" s="76"/>
      <c r="AE317" s="77"/>
      <c r="AK317" s="533"/>
      <c r="AL317" s="533"/>
      <c r="AM317" s="533"/>
      <c r="AP317" s="76"/>
      <c r="AQ317" s="77"/>
      <c r="AR317" s="68"/>
      <c r="AS317" s="68"/>
      <c r="AT317" s="68"/>
      <c r="AU317" s="68"/>
      <c r="AV317" s="68"/>
      <c r="AW317" s="533"/>
      <c r="AX317" s="533"/>
      <c r="AY317" s="533"/>
      <c r="AZ317" s="67"/>
      <c r="BA317" s="68"/>
      <c r="BB317" s="76"/>
      <c r="BC317" s="77"/>
      <c r="BD317" s="68"/>
      <c r="BE317" s="68"/>
      <c r="BF317" s="68"/>
      <c r="BG317" s="68"/>
      <c r="BH317" s="68"/>
      <c r="BI317" s="533"/>
      <c r="BJ317" s="533"/>
      <c r="BK317" s="533"/>
      <c r="BL317" s="67"/>
      <c r="BM317" s="67"/>
      <c r="BO317" s="531"/>
      <c r="BP317" s="531"/>
      <c r="BQ317" s="531"/>
      <c r="BT317" s="63"/>
      <c r="BU317" s="64"/>
      <c r="CA317" s="531"/>
      <c r="CB317" s="531"/>
      <c r="CC317" s="531"/>
      <c r="CF317" s="63"/>
      <c r="CG317" s="64"/>
      <c r="CM317" s="531"/>
      <c r="CN317" s="531"/>
      <c r="CO317" s="531"/>
    </row>
    <row r="318" spans="18:93" ht="18" customHeight="1">
      <c r="R318" s="76"/>
      <c r="V318" s="170"/>
      <c r="W318" s="69"/>
      <c r="X318" s="69"/>
      <c r="Y318" s="69"/>
      <c r="AD318" s="76"/>
      <c r="AG318" s="69"/>
      <c r="AH318" s="69"/>
      <c r="AI318" s="69"/>
      <c r="AJ318" s="69"/>
      <c r="AK318" s="69"/>
      <c r="AP318" s="76"/>
      <c r="AQ318" s="67"/>
      <c r="AR318" s="68"/>
      <c r="AS318" s="69"/>
      <c r="AT318" s="69"/>
      <c r="AU318" s="69"/>
      <c r="AV318" s="69"/>
      <c r="AW318" s="69"/>
      <c r="AX318" s="68"/>
      <c r="AY318" s="69"/>
      <c r="AZ318" s="67"/>
      <c r="BA318" s="69"/>
      <c r="BB318" s="76"/>
      <c r="BC318" s="67"/>
      <c r="BD318" s="68"/>
      <c r="BE318" s="69"/>
      <c r="BF318" s="69"/>
      <c r="BG318" s="69"/>
      <c r="BH318" s="69"/>
      <c r="BI318" s="69"/>
      <c r="BJ318" s="68"/>
      <c r="BK318" s="69"/>
      <c r="BL318" s="67"/>
      <c r="BM318" s="67"/>
      <c r="BN318" s="56"/>
      <c r="BO318" s="56"/>
      <c r="BT318" s="63"/>
      <c r="BW318" s="56"/>
      <c r="BX318" s="56"/>
      <c r="BY318" s="56"/>
      <c r="BZ318" s="56"/>
      <c r="CA318" s="56"/>
      <c r="CF318" s="63"/>
      <c r="CI318" s="56"/>
      <c r="CJ318" s="56"/>
      <c r="CK318" s="56"/>
      <c r="CL318" s="56"/>
      <c r="CM318" s="56"/>
    </row>
    <row r="319" spans="18:93" ht="18" customHeight="1">
      <c r="R319" s="76"/>
      <c r="V319" s="170"/>
      <c r="W319" s="69"/>
      <c r="X319" s="69"/>
      <c r="Y319" s="69"/>
      <c r="AD319" s="76"/>
      <c r="AG319" s="69"/>
      <c r="AH319" s="69"/>
      <c r="AI319" s="69"/>
      <c r="AJ319" s="69"/>
      <c r="AK319" s="69"/>
      <c r="AP319" s="76"/>
      <c r="AQ319" s="67"/>
      <c r="AR319" s="68"/>
      <c r="AS319" s="69"/>
      <c r="AT319" s="69"/>
      <c r="AU319" s="69"/>
      <c r="AV319" s="69"/>
      <c r="AW319" s="69"/>
      <c r="AX319" s="68"/>
      <c r="AY319" s="69"/>
      <c r="AZ319" s="67"/>
      <c r="BA319" s="69"/>
      <c r="BB319" s="76"/>
      <c r="BC319" s="67"/>
      <c r="BD319" s="68"/>
      <c r="BE319" s="69"/>
      <c r="BF319" s="69"/>
      <c r="BG319" s="69"/>
      <c r="BH319" s="69"/>
      <c r="BI319" s="69"/>
      <c r="BJ319" s="68"/>
      <c r="BK319" s="69"/>
      <c r="BL319" s="67"/>
      <c r="BM319" s="67"/>
      <c r="BN319" s="56"/>
      <c r="BO319" s="56"/>
      <c r="BT319" s="63"/>
      <c r="BW319" s="56"/>
      <c r="BX319" s="56"/>
      <c r="BY319" s="56"/>
      <c r="BZ319" s="56"/>
      <c r="CA319" s="56"/>
      <c r="CF319" s="63"/>
      <c r="CI319" s="56"/>
      <c r="CJ319" s="56"/>
      <c r="CK319" s="56"/>
      <c r="CL319" s="56"/>
      <c r="CM319" s="56"/>
    </row>
    <row r="320" spans="18:93" ht="18" customHeight="1">
      <c r="R320" s="76"/>
      <c r="V320" s="170"/>
      <c r="W320" s="69"/>
      <c r="X320" s="69"/>
      <c r="Y320" s="69"/>
      <c r="AD320" s="76"/>
      <c r="AG320" s="69"/>
      <c r="AH320" s="69"/>
      <c r="AI320" s="69"/>
      <c r="AJ320" s="69"/>
      <c r="AK320" s="69"/>
      <c r="AP320" s="76"/>
      <c r="AQ320" s="67"/>
      <c r="AR320" s="68"/>
      <c r="AS320" s="69"/>
      <c r="AT320" s="69"/>
      <c r="AU320" s="69"/>
      <c r="AV320" s="69"/>
      <c r="AW320" s="69"/>
      <c r="AX320" s="68"/>
      <c r="AY320" s="69"/>
      <c r="AZ320" s="67"/>
      <c r="BA320" s="69"/>
      <c r="BB320" s="76"/>
      <c r="BC320" s="67"/>
      <c r="BD320" s="68"/>
      <c r="BE320" s="69"/>
      <c r="BF320" s="69"/>
      <c r="BG320" s="69"/>
      <c r="BH320" s="69"/>
      <c r="BI320" s="69"/>
      <c r="BJ320" s="68"/>
      <c r="BK320" s="69"/>
      <c r="BL320" s="67"/>
      <c r="BM320" s="67"/>
      <c r="BN320" s="56"/>
      <c r="BO320" s="56"/>
      <c r="BT320" s="63"/>
      <c r="BW320" s="56"/>
      <c r="BX320" s="56"/>
      <c r="BY320" s="56"/>
      <c r="BZ320" s="56"/>
      <c r="CA320" s="56"/>
      <c r="CF320" s="63"/>
      <c r="CI320" s="56"/>
      <c r="CJ320" s="56"/>
      <c r="CK320" s="56"/>
      <c r="CL320" s="56"/>
      <c r="CM320" s="56"/>
    </row>
    <row r="321" spans="18:93" ht="18" customHeight="1">
      <c r="R321" s="76"/>
      <c r="V321" s="170"/>
      <c r="W321" s="69"/>
      <c r="X321" s="69"/>
      <c r="Y321" s="69"/>
      <c r="AD321" s="76"/>
      <c r="AG321" s="69"/>
      <c r="AH321" s="69"/>
      <c r="AI321" s="69"/>
      <c r="AJ321" s="69"/>
      <c r="AK321" s="69"/>
      <c r="AP321" s="76"/>
      <c r="AQ321" s="67"/>
      <c r="AR321" s="68"/>
      <c r="AS321" s="69"/>
      <c r="AT321" s="69"/>
      <c r="AU321" s="69"/>
      <c r="AV321" s="69"/>
      <c r="AW321" s="69"/>
      <c r="AX321" s="68"/>
      <c r="AY321" s="69"/>
      <c r="AZ321" s="67"/>
      <c r="BA321" s="69"/>
      <c r="BB321" s="76"/>
      <c r="BC321" s="67"/>
      <c r="BD321" s="68"/>
      <c r="BE321" s="69"/>
      <c r="BF321" s="69"/>
      <c r="BG321" s="69"/>
      <c r="BH321" s="69"/>
      <c r="BI321" s="69"/>
      <c r="BJ321" s="68"/>
      <c r="BK321" s="69"/>
      <c r="BL321" s="67"/>
      <c r="BM321" s="67"/>
      <c r="BN321" s="56"/>
      <c r="BO321" s="56"/>
      <c r="BT321" s="63"/>
      <c r="BW321" s="56"/>
      <c r="BX321" s="56"/>
      <c r="BY321" s="56"/>
      <c r="BZ321" s="56"/>
      <c r="CA321" s="56"/>
      <c r="CF321" s="63"/>
      <c r="CI321" s="56"/>
      <c r="CJ321" s="56"/>
      <c r="CK321" s="56"/>
      <c r="CL321" s="56"/>
      <c r="CM321" s="56"/>
    </row>
    <row r="322" spans="18:93" ht="18" customHeight="1">
      <c r="AQ322" s="67"/>
      <c r="AR322" s="68"/>
      <c r="AS322" s="68"/>
      <c r="AT322" s="68"/>
      <c r="AU322" s="68"/>
      <c r="AV322" s="68"/>
      <c r="AW322" s="68"/>
      <c r="AX322" s="68"/>
      <c r="AY322" s="69"/>
      <c r="AZ322" s="67"/>
      <c r="BA322" s="68"/>
      <c r="BB322" s="67"/>
      <c r="BC322" s="67"/>
      <c r="BD322" s="68"/>
      <c r="BE322" s="68"/>
      <c r="BF322" s="68"/>
      <c r="BG322" s="68"/>
      <c r="BH322" s="68"/>
      <c r="BI322" s="68"/>
      <c r="BJ322" s="68"/>
      <c r="BK322" s="69"/>
      <c r="BL322" s="67"/>
      <c r="BM322" s="67"/>
    </row>
    <row r="323" spans="18:93" ht="18" customHeight="1">
      <c r="R323" s="76"/>
      <c r="S323" s="77"/>
      <c r="Y323" s="533"/>
      <c r="Z323" s="533"/>
      <c r="AA323" s="533"/>
      <c r="AD323" s="76"/>
      <c r="AE323" s="77"/>
      <c r="AK323" s="533"/>
      <c r="AL323" s="533"/>
      <c r="AM323" s="533"/>
      <c r="AP323" s="76"/>
      <c r="AQ323" s="77"/>
      <c r="AR323" s="68"/>
      <c r="AS323" s="68"/>
      <c r="AT323" s="68"/>
      <c r="AU323" s="68"/>
      <c r="AV323" s="68"/>
      <c r="AW323" s="533"/>
      <c r="AX323" s="533"/>
      <c r="AY323" s="533"/>
      <c r="AZ323" s="67"/>
      <c r="BA323" s="68"/>
      <c r="BB323" s="76"/>
      <c r="BC323" s="77"/>
      <c r="BD323" s="68"/>
      <c r="BE323" s="68"/>
      <c r="BF323" s="68"/>
      <c r="BG323" s="68"/>
      <c r="BH323" s="68"/>
      <c r="BI323" s="533"/>
      <c r="BJ323" s="533"/>
      <c r="BK323" s="533"/>
      <c r="BL323" s="67"/>
      <c r="BM323" s="67"/>
      <c r="BO323" s="531"/>
      <c r="BP323" s="531"/>
      <c r="BQ323" s="531"/>
      <c r="BT323" s="63"/>
      <c r="BU323" s="64"/>
      <c r="CA323" s="531"/>
      <c r="CB323" s="531"/>
      <c r="CC323" s="531"/>
      <c r="CF323" s="63"/>
      <c r="CG323" s="64"/>
      <c r="CM323" s="531"/>
      <c r="CN323" s="531"/>
      <c r="CO323" s="531"/>
    </row>
    <row r="324" spans="18:93" ht="18" customHeight="1">
      <c r="R324" s="76"/>
      <c r="V324" s="170"/>
      <c r="W324" s="69"/>
      <c r="X324" s="69"/>
      <c r="Y324" s="69"/>
      <c r="AD324" s="76"/>
      <c r="AG324" s="69"/>
      <c r="AH324" s="69"/>
      <c r="AI324" s="69"/>
      <c r="AJ324" s="69"/>
      <c r="AK324" s="69"/>
      <c r="AP324" s="76"/>
      <c r="AQ324" s="67"/>
      <c r="AR324" s="68"/>
      <c r="AS324" s="69"/>
      <c r="AT324" s="69"/>
      <c r="AU324" s="69"/>
      <c r="AV324" s="69"/>
      <c r="AW324" s="69"/>
      <c r="AX324" s="68"/>
      <c r="AY324" s="69"/>
      <c r="AZ324" s="67"/>
      <c r="BA324" s="69"/>
      <c r="BB324" s="76"/>
      <c r="BC324" s="67"/>
      <c r="BD324" s="68"/>
      <c r="BE324" s="69"/>
      <c r="BF324" s="69"/>
      <c r="BG324" s="69"/>
      <c r="BH324" s="69"/>
      <c r="BI324" s="69"/>
      <c r="BJ324" s="68"/>
      <c r="BK324" s="69"/>
      <c r="BL324" s="67"/>
      <c r="BM324" s="67"/>
      <c r="BN324" s="56"/>
      <c r="BO324" s="56"/>
      <c r="BT324" s="63"/>
      <c r="BW324" s="56"/>
      <c r="BX324" s="56"/>
      <c r="BY324" s="56"/>
      <c r="BZ324" s="56"/>
      <c r="CA324" s="56"/>
      <c r="CF324" s="63"/>
      <c r="CI324" s="56"/>
      <c r="CJ324" s="56"/>
      <c r="CK324" s="56"/>
      <c r="CL324" s="56"/>
      <c r="CM324" s="56"/>
    </row>
    <row r="325" spans="18:93" ht="18" customHeight="1">
      <c r="R325" s="76"/>
      <c r="V325" s="170"/>
      <c r="W325" s="69"/>
      <c r="X325" s="69"/>
      <c r="Y325" s="69"/>
      <c r="AD325" s="76"/>
      <c r="AG325" s="69"/>
      <c r="AH325" s="69"/>
      <c r="AI325" s="69"/>
      <c r="AJ325" s="69"/>
      <c r="AK325" s="69"/>
      <c r="AP325" s="76"/>
      <c r="AQ325" s="67"/>
      <c r="AR325" s="68"/>
      <c r="AS325" s="69"/>
      <c r="AT325" s="69"/>
      <c r="AU325" s="69"/>
      <c r="AV325" s="69"/>
      <c r="AW325" s="69"/>
      <c r="AX325" s="68"/>
      <c r="AY325" s="69"/>
      <c r="AZ325" s="67"/>
      <c r="BA325" s="69"/>
      <c r="BB325" s="76"/>
      <c r="BC325" s="67"/>
      <c r="BD325" s="68"/>
      <c r="BE325" s="69"/>
      <c r="BF325" s="69"/>
      <c r="BG325" s="69"/>
      <c r="BH325" s="69"/>
      <c r="BI325" s="69"/>
      <c r="BJ325" s="68"/>
      <c r="BK325" s="69"/>
      <c r="BL325" s="67"/>
      <c r="BM325" s="67"/>
      <c r="BN325" s="56"/>
      <c r="BO325" s="56"/>
      <c r="BT325" s="63"/>
      <c r="BW325" s="56"/>
      <c r="BX325" s="56"/>
      <c r="BY325" s="56"/>
      <c r="BZ325" s="56"/>
      <c r="CA325" s="56"/>
      <c r="CF325" s="63"/>
      <c r="CI325" s="56"/>
      <c r="CJ325" s="56"/>
      <c r="CK325" s="56"/>
      <c r="CL325" s="56"/>
      <c r="CM325" s="56"/>
    </row>
    <row r="326" spans="18:93" ht="18" customHeight="1">
      <c r="R326" s="76"/>
      <c r="V326" s="170"/>
      <c r="W326" s="69"/>
      <c r="X326" s="69"/>
      <c r="Y326" s="69"/>
      <c r="AD326" s="76"/>
      <c r="AG326" s="69"/>
      <c r="AH326" s="69"/>
      <c r="AI326" s="69"/>
      <c r="AJ326" s="69"/>
      <c r="AK326" s="69"/>
      <c r="AP326" s="76"/>
      <c r="AQ326" s="67"/>
      <c r="AR326" s="68"/>
      <c r="AS326" s="69"/>
      <c r="AT326" s="69"/>
      <c r="AU326" s="69"/>
      <c r="AV326" s="69"/>
      <c r="AW326" s="69"/>
      <c r="AX326" s="68"/>
      <c r="AY326" s="69"/>
      <c r="AZ326" s="67"/>
      <c r="BA326" s="69"/>
      <c r="BB326" s="76"/>
      <c r="BC326" s="67"/>
      <c r="BD326" s="68"/>
      <c r="BE326" s="69"/>
      <c r="BF326" s="69"/>
      <c r="BG326" s="69"/>
      <c r="BH326" s="69"/>
      <c r="BI326" s="69"/>
      <c r="BJ326" s="68"/>
      <c r="BK326" s="69"/>
      <c r="BL326" s="67"/>
      <c r="BM326" s="67"/>
      <c r="BN326" s="56"/>
      <c r="BO326" s="56"/>
      <c r="BT326" s="63"/>
      <c r="BW326" s="56"/>
      <c r="BX326" s="56"/>
      <c r="BY326" s="56"/>
      <c r="BZ326" s="56"/>
      <c r="CA326" s="56"/>
      <c r="CF326" s="63"/>
      <c r="CI326" s="56"/>
      <c r="CJ326" s="56"/>
      <c r="CK326" s="56"/>
      <c r="CL326" s="56"/>
      <c r="CM326" s="56"/>
    </row>
    <row r="327" spans="18:93" ht="18" customHeight="1">
      <c r="R327" s="76"/>
      <c r="V327" s="170"/>
      <c r="W327" s="69"/>
      <c r="X327" s="69"/>
      <c r="Y327" s="69"/>
      <c r="AD327" s="76"/>
      <c r="AG327" s="69"/>
      <c r="AH327" s="69"/>
      <c r="AI327" s="69"/>
      <c r="AJ327" s="69"/>
      <c r="AK327" s="69"/>
      <c r="AP327" s="76"/>
      <c r="AQ327" s="67"/>
      <c r="AR327" s="68"/>
      <c r="AS327" s="69"/>
      <c r="AT327" s="69"/>
      <c r="AU327" s="69"/>
      <c r="AV327" s="69"/>
      <c r="AW327" s="69"/>
      <c r="AX327" s="68"/>
      <c r="AY327" s="69"/>
      <c r="AZ327" s="67"/>
      <c r="BA327" s="69"/>
      <c r="BB327" s="76"/>
      <c r="BC327" s="67"/>
      <c r="BD327" s="68"/>
      <c r="BE327" s="69"/>
      <c r="BF327" s="69"/>
      <c r="BG327" s="69"/>
      <c r="BH327" s="69"/>
      <c r="BI327" s="69"/>
      <c r="BJ327" s="68"/>
      <c r="BK327" s="69"/>
      <c r="BL327" s="67"/>
      <c r="BM327" s="67"/>
      <c r="BN327" s="56"/>
      <c r="BO327" s="56"/>
      <c r="BT327" s="63"/>
      <c r="BW327" s="56"/>
      <c r="BX327" s="56"/>
      <c r="BY327" s="56"/>
      <c r="BZ327" s="56"/>
      <c r="CA327" s="56"/>
      <c r="CF327" s="63"/>
      <c r="CI327" s="56"/>
      <c r="CJ327" s="56"/>
      <c r="CK327" s="56"/>
      <c r="CL327" s="56"/>
      <c r="CM327" s="56"/>
    </row>
    <row r="328" spans="18:93" ht="18" customHeight="1">
      <c r="AQ328" s="67"/>
      <c r="AR328" s="68"/>
      <c r="AS328" s="68"/>
      <c r="AT328" s="68"/>
      <c r="AU328" s="68"/>
      <c r="AV328" s="68"/>
      <c r="AW328" s="68"/>
      <c r="AX328" s="68"/>
      <c r="AY328" s="69"/>
      <c r="AZ328" s="67"/>
      <c r="BA328" s="68"/>
      <c r="BB328" s="67"/>
      <c r="BC328" s="67"/>
      <c r="BD328" s="68"/>
      <c r="BE328" s="68"/>
      <c r="BF328" s="68"/>
      <c r="BG328" s="68"/>
      <c r="BH328" s="68"/>
      <c r="BI328" s="68"/>
      <c r="BJ328" s="68"/>
      <c r="BK328" s="69"/>
      <c r="BL328" s="67"/>
      <c r="BM328" s="67"/>
    </row>
    <row r="329" spans="18:93" ht="18" customHeight="1">
      <c r="R329" s="76"/>
      <c r="S329" s="77"/>
      <c r="Y329" s="533"/>
      <c r="Z329" s="533"/>
      <c r="AA329" s="533"/>
      <c r="AD329" s="76"/>
      <c r="AE329" s="77"/>
      <c r="AK329" s="533"/>
      <c r="AL329" s="533"/>
      <c r="AM329" s="533"/>
      <c r="AP329" s="76"/>
      <c r="AQ329" s="77"/>
      <c r="AR329" s="68"/>
      <c r="AS329" s="68"/>
      <c r="AT329" s="68"/>
      <c r="AU329" s="68"/>
      <c r="AV329" s="68"/>
      <c r="AW329" s="533"/>
      <c r="AX329" s="533"/>
      <c r="AY329" s="533"/>
      <c r="AZ329" s="67"/>
      <c r="BA329" s="68"/>
      <c r="BB329" s="76"/>
      <c r="BC329" s="77"/>
      <c r="BD329" s="68"/>
      <c r="BE329" s="68"/>
      <c r="BF329" s="68"/>
      <c r="BG329" s="68"/>
      <c r="BH329" s="68"/>
      <c r="BI329" s="533"/>
      <c r="BJ329" s="533"/>
      <c r="BK329" s="533"/>
      <c r="BL329" s="67"/>
      <c r="BM329" s="67"/>
      <c r="BO329" s="531"/>
      <c r="BP329" s="531"/>
      <c r="BQ329" s="531"/>
      <c r="BT329" s="63"/>
      <c r="BU329" s="64"/>
      <c r="CA329" s="531"/>
      <c r="CB329" s="531"/>
      <c r="CC329" s="531"/>
      <c r="CF329" s="63"/>
      <c r="CG329" s="64"/>
      <c r="CM329" s="531"/>
      <c r="CN329" s="531"/>
      <c r="CO329" s="531"/>
    </row>
    <row r="330" spans="18:93" ht="18" customHeight="1">
      <c r="R330" s="76"/>
      <c r="V330" s="170"/>
      <c r="W330" s="69"/>
      <c r="X330" s="69"/>
      <c r="Y330" s="69"/>
      <c r="AD330" s="76"/>
      <c r="AG330" s="69"/>
      <c r="AH330" s="69"/>
      <c r="AI330" s="69"/>
      <c r="AJ330" s="69"/>
      <c r="AK330" s="69"/>
      <c r="AP330" s="76"/>
      <c r="AQ330" s="67"/>
      <c r="AR330" s="68"/>
      <c r="AS330" s="69"/>
      <c r="AT330" s="69"/>
      <c r="AU330" s="69"/>
      <c r="AV330" s="69"/>
      <c r="AW330" s="69"/>
      <c r="AX330" s="68"/>
      <c r="AY330" s="69"/>
      <c r="AZ330" s="67"/>
      <c r="BA330" s="69"/>
      <c r="BB330" s="76"/>
      <c r="BC330" s="67"/>
      <c r="BD330" s="68"/>
      <c r="BE330" s="69"/>
      <c r="BF330" s="69"/>
      <c r="BG330" s="69"/>
      <c r="BH330" s="69"/>
      <c r="BI330" s="69"/>
      <c r="BJ330" s="68"/>
      <c r="BK330" s="69"/>
      <c r="BL330" s="67"/>
      <c r="BM330" s="67"/>
      <c r="BN330" s="56"/>
      <c r="BO330" s="56"/>
      <c r="BT330" s="63"/>
      <c r="BW330" s="56"/>
      <c r="BX330" s="56"/>
      <c r="BY330" s="56"/>
      <c r="BZ330" s="56"/>
      <c r="CA330" s="56"/>
      <c r="CF330" s="63"/>
      <c r="CI330" s="56"/>
      <c r="CJ330" s="56"/>
      <c r="CK330" s="56"/>
      <c r="CL330" s="56"/>
      <c r="CM330" s="56"/>
    </row>
    <row r="331" spans="18:93" ht="18" customHeight="1">
      <c r="R331" s="76"/>
      <c r="V331" s="170"/>
      <c r="W331" s="69"/>
      <c r="X331" s="69"/>
      <c r="Y331" s="69"/>
      <c r="AD331" s="76"/>
      <c r="AG331" s="69"/>
      <c r="AH331" s="69"/>
      <c r="AI331" s="69"/>
      <c r="AJ331" s="69"/>
      <c r="AK331" s="69"/>
      <c r="AP331" s="76"/>
      <c r="AQ331" s="67"/>
      <c r="AR331" s="68"/>
      <c r="AS331" s="69"/>
      <c r="AT331" s="69"/>
      <c r="AU331" s="69"/>
      <c r="AV331" s="69"/>
      <c r="AW331" s="69"/>
      <c r="AX331" s="68"/>
      <c r="AY331" s="69"/>
      <c r="AZ331" s="67"/>
      <c r="BA331" s="69"/>
      <c r="BB331" s="76"/>
      <c r="BC331" s="67"/>
      <c r="BD331" s="68"/>
      <c r="BE331" s="69"/>
      <c r="BF331" s="69"/>
      <c r="BG331" s="69"/>
      <c r="BH331" s="69"/>
      <c r="BI331" s="69"/>
      <c r="BJ331" s="68"/>
      <c r="BK331" s="69"/>
      <c r="BL331" s="67"/>
      <c r="BM331" s="67"/>
      <c r="BN331" s="56"/>
      <c r="BO331" s="56"/>
      <c r="BT331" s="63"/>
      <c r="BW331" s="56"/>
      <c r="BX331" s="56"/>
      <c r="BY331" s="56"/>
      <c r="BZ331" s="56"/>
      <c r="CA331" s="56"/>
      <c r="CF331" s="63"/>
      <c r="CI331" s="56"/>
      <c r="CJ331" s="56"/>
      <c r="CK331" s="56"/>
      <c r="CL331" s="56"/>
      <c r="CM331" s="56"/>
    </row>
    <row r="332" spans="18:93" ht="18" customHeight="1">
      <c r="R332" s="76"/>
      <c r="V332" s="170"/>
      <c r="W332" s="69"/>
      <c r="X332" s="69"/>
      <c r="Y332" s="69"/>
      <c r="AD332" s="76"/>
      <c r="AG332" s="69"/>
      <c r="AH332" s="69"/>
      <c r="AI332" s="69"/>
      <c r="AJ332" s="69"/>
      <c r="AK332" s="69"/>
      <c r="AP332" s="76"/>
      <c r="AQ332" s="67"/>
      <c r="AR332" s="68"/>
      <c r="AS332" s="69"/>
      <c r="AT332" s="69"/>
      <c r="AU332" s="69"/>
      <c r="AV332" s="69"/>
      <c r="AW332" s="69"/>
      <c r="AX332" s="68"/>
      <c r="AY332" s="69"/>
      <c r="AZ332" s="67"/>
      <c r="BA332" s="69"/>
      <c r="BB332" s="76"/>
      <c r="BC332" s="67"/>
      <c r="BD332" s="68"/>
      <c r="BE332" s="69"/>
      <c r="BF332" s="69"/>
      <c r="BG332" s="69"/>
      <c r="BH332" s="69"/>
      <c r="BI332" s="69"/>
      <c r="BJ332" s="68"/>
      <c r="BK332" s="69"/>
      <c r="BL332" s="67"/>
      <c r="BM332" s="67"/>
      <c r="BN332" s="56"/>
      <c r="BO332" s="56"/>
      <c r="BT332" s="63"/>
      <c r="BW332" s="56"/>
      <c r="BX332" s="56"/>
      <c r="BY332" s="56"/>
      <c r="BZ332" s="56"/>
      <c r="CA332" s="56"/>
      <c r="CF332" s="63"/>
      <c r="CI332" s="56"/>
      <c r="CJ332" s="56"/>
      <c r="CK332" s="56"/>
      <c r="CL332" s="56"/>
      <c r="CM332" s="56"/>
    </row>
    <row r="333" spans="18:93" ht="18" customHeight="1">
      <c r="R333" s="76"/>
      <c r="V333" s="170"/>
      <c r="W333" s="69"/>
      <c r="X333" s="69"/>
      <c r="Y333" s="69"/>
      <c r="AD333" s="76"/>
      <c r="AG333" s="69"/>
      <c r="AH333" s="69"/>
      <c r="AI333" s="69"/>
      <c r="AJ333" s="69"/>
      <c r="AK333" s="69"/>
      <c r="AP333" s="76"/>
      <c r="AQ333" s="67"/>
      <c r="AR333" s="68"/>
      <c r="AS333" s="69"/>
      <c r="AT333" s="69"/>
      <c r="AU333" s="69"/>
      <c r="AV333" s="69"/>
      <c r="AW333" s="69"/>
      <c r="AX333" s="68"/>
      <c r="AY333" s="69"/>
      <c r="AZ333" s="67"/>
      <c r="BA333" s="69"/>
      <c r="BB333" s="76"/>
      <c r="BC333" s="67"/>
      <c r="BD333" s="68"/>
      <c r="BE333" s="69"/>
      <c r="BF333" s="69"/>
      <c r="BG333" s="69"/>
      <c r="BH333" s="69"/>
      <c r="BI333" s="69"/>
      <c r="BJ333" s="68"/>
      <c r="BK333" s="69"/>
      <c r="BL333" s="67"/>
      <c r="BM333" s="67"/>
      <c r="BN333" s="56"/>
      <c r="BO333" s="56"/>
      <c r="BT333" s="63"/>
      <c r="BW333" s="56"/>
      <c r="BX333" s="56"/>
      <c r="BY333" s="56"/>
      <c r="BZ333" s="56"/>
      <c r="CA333" s="56"/>
      <c r="CF333" s="63"/>
      <c r="CI333" s="56"/>
      <c r="CJ333" s="56"/>
      <c r="CK333" s="56"/>
      <c r="CL333" s="56"/>
      <c r="CM333" s="56"/>
    </row>
    <row r="334" spans="18:93" ht="18" customHeight="1">
      <c r="AQ334" s="67"/>
      <c r="AR334" s="68"/>
      <c r="AS334" s="68"/>
      <c r="AT334" s="68"/>
      <c r="AU334" s="68"/>
      <c r="AV334" s="68"/>
      <c r="AW334" s="68"/>
      <c r="AX334" s="68"/>
      <c r="AY334" s="69"/>
      <c r="AZ334" s="67"/>
      <c r="BA334" s="68"/>
      <c r="BB334" s="67"/>
      <c r="BC334" s="67"/>
      <c r="BD334" s="68"/>
      <c r="BE334" s="68"/>
      <c r="BF334" s="68"/>
      <c r="BG334" s="68"/>
      <c r="BH334" s="68"/>
      <c r="BI334" s="68"/>
      <c r="BJ334" s="68"/>
      <c r="BK334" s="69"/>
      <c r="BL334" s="67"/>
      <c r="BM334" s="67"/>
    </row>
    <row r="335" spans="18:93" ht="18" customHeight="1">
      <c r="R335" s="76"/>
      <c r="S335" s="77"/>
      <c r="Y335" s="533"/>
      <c r="Z335" s="533"/>
      <c r="AA335" s="533"/>
      <c r="AD335" s="76"/>
      <c r="AE335" s="77"/>
      <c r="AK335" s="533"/>
      <c r="AL335" s="533"/>
      <c r="AM335" s="533"/>
      <c r="AP335" s="76"/>
      <c r="AQ335" s="77"/>
      <c r="AR335" s="68"/>
      <c r="AS335" s="68"/>
      <c r="AT335" s="68"/>
      <c r="AU335" s="68"/>
      <c r="AV335" s="68"/>
      <c r="AW335" s="533"/>
      <c r="AX335" s="533"/>
      <c r="AY335" s="533"/>
      <c r="AZ335" s="67"/>
      <c r="BA335" s="68"/>
      <c r="BB335" s="76"/>
      <c r="BC335" s="77"/>
      <c r="BD335" s="68"/>
      <c r="BE335" s="68"/>
      <c r="BF335" s="68"/>
      <c r="BG335" s="68"/>
      <c r="BH335" s="68"/>
      <c r="BI335" s="533"/>
      <c r="BJ335" s="533"/>
      <c r="BK335" s="533"/>
      <c r="BL335" s="67"/>
      <c r="BM335" s="67"/>
      <c r="BO335" s="531"/>
      <c r="BP335" s="531"/>
      <c r="BQ335" s="531"/>
      <c r="BT335" s="63"/>
      <c r="BU335" s="64"/>
      <c r="CA335" s="531"/>
      <c r="CB335" s="531"/>
      <c r="CC335" s="531"/>
      <c r="CF335" s="63"/>
      <c r="CG335" s="64"/>
      <c r="CM335" s="531"/>
      <c r="CN335" s="531"/>
      <c r="CO335" s="531"/>
    </row>
    <row r="336" spans="18:93" ht="18" customHeight="1">
      <c r="R336" s="76"/>
      <c r="V336" s="170"/>
      <c r="W336" s="69"/>
      <c r="X336" s="69"/>
      <c r="Y336" s="69"/>
      <c r="AD336" s="76"/>
      <c r="AG336" s="69"/>
      <c r="AH336" s="69"/>
      <c r="AI336" s="69"/>
      <c r="AJ336" s="69"/>
      <c r="AK336" s="69"/>
      <c r="AP336" s="76"/>
      <c r="AQ336" s="67"/>
      <c r="AR336" s="68"/>
      <c r="AS336" s="69"/>
      <c r="AT336" s="69"/>
      <c r="AU336" s="69"/>
      <c r="AV336" s="69"/>
      <c r="AW336" s="69"/>
      <c r="AX336" s="68"/>
      <c r="AY336" s="69"/>
      <c r="AZ336" s="67"/>
      <c r="BA336" s="69"/>
      <c r="BB336" s="76"/>
      <c r="BC336" s="67"/>
      <c r="BD336" s="68"/>
      <c r="BE336" s="69"/>
      <c r="BF336" s="69"/>
      <c r="BG336" s="69"/>
      <c r="BH336" s="69"/>
      <c r="BI336" s="69"/>
      <c r="BJ336" s="68"/>
      <c r="BK336" s="69"/>
      <c r="BL336" s="67"/>
      <c r="BM336" s="67"/>
      <c r="BN336" s="56"/>
      <c r="BO336" s="56"/>
      <c r="BT336" s="63"/>
      <c r="BW336" s="56"/>
      <c r="BX336" s="56"/>
      <c r="BY336" s="56"/>
      <c r="BZ336" s="56"/>
      <c r="CA336" s="56"/>
      <c r="CF336" s="63"/>
      <c r="CI336" s="56"/>
      <c r="CJ336" s="56"/>
      <c r="CK336" s="56"/>
      <c r="CL336" s="56"/>
      <c r="CM336" s="56"/>
    </row>
    <row r="337" spans="18:93" ht="18" customHeight="1">
      <c r="R337" s="76"/>
      <c r="V337" s="170"/>
      <c r="W337" s="69"/>
      <c r="X337" s="69"/>
      <c r="Y337" s="69"/>
      <c r="AD337" s="76"/>
      <c r="AG337" s="69"/>
      <c r="AH337" s="69"/>
      <c r="AI337" s="69"/>
      <c r="AJ337" s="69"/>
      <c r="AK337" s="69"/>
      <c r="AP337" s="76"/>
      <c r="AQ337" s="67"/>
      <c r="AR337" s="68"/>
      <c r="AS337" s="69"/>
      <c r="AT337" s="69"/>
      <c r="AU337" s="69"/>
      <c r="AV337" s="69"/>
      <c r="AW337" s="69"/>
      <c r="AX337" s="68"/>
      <c r="AY337" s="69"/>
      <c r="AZ337" s="67"/>
      <c r="BA337" s="69"/>
      <c r="BB337" s="76"/>
      <c r="BC337" s="67"/>
      <c r="BD337" s="68"/>
      <c r="BE337" s="69"/>
      <c r="BF337" s="69"/>
      <c r="BG337" s="69"/>
      <c r="BH337" s="69"/>
      <c r="BI337" s="69"/>
      <c r="BJ337" s="68"/>
      <c r="BK337" s="69"/>
      <c r="BL337" s="67"/>
      <c r="BM337" s="67"/>
      <c r="BN337" s="56"/>
      <c r="BO337" s="56"/>
      <c r="BT337" s="63"/>
      <c r="BW337" s="56"/>
      <c r="BX337" s="56"/>
      <c r="BY337" s="56"/>
      <c r="BZ337" s="56"/>
      <c r="CA337" s="56"/>
      <c r="CF337" s="63"/>
      <c r="CI337" s="56"/>
      <c r="CJ337" s="56"/>
      <c r="CK337" s="56"/>
      <c r="CL337" s="56"/>
      <c r="CM337" s="56"/>
    </row>
    <row r="338" spans="18:93" ht="18" customHeight="1">
      <c r="R338" s="76"/>
      <c r="V338" s="170"/>
      <c r="W338" s="69"/>
      <c r="X338" s="69"/>
      <c r="Y338" s="69"/>
      <c r="AD338" s="76"/>
      <c r="AG338" s="69"/>
      <c r="AH338" s="69"/>
      <c r="AI338" s="69"/>
      <c r="AJ338" s="69"/>
      <c r="AK338" s="69"/>
      <c r="AP338" s="76"/>
      <c r="AQ338" s="67"/>
      <c r="AR338" s="68"/>
      <c r="AS338" s="69"/>
      <c r="AT338" s="69"/>
      <c r="AU338" s="69"/>
      <c r="AV338" s="69"/>
      <c r="AW338" s="69"/>
      <c r="AX338" s="68"/>
      <c r="AY338" s="69"/>
      <c r="AZ338" s="67"/>
      <c r="BA338" s="69"/>
      <c r="BB338" s="76"/>
      <c r="BC338" s="67"/>
      <c r="BD338" s="68"/>
      <c r="BE338" s="69"/>
      <c r="BF338" s="69"/>
      <c r="BG338" s="69"/>
      <c r="BH338" s="69"/>
      <c r="BI338" s="69"/>
      <c r="BJ338" s="68"/>
      <c r="BK338" s="69"/>
      <c r="BL338" s="67"/>
      <c r="BM338" s="67"/>
      <c r="BN338" s="56"/>
      <c r="BO338" s="56"/>
      <c r="BT338" s="63"/>
      <c r="BW338" s="56"/>
      <c r="BX338" s="56"/>
      <c r="BY338" s="56"/>
      <c r="BZ338" s="56"/>
      <c r="CA338" s="56"/>
      <c r="CF338" s="63"/>
      <c r="CI338" s="56"/>
      <c r="CJ338" s="56"/>
      <c r="CK338" s="56"/>
      <c r="CL338" s="56"/>
      <c r="CM338" s="56"/>
    </row>
    <row r="339" spans="18:93" ht="18" customHeight="1">
      <c r="R339" s="76"/>
      <c r="V339" s="170"/>
      <c r="W339" s="69"/>
      <c r="X339" s="69"/>
      <c r="Y339" s="69"/>
      <c r="AD339" s="76"/>
      <c r="AG339" s="69"/>
      <c r="AH339" s="69"/>
      <c r="AI339" s="69"/>
      <c r="AJ339" s="69"/>
      <c r="AK339" s="69"/>
      <c r="AP339" s="76"/>
      <c r="AQ339" s="67"/>
      <c r="AR339" s="68"/>
      <c r="AS339" s="69"/>
      <c r="AT339" s="69"/>
      <c r="AU339" s="69"/>
      <c r="AV339" s="69"/>
      <c r="AW339" s="69"/>
      <c r="AX339" s="68"/>
      <c r="AY339" s="69"/>
      <c r="AZ339" s="67"/>
      <c r="BA339" s="69"/>
      <c r="BB339" s="76"/>
      <c r="BC339" s="67"/>
      <c r="BD339" s="68"/>
      <c r="BE339" s="69"/>
      <c r="BF339" s="69"/>
      <c r="BG339" s="69"/>
      <c r="BH339" s="69"/>
      <c r="BI339" s="69"/>
      <c r="BJ339" s="68"/>
      <c r="BK339" s="69"/>
      <c r="BL339" s="67"/>
      <c r="BM339" s="67"/>
      <c r="BN339" s="56"/>
      <c r="BO339" s="56"/>
      <c r="BT339" s="63"/>
      <c r="BW339" s="56"/>
      <c r="BX339" s="56"/>
      <c r="BY339" s="56"/>
      <c r="BZ339" s="56"/>
      <c r="CA339" s="56"/>
      <c r="CF339" s="63"/>
      <c r="CI339" s="56"/>
      <c r="CJ339" s="56"/>
      <c r="CK339" s="56"/>
      <c r="CL339" s="56"/>
      <c r="CM339" s="56"/>
    </row>
    <row r="340" spans="18:93" ht="18" customHeight="1">
      <c r="AQ340" s="67"/>
      <c r="AR340" s="68"/>
      <c r="AS340" s="68"/>
      <c r="AT340" s="68"/>
      <c r="AU340" s="68"/>
      <c r="AV340" s="68"/>
      <c r="AW340" s="68"/>
      <c r="AX340" s="68"/>
      <c r="AY340" s="69"/>
      <c r="AZ340" s="67"/>
      <c r="BA340" s="68"/>
      <c r="BB340" s="67"/>
      <c r="BC340" s="67"/>
      <c r="BD340" s="68"/>
      <c r="BE340" s="68"/>
      <c r="BF340" s="68"/>
      <c r="BG340" s="68"/>
      <c r="BH340" s="68"/>
      <c r="BI340" s="68"/>
      <c r="BJ340" s="68"/>
      <c r="BK340" s="69"/>
      <c r="BL340" s="67"/>
      <c r="BM340" s="67"/>
    </row>
    <row r="341" spans="18:93" ht="18" customHeight="1">
      <c r="R341" s="76"/>
      <c r="S341" s="77"/>
      <c r="Y341" s="533"/>
      <c r="Z341" s="533"/>
      <c r="AA341" s="533"/>
      <c r="AD341" s="76"/>
      <c r="AE341" s="77"/>
      <c r="AK341" s="533"/>
      <c r="AL341" s="533"/>
      <c r="AM341" s="533"/>
      <c r="AP341" s="76"/>
      <c r="AQ341" s="77"/>
      <c r="AR341" s="68"/>
      <c r="AS341" s="68"/>
      <c r="AT341" s="68"/>
      <c r="AU341" s="68"/>
      <c r="AV341" s="68"/>
      <c r="AW341" s="533"/>
      <c r="AX341" s="533"/>
      <c r="AY341" s="533"/>
      <c r="AZ341" s="67"/>
      <c r="BA341" s="68"/>
      <c r="BB341" s="76"/>
      <c r="BC341" s="77"/>
      <c r="BD341" s="68"/>
      <c r="BE341" s="68"/>
      <c r="BF341" s="68"/>
      <c r="BG341" s="68"/>
      <c r="BH341" s="68"/>
      <c r="BI341" s="533"/>
      <c r="BJ341" s="533"/>
      <c r="BK341" s="533"/>
      <c r="BL341" s="67"/>
      <c r="BM341" s="67"/>
      <c r="BO341" s="531"/>
      <c r="BP341" s="531"/>
      <c r="BQ341" s="531"/>
      <c r="BT341" s="63"/>
      <c r="BU341" s="64"/>
      <c r="CA341" s="531"/>
      <c r="CB341" s="531"/>
      <c r="CC341" s="531"/>
      <c r="CF341" s="63"/>
      <c r="CG341" s="64"/>
      <c r="CM341" s="531"/>
      <c r="CN341" s="531"/>
      <c r="CO341" s="531"/>
    </row>
    <row r="342" spans="18:93" ht="18" customHeight="1">
      <c r="R342" s="76"/>
      <c r="V342" s="170"/>
      <c r="W342" s="69"/>
      <c r="X342" s="69"/>
      <c r="Y342" s="69"/>
      <c r="AD342" s="76"/>
      <c r="AG342" s="69"/>
      <c r="AH342" s="69"/>
      <c r="AI342" s="69"/>
      <c r="AJ342" s="69"/>
      <c r="AK342" s="69"/>
      <c r="AP342" s="76"/>
      <c r="AQ342" s="67"/>
      <c r="AR342" s="68"/>
      <c r="AS342" s="69"/>
      <c r="AT342" s="69"/>
      <c r="AU342" s="69"/>
      <c r="AV342" s="69"/>
      <c r="AW342" s="69"/>
      <c r="AX342" s="68"/>
      <c r="AY342" s="69"/>
      <c r="AZ342" s="67"/>
      <c r="BA342" s="69"/>
      <c r="BB342" s="76"/>
      <c r="BC342" s="67"/>
      <c r="BD342" s="68"/>
      <c r="BE342" s="69"/>
      <c r="BF342" s="69"/>
      <c r="BG342" s="69"/>
      <c r="BH342" s="69"/>
      <c r="BI342" s="69"/>
      <c r="BJ342" s="68"/>
      <c r="BK342" s="69"/>
      <c r="BL342" s="67"/>
      <c r="BM342" s="67"/>
      <c r="BN342" s="56"/>
      <c r="BO342" s="56"/>
      <c r="BT342" s="63"/>
      <c r="BW342" s="56"/>
      <c r="BX342" s="56"/>
      <c r="BY342" s="56"/>
      <c r="BZ342" s="56"/>
      <c r="CA342" s="56"/>
      <c r="CF342" s="63"/>
      <c r="CI342" s="56"/>
      <c r="CJ342" s="56"/>
      <c r="CK342" s="56"/>
      <c r="CL342" s="56"/>
      <c r="CM342" s="56"/>
    </row>
    <row r="343" spans="18:93" ht="18" customHeight="1">
      <c r="R343" s="76"/>
      <c r="V343" s="170"/>
      <c r="W343" s="69"/>
      <c r="X343" s="69"/>
      <c r="Y343" s="69"/>
      <c r="AD343" s="76"/>
      <c r="AG343" s="69"/>
      <c r="AH343" s="69"/>
      <c r="AI343" s="69"/>
      <c r="AJ343" s="69"/>
      <c r="AK343" s="69"/>
      <c r="AP343" s="76"/>
      <c r="AQ343" s="67"/>
      <c r="AR343" s="68"/>
      <c r="AS343" s="69"/>
      <c r="AT343" s="69"/>
      <c r="AU343" s="69"/>
      <c r="AV343" s="69"/>
      <c r="AW343" s="69"/>
      <c r="AX343" s="68"/>
      <c r="AY343" s="69"/>
      <c r="AZ343" s="67"/>
      <c r="BA343" s="69"/>
      <c r="BB343" s="76"/>
      <c r="BC343" s="67"/>
      <c r="BD343" s="68"/>
      <c r="BE343" s="69"/>
      <c r="BF343" s="69"/>
      <c r="BG343" s="69"/>
      <c r="BH343" s="69"/>
      <c r="BI343" s="69"/>
      <c r="BJ343" s="68"/>
      <c r="BK343" s="69"/>
      <c r="BL343" s="67"/>
      <c r="BM343" s="67"/>
      <c r="BN343" s="56"/>
      <c r="BO343" s="56"/>
      <c r="BT343" s="63"/>
      <c r="BW343" s="56"/>
      <c r="BX343" s="56"/>
      <c r="BY343" s="56"/>
      <c r="BZ343" s="56"/>
      <c r="CA343" s="56"/>
      <c r="CF343" s="63"/>
      <c r="CI343" s="56"/>
      <c r="CJ343" s="56"/>
      <c r="CK343" s="56"/>
      <c r="CL343" s="56"/>
      <c r="CM343" s="56"/>
    </row>
    <row r="344" spans="18:93" ht="18" customHeight="1">
      <c r="R344" s="76"/>
      <c r="V344" s="170"/>
      <c r="W344" s="69"/>
      <c r="X344" s="69"/>
      <c r="Y344" s="69"/>
      <c r="AD344" s="76"/>
      <c r="AG344" s="69"/>
      <c r="AH344" s="69"/>
      <c r="AI344" s="69"/>
      <c r="AJ344" s="69"/>
      <c r="AK344" s="69"/>
      <c r="AP344" s="76"/>
      <c r="AQ344" s="67"/>
      <c r="AR344" s="68"/>
      <c r="AS344" s="69"/>
      <c r="AT344" s="69"/>
      <c r="AU344" s="69"/>
      <c r="AV344" s="69"/>
      <c r="AW344" s="69"/>
      <c r="AX344" s="68"/>
      <c r="AY344" s="69"/>
      <c r="AZ344" s="67"/>
      <c r="BA344" s="69"/>
      <c r="BB344" s="76"/>
      <c r="BC344" s="67"/>
      <c r="BD344" s="68"/>
      <c r="BE344" s="69"/>
      <c r="BF344" s="69"/>
      <c r="BG344" s="69"/>
      <c r="BH344" s="69"/>
      <c r="BI344" s="69"/>
      <c r="BJ344" s="68"/>
      <c r="BK344" s="69"/>
      <c r="BL344" s="67"/>
      <c r="BM344" s="67"/>
      <c r="BN344" s="56"/>
      <c r="BO344" s="56"/>
      <c r="BT344" s="63"/>
      <c r="BW344" s="56"/>
      <c r="BX344" s="56"/>
      <c r="BY344" s="56"/>
      <c r="BZ344" s="56"/>
      <c r="CA344" s="56"/>
      <c r="CF344" s="63"/>
      <c r="CI344" s="56"/>
      <c r="CJ344" s="56"/>
      <c r="CK344" s="56"/>
      <c r="CL344" s="56"/>
      <c r="CM344" s="56"/>
    </row>
    <row r="345" spans="18:93" ht="18" customHeight="1">
      <c r="R345" s="76"/>
      <c r="V345" s="170"/>
      <c r="W345" s="69"/>
      <c r="X345" s="69"/>
      <c r="Y345" s="69"/>
      <c r="AD345" s="76"/>
      <c r="AG345" s="69"/>
      <c r="AH345" s="69"/>
      <c r="AI345" s="69"/>
      <c r="AJ345" s="69"/>
      <c r="AK345" s="69"/>
      <c r="AP345" s="76"/>
      <c r="AQ345" s="67"/>
      <c r="AR345" s="68"/>
      <c r="AS345" s="69"/>
      <c r="AT345" s="69"/>
      <c r="AU345" s="69"/>
      <c r="AV345" s="69"/>
      <c r="AW345" s="69"/>
      <c r="AX345" s="68"/>
      <c r="AY345" s="69"/>
      <c r="AZ345" s="67"/>
      <c r="BA345" s="69"/>
      <c r="BB345" s="76"/>
      <c r="BC345" s="67"/>
      <c r="BD345" s="68"/>
      <c r="BE345" s="69"/>
      <c r="BF345" s="69"/>
      <c r="BG345" s="69"/>
      <c r="BH345" s="69"/>
      <c r="BI345" s="69"/>
      <c r="BJ345" s="68"/>
      <c r="BK345" s="69"/>
      <c r="BL345" s="67"/>
      <c r="BM345" s="67"/>
      <c r="BN345" s="56"/>
      <c r="BO345" s="56"/>
      <c r="BT345" s="63"/>
      <c r="BW345" s="56"/>
      <c r="BX345" s="56"/>
      <c r="BY345" s="56"/>
      <c r="BZ345" s="56"/>
      <c r="CA345" s="56"/>
      <c r="CF345" s="63"/>
      <c r="CI345" s="56"/>
      <c r="CJ345" s="56"/>
      <c r="CK345" s="56"/>
      <c r="CL345" s="56"/>
      <c r="CM345" s="56"/>
    </row>
    <row r="346" spans="18:93" ht="18" customHeight="1">
      <c r="AQ346" s="67"/>
      <c r="AR346" s="68"/>
      <c r="AS346" s="68"/>
      <c r="AT346" s="68"/>
      <c r="AU346" s="68"/>
      <c r="AV346" s="68"/>
      <c r="AW346" s="68"/>
      <c r="AX346" s="68"/>
      <c r="AY346" s="69"/>
      <c r="AZ346" s="67"/>
      <c r="BA346" s="68"/>
      <c r="BB346" s="67"/>
      <c r="BC346" s="67"/>
      <c r="BD346" s="68"/>
      <c r="BE346" s="68"/>
      <c r="BF346" s="68"/>
      <c r="BG346" s="68"/>
      <c r="BH346" s="68"/>
      <c r="BI346" s="68"/>
      <c r="BJ346" s="68"/>
      <c r="BK346" s="69"/>
      <c r="BL346" s="67"/>
      <c r="BM346" s="67"/>
    </row>
    <row r="347" spans="18:93" ht="18" customHeight="1">
      <c r="R347" s="76"/>
      <c r="S347" s="77"/>
      <c r="Y347" s="533"/>
      <c r="Z347" s="533"/>
      <c r="AA347" s="533"/>
      <c r="AD347" s="76"/>
      <c r="AE347" s="77"/>
      <c r="AK347" s="533"/>
      <c r="AL347" s="533"/>
      <c r="AM347" s="533"/>
      <c r="AP347" s="76"/>
      <c r="AQ347" s="77"/>
      <c r="AR347" s="68"/>
      <c r="AS347" s="68"/>
      <c r="AT347" s="68"/>
      <c r="AU347" s="68"/>
      <c r="AV347" s="68"/>
      <c r="AW347" s="533"/>
      <c r="AX347" s="533"/>
      <c r="AY347" s="533"/>
      <c r="AZ347" s="67"/>
      <c r="BA347" s="68"/>
      <c r="BB347" s="76"/>
      <c r="BC347" s="77"/>
      <c r="BD347" s="68"/>
      <c r="BE347" s="68"/>
      <c r="BF347" s="68"/>
      <c r="BG347" s="68"/>
      <c r="BH347" s="68"/>
      <c r="BI347" s="533"/>
      <c r="BJ347" s="533"/>
      <c r="BK347" s="533"/>
      <c r="BL347" s="67"/>
      <c r="BM347" s="67"/>
      <c r="BO347" s="531"/>
      <c r="BP347" s="531"/>
      <c r="BQ347" s="531"/>
      <c r="BT347" s="63"/>
      <c r="BU347" s="64"/>
      <c r="CA347" s="531"/>
      <c r="CB347" s="531"/>
      <c r="CC347" s="531"/>
      <c r="CF347" s="63"/>
      <c r="CG347" s="64"/>
      <c r="CM347" s="531"/>
      <c r="CN347" s="531"/>
      <c r="CO347" s="531"/>
    </row>
    <row r="348" spans="18:93" ht="18" customHeight="1">
      <c r="R348" s="76"/>
      <c r="V348" s="170"/>
      <c r="W348" s="69"/>
      <c r="X348" s="69"/>
      <c r="Y348" s="69"/>
      <c r="AD348" s="76"/>
      <c r="AG348" s="69"/>
      <c r="AH348" s="69"/>
      <c r="AI348" s="69"/>
      <c r="AJ348" s="69"/>
      <c r="AK348" s="69"/>
      <c r="AP348" s="76"/>
      <c r="AQ348" s="67"/>
      <c r="AR348" s="68"/>
      <c r="AS348" s="69"/>
      <c r="AT348" s="69"/>
      <c r="AU348" s="69"/>
      <c r="AV348" s="69"/>
      <c r="AW348" s="69"/>
      <c r="AX348" s="68"/>
      <c r="AY348" s="69"/>
      <c r="AZ348" s="67"/>
      <c r="BA348" s="69"/>
      <c r="BB348" s="76"/>
      <c r="BC348" s="67"/>
      <c r="BD348" s="68"/>
      <c r="BE348" s="69"/>
      <c r="BF348" s="69"/>
      <c r="BG348" s="69"/>
      <c r="BH348" s="69"/>
      <c r="BI348" s="69"/>
      <c r="BJ348" s="68"/>
      <c r="BK348" s="69"/>
      <c r="BL348" s="67"/>
      <c r="BM348" s="67"/>
      <c r="BN348" s="56"/>
      <c r="BO348" s="56"/>
      <c r="BT348" s="63"/>
      <c r="BW348" s="56"/>
      <c r="BX348" s="56"/>
      <c r="BY348" s="56"/>
      <c r="BZ348" s="56"/>
      <c r="CA348" s="56"/>
      <c r="CF348" s="63"/>
      <c r="CI348" s="56"/>
      <c r="CJ348" s="56"/>
      <c r="CK348" s="56"/>
      <c r="CL348" s="56"/>
      <c r="CM348" s="56"/>
    </row>
    <row r="349" spans="18:93" ht="18" customHeight="1">
      <c r="R349" s="76"/>
      <c r="V349" s="170"/>
      <c r="W349" s="69"/>
      <c r="X349" s="69"/>
      <c r="Y349" s="69"/>
      <c r="AD349" s="76"/>
      <c r="AG349" s="69"/>
      <c r="AH349" s="69"/>
      <c r="AI349" s="69"/>
      <c r="AJ349" s="69"/>
      <c r="AK349" s="69"/>
      <c r="AP349" s="76"/>
      <c r="AQ349" s="67"/>
      <c r="AR349" s="68"/>
      <c r="AS349" s="69"/>
      <c r="AT349" s="69"/>
      <c r="AU349" s="69"/>
      <c r="AV349" s="69"/>
      <c r="AW349" s="69"/>
      <c r="AX349" s="68"/>
      <c r="AY349" s="69"/>
      <c r="AZ349" s="67"/>
      <c r="BA349" s="69"/>
      <c r="BB349" s="76"/>
      <c r="BC349" s="67"/>
      <c r="BD349" s="68"/>
      <c r="BE349" s="69"/>
      <c r="BF349" s="69"/>
      <c r="BG349" s="69"/>
      <c r="BH349" s="69"/>
      <c r="BI349" s="69"/>
      <c r="BJ349" s="68"/>
      <c r="BK349" s="69"/>
      <c r="BL349" s="67"/>
      <c r="BM349" s="67"/>
      <c r="BN349" s="56"/>
      <c r="BO349" s="56"/>
      <c r="BT349" s="63"/>
      <c r="BW349" s="56"/>
      <c r="BX349" s="56"/>
      <c r="BY349" s="56"/>
      <c r="BZ349" s="56"/>
      <c r="CA349" s="56"/>
      <c r="CF349" s="63"/>
      <c r="CI349" s="56"/>
      <c r="CJ349" s="56"/>
      <c r="CK349" s="56"/>
      <c r="CL349" s="56"/>
      <c r="CM349" s="56"/>
    </row>
    <row r="350" spans="18:93" ht="18" customHeight="1">
      <c r="R350" s="76"/>
      <c r="V350" s="170"/>
      <c r="W350" s="69"/>
      <c r="X350" s="69"/>
      <c r="Y350" s="69"/>
      <c r="AD350" s="76"/>
      <c r="AG350" s="69"/>
      <c r="AH350" s="69"/>
      <c r="AI350" s="69"/>
      <c r="AJ350" s="69"/>
      <c r="AK350" s="69"/>
      <c r="AP350" s="76"/>
      <c r="AQ350" s="67"/>
      <c r="AR350" s="68"/>
      <c r="AS350" s="69"/>
      <c r="AT350" s="69"/>
      <c r="AU350" s="69"/>
      <c r="AV350" s="69"/>
      <c r="AW350" s="69"/>
      <c r="AX350" s="68"/>
      <c r="AY350" s="69"/>
      <c r="AZ350" s="67"/>
      <c r="BA350" s="69"/>
      <c r="BB350" s="76"/>
      <c r="BC350" s="67"/>
      <c r="BD350" s="68"/>
      <c r="BE350" s="69"/>
      <c r="BF350" s="69"/>
      <c r="BG350" s="69"/>
      <c r="BH350" s="69"/>
      <c r="BI350" s="69"/>
      <c r="BJ350" s="68"/>
      <c r="BK350" s="69"/>
      <c r="BL350" s="67"/>
      <c r="BM350" s="67"/>
      <c r="BN350" s="56"/>
      <c r="BO350" s="56"/>
      <c r="BT350" s="63"/>
      <c r="BW350" s="56"/>
      <c r="BX350" s="56"/>
      <c r="BY350" s="56"/>
      <c r="BZ350" s="56"/>
      <c r="CA350" s="56"/>
      <c r="CF350" s="63"/>
      <c r="CI350" s="56"/>
      <c r="CJ350" s="56"/>
      <c r="CK350" s="56"/>
      <c r="CL350" s="56"/>
      <c r="CM350" s="56"/>
    </row>
    <row r="351" spans="18:93" ht="18" customHeight="1">
      <c r="R351" s="76"/>
      <c r="V351" s="170"/>
      <c r="W351" s="69"/>
      <c r="X351" s="69"/>
      <c r="Y351" s="69"/>
      <c r="AD351" s="76"/>
      <c r="AG351" s="69"/>
      <c r="AH351" s="69"/>
      <c r="AI351" s="69"/>
      <c r="AJ351" s="69"/>
      <c r="AK351" s="69"/>
      <c r="AP351" s="76"/>
      <c r="AQ351" s="67"/>
      <c r="AR351" s="68"/>
      <c r="AS351" s="69"/>
      <c r="AT351" s="69"/>
      <c r="AU351" s="69"/>
      <c r="AV351" s="69"/>
      <c r="AW351" s="69"/>
      <c r="AX351" s="68"/>
      <c r="AY351" s="69"/>
      <c r="AZ351" s="67"/>
      <c r="BA351" s="69"/>
      <c r="BB351" s="76"/>
      <c r="BC351" s="67"/>
      <c r="BD351" s="68"/>
      <c r="BE351" s="69"/>
      <c r="BF351" s="69"/>
      <c r="BG351" s="69"/>
      <c r="BH351" s="69"/>
      <c r="BI351" s="69"/>
      <c r="BJ351" s="68"/>
      <c r="BK351" s="69"/>
      <c r="BL351" s="67"/>
      <c r="BM351" s="67"/>
      <c r="BN351" s="56"/>
      <c r="BO351" s="56"/>
      <c r="BT351" s="63"/>
      <c r="BW351" s="56"/>
      <c r="BX351" s="56"/>
      <c r="BY351" s="56"/>
      <c r="BZ351" s="56"/>
      <c r="CA351" s="56"/>
      <c r="CF351" s="63"/>
      <c r="CI351" s="56"/>
      <c r="CJ351" s="56"/>
      <c r="CK351" s="56"/>
      <c r="CL351" s="56"/>
      <c r="CM351" s="56"/>
    </row>
    <row r="352" spans="18:93" ht="18" customHeight="1">
      <c r="AQ352" s="67"/>
      <c r="AR352" s="68"/>
      <c r="AS352" s="68"/>
      <c r="AT352" s="68"/>
      <c r="AU352" s="68"/>
      <c r="AV352" s="68"/>
      <c r="AW352" s="68"/>
      <c r="AX352" s="68"/>
      <c r="AY352" s="69"/>
      <c r="AZ352" s="67"/>
      <c r="BA352" s="68"/>
      <c r="BB352" s="67"/>
      <c r="BC352" s="67"/>
      <c r="BD352" s="68"/>
      <c r="BE352" s="68"/>
      <c r="BF352" s="68"/>
      <c r="BG352" s="68"/>
      <c r="BH352" s="68"/>
      <c r="BI352" s="68"/>
      <c r="BJ352" s="68"/>
      <c r="BK352" s="69"/>
      <c r="BL352" s="67"/>
      <c r="BM352" s="67"/>
    </row>
    <row r="353" spans="18:93" ht="18" customHeight="1">
      <c r="R353" s="76"/>
      <c r="S353" s="77"/>
      <c r="Y353" s="533"/>
      <c r="Z353" s="533"/>
      <c r="AA353" s="533"/>
      <c r="AD353" s="76"/>
      <c r="AE353" s="77"/>
      <c r="AK353" s="533"/>
      <c r="AL353" s="533"/>
      <c r="AM353" s="533"/>
      <c r="AP353" s="76"/>
      <c r="AQ353" s="77"/>
      <c r="AR353" s="68"/>
      <c r="AS353" s="68"/>
      <c r="AT353" s="68"/>
      <c r="AU353" s="68"/>
      <c r="AV353" s="68"/>
      <c r="AW353" s="533"/>
      <c r="AX353" s="533"/>
      <c r="AY353" s="533"/>
      <c r="AZ353" s="67"/>
      <c r="BA353" s="68"/>
      <c r="BB353" s="76"/>
      <c r="BC353" s="77"/>
      <c r="BD353" s="68"/>
      <c r="BE353" s="68"/>
      <c r="BF353" s="68"/>
      <c r="BG353" s="68"/>
      <c r="BH353" s="68"/>
      <c r="BI353" s="533"/>
      <c r="BJ353" s="533"/>
      <c r="BK353" s="533"/>
      <c r="BL353" s="67"/>
      <c r="BM353" s="67"/>
      <c r="BO353" s="531"/>
      <c r="BP353" s="531"/>
      <c r="BQ353" s="531"/>
      <c r="BT353" s="63"/>
      <c r="BU353" s="64"/>
      <c r="CA353" s="531"/>
      <c r="CB353" s="531"/>
      <c r="CC353" s="531"/>
      <c r="CF353" s="63"/>
      <c r="CG353" s="64"/>
      <c r="CM353" s="531"/>
      <c r="CN353" s="531"/>
      <c r="CO353" s="531"/>
    </row>
    <row r="354" spans="18:93" ht="18" customHeight="1">
      <c r="R354" s="76"/>
      <c r="V354" s="170"/>
      <c r="W354" s="69"/>
      <c r="X354" s="69"/>
      <c r="Y354" s="69"/>
      <c r="AD354" s="76"/>
      <c r="AG354" s="69"/>
      <c r="AH354" s="69"/>
      <c r="AI354" s="69"/>
      <c r="AJ354" s="69"/>
      <c r="AK354" s="69"/>
      <c r="AP354" s="76"/>
      <c r="AQ354" s="67"/>
      <c r="AR354" s="68"/>
      <c r="AS354" s="69"/>
      <c r="AT354" s="69"/>
      <c r="AU354" s="69"/>
      <c r="AV354" s="69"/>
      <c r="AW354" s="69"/>
      <c r="AX354" s="68"/>
      <c r="AY354" s="69"/>
      <c r="AZ354" s="67"/>
      <c r="BA354" s="69"/>
      <c r="BB354" s="76"/>
      <c r="BC354" s="67"/>
      <c r="BD354" s="68"/>
      <c r="BE354" s="69"/>
      <c r="BF354" s="69"/>
      <c r="BG354" s="69"/>
      <c r="BH354" s="69"/>
      <c r="BI354" s="69"/>
      <c r="BJ354" s="68"/>
      <c r="BK354" s="69"/>
      <c r="BL354" s="67"/>
      <c r="BM354" s="67"/>
      <c r="BN354" s="56"/>
      <c r="BO354" s="56"/>
      <c r="BT354" s="63"/>
      <c r="BW354" s="56"/>
      <c r="BX354" s="56"/>
      <c r="BY354" s="56"/>
      <c r="BZ354" s="56"/>
      <c r="CA354" s="56"/>
      <c r="CF354" s="63"/>
      <c r="CI354" s="56"/>
      <c r="CJ354" s="56"/>
      <c r="CK354" s="56"/>
      <c r="CL354" s="56"/>
      <c r="CM354" s="56"/>
    </row>
    <row r="355" spans="18:93" ht="18" customHeight="1">
      <c r="R355" s="76"/>
      <c r="V355" s="170"/>
      <c r="W355" s="69"/>
      <c r="X355" s="69"/>
      <c r="Y355" s="69"/>
      <c r="AD355" s="76"/>
      <c r="AG355" s="69"/>
      <c r="AH355" s="69"/>
      <c r="AI355" s="69"/>
      <c r="AJ355" s="69"/>
      <c r="AK355" s="69"/>
      <c r="AP355" s="76"/>
      <c r="AQ355" s="67"/>
      <c r="AR355" s="68"/>
      <c r="AS355" s="69"/>
      <c r="AT355" s="69"/>
      <c r="AU355" s="69"/>
      <c r="AV355" s="69"/>
      <c r="AW355" s="69"/>
      <c r="AX355" s="68"/>
      <c r="AY355" s="69"/>
      <c r="AZ355" s="67"/>
      <c r="BA355" s="69"/>
      <c r="BB355" s="76"/>
      <c r="BC355" s="67"/>
      <c r="BD355" s="68"/>
      <c r="BE355" s="69"/>
      <c r="BF355" s="69"/>
      <c r="BG355" s="69"/>
      <c r="BH355" s="69"/>
      <c r="BI355" s="69"/>
      <c r="BJ355" s="68"/>
      <c r="BK355" s="69"/>
      <c r="BL355" s="67"/>
      <c r="BM355" s="67"/>
      <c r="BN355" s="56"/>
      <c r="BO355" s="56"/>
      <c r="BT355" s="63"/>
      <c r="BW355" s="56"/>
      <c r="BX355" s="56"/>
      <c r="BY355" s="56"/>
      <c r="BZ355" s="56"/>
      <c r="CA355" s="56"/>
      <c r="CF355" s="63"/>
      <c r="CI355" s="56"/>
      <c r="CJ355" s="56"/>
      <c r="CK355" s="56"/>
      <c r="CL355" s="56"/>
      <c r="CM355" s="56"/>
    </row>
    <row r="356" spans="18:93" ht="18" customHeight="1">
      <c r="R356" s="76"/>
      <c r="V356" s="170"/>
      <c r="W356" s="69"/>
      <c r="X356" s="69"/>
      <c r="Y356" s="69"/>
      <c r="AD356" s="76"/>
      <c r="AG356" s="69"/>
      <c r="AH356" s="69"/>
      <c r="AI356" s="69"/>
      <c r="AJ356" s="69"/>
      <c r="AK356" s="69"/>
      <c r="AP356" s="76"/>
      <c r="AQ356" s="67"/>
      <c r="AR356" s="68"/>
      <c r="AS356" s="69"/>
      <c r="AT356" s="69"/>
      <c r="AU356" s="69"/>
      <c r="AV356" s="69"/>
      <c r="AW356" s="69"/>
      <c r="AX356" s="68"/>
      <c r="AY356" s="69"/>
      <c r="AZ356" s="67"/>
      <c r="BA356" s="69"/>
      <c r="BB356" s="76"/>
      <c r="BC356" s="67"/>
      <c r="BD356" s="68"/>
      <c r="BE356" s="69"/>
      <c r="BF356" s="69"/>
      <c r="BG356" s="69"/>
      <c r="BH356" s="69"/>
      <c r="BI356" s="69"/>
      <c r="BJ356" s="68"/>
      <c r="BK356" s="69"/>
      <c r="BL356" s="67"/>
      <c r="BM356" s="67"/>
      <c r="BN356" s="56"/>
      <c r="BO356" s="56"/>
      <c r="BT356" s="63"/>
      <c r="BW356" s="56"/>
      <c r="BX356" s="56"/>
      <c r="BY356" s="56"/>
      <c r="BZ356" s="56"/>
      <c r="CA356" s="56"/>
      <c r="CF356" s="63"/>
      <c r="CI356" s="56"/>
      <c r="CJ356" s="56"/>
      <c r="CK356" s="56"/>
      <c r="CL356" s="56"/>
      <c r="CM356" s="56"/>
    </row>
    <row r="357" spans="18:93" ht="18" customHeight="1">
      <c r="R357" s="76"/>
      <c r="V357" s="170"/>
      <c r="W357" s="69"/>
      <c r="X357" s="69"/>
      <c r="Y357" s="69"/>
      <c r="AD357" s="76"/>
      <c r="AG357" s="69"/>
      <c r="AH357" s="69"/>
      <c r="AI357" s="69"/>
      <c r="AJ357" s="69"/>
      <c r="AK357" s="69"/>
      <c r="AP357" s="76"/>
      <c r="AQ357" s="67"/>
      <c r="AR357" s="68"/>
      <c r="AS357" s="69"/>
      <c r="AT357" s="69"/>
      <c r="AU357" s="69"/>
      <c r="AV357" s="69"/>
      <c r="AW357" s="69"/>
      <c r="AX357" s="68"/>
      <c r="AY357" s="69"/>
      <c r="AZ357" s="67"/>
      <c r="BA357" s="69"/>
      <c r="BB357" s="76"/>
      <c r="BC357" s="67"/>
      <c r="BD357" s="68"/>
      <c r="BE357" s="69"/>
      <c r="BF357" s="69"/>
      <c r="BG357" s="69"/>
      <c r="BH357" s="69"/>
      <c r="BI357" s="69"/>
      <c r="BJ357" s="68"/>
      <c r="BK357" s="69"/>
      <c r="BL357" s="67"/>
      <c r="BM357" s="67"/>
      <c r="BN357" s="56"/>
      <c r="BO357" s="56"/>
      <c r="BT357" s="63"/>
      <c r="BW357" s="56"/>
      <c r="BX357" s="56"/>
      <c r="BY357" s="56"/>
      <c r="BZ357" s="56"/>
      <c r="CA357" s="56"/>
      <c r="CF357" s="63"/>
      <c r="CI357" s="56"/>
      <c r="CJ357" s="56"/>
      <c r="CK357" s="56"/>
      <c r="CL357" s="56"/>
      <c r="CM357" s="56"/>
    </row>
    <row r="358" spans="18:93" ht="18" customHeight="1">
      <c r="AQ358" s="67"/>
      <c r="AR358" s="68"/>
      <c r="AS358" s="68"/>
      <c r="AT358" s="68"/>
      <c r="AU358" s="68"/>
      <c r="AV358" s="68"/>
      <c r="AW358" s="68"/>
      <c r="AX358" s="68"/>
      <c r="AY358" s="69"/>
      <c r="AZ358" s="67"/>
      <c r="BA358" s="68"/>
      <c r="BB358" s="67"/>
      <c r="BC358" s="67"/>
      <c r="BD358" s="68"/>
      <c r="BE358" s="68"/>
      <c r="BF358" s="68"/>
      <c r="BG358" s="68"/>
      <c r="BH358" s="68"/>
      <c r="BI358" s="68"/>
      <c r="BJ358" s="68"/>
      <c r="BK358" s="69"/>
      <c r="BL358" s="67"/>
      <c r="BM358" s="67"/>
    </row>
    <row r="359" spans="18:93" ht="18" customHeight="1">
      <c r="R359" s="76"/>
      <c r="S359" s="77"/>
      <c r="Y359" s="533"/>
      <c r="Z359" s="533"/>
      <c r="AA359" s="533"/>
      <c r="AD359" s="76"/>
      <c r="AE359" s="77"/>
      <c r="AK359" s="533"/>
      <c r="AL359" s="533"/>
      <c r="AM359" s="533"/>
      <c r="AP359" s="76"/>
      <c r="AQ359" s="77"/>
      <c r="AR359" s="68"/>
      <c r="AS359" s="68"/>
      <c r="AT359" s="68"/>
      <c r="AU359" s="68"/>
      <c r="AV359" s="68"/>
      <c r="AW359" s="533"/>
      <c r="AX359" s="533"/>
      <c r="AY359" s="533"/>
      <c r="AZ359" s="67"/>
      <c r="BA359" s="68"/>
      <c r="BB359" s="76"/>
      <c r="BC359" s="77"/>
      <c r="BD359" s="68"/>
      <c r="BE359" s="68"/>
      <c r="BF359" s="68"/>
      <c r="BG359" s="68"/>
      <c r="BH359" s="68"/>
      <c r="BI359" s="533"/>
      <c r="BJ359" s="533"/>
      <c r="BK359" s="533"/>
      <c r="BL359" s="67"/>
      <c r="BM359" s="67"/>
      <c r="BO359" s="531"/>
      <c r="BP359" s="531"/>
      <c r="BQ359" s="531"/>
      <c r="BT359" s="63"/>
      <c r="BU359" s="64"/>
      <c r="CA359" s="531"/>
      <c r="CB359" s="531"/>
      <c r="CC359" s="531"/>
      <c r="CF359" s="63"/>
      <c r="CG359" s="64"/>
      <c r="CM359" s="531"/>
      <c r="CN359" s="531"/>
      <c r="CO359" s="531"/>
    </row>
    <row r="360" spans="18:93" ht="18" customHeight="1">
      <c r="R360" s="76"/>
      <c r="V360" s="170"/>
      <c r="W360" s="69"/>
      <c r="X360" s="69"/>
      <c r="Y360" s="69"/>
      <c r="AD360" s="76"/>
      <c r="AG360" s="69"/>
      <c r="AH360" s="69"/>
      <c r="AI360" s="69"/>
      <c r="AJ360" s="69"/>
      <c r="AK360" s="69"/>
      <c r="AP360" s="76"/>
      <c r="AQ360" s="67"/>
      <c r="AR360" s="68"/>
      <c r="AS360" s="69"/>
      <c r="AT360" s="69"/>
      <c r="AU360" s="69"/>
      <c r="AV360" s="69"/>
      <c r="AW360" s="69"/>
      <c r="AX360" s="68"/>
      <c r="AY360" s="69"/>
      <c r="AZ360" s="67"/>
      <c r="BA360" s="69"/>
      <c r="BB360" s="76"/>
      <c r="BC360" s="67"/>
      <c r="BD360" s="68"/>
      <c r="BE360" s="69"/>
      <c r="BF360" s="69"/>
      <c r="BG360" s="69"/>
      <c r="BH360" s="69"/>
      <c r="BI360" s="69"/>
      <c r="BJ360" s="68"/>
      <c r="BK360" s="69"/>
      <c r="BL360" s="67"/>
      <c r="BM360" s="67"/>
      <c r="BN360" s="56"/>
      <c r="BO360" s="56"/>
      <c r="BT360" s="63"/>
      <c r="BW360" s="56"/>
      <c r="BX360" s="56"/>
      <c r="BY360" s="56"/>
      <c r="BZ360" s="56"/>
      <c r="CA360" s="56"/>
      <c r="CF360" s="63"/>
      <c r="CI360" s="56"/>
      <c r="CJ360" s="56"/>
      <c r="CK360" s="56"/>
      <c r="CL360" s="56"/>
      <c r="CM360" s="56"/>
    </row>
    <row r="361" spans="18:93" ht="18" customHeight="1">
      <c r="R361" s="76"/>
      <c r="V361" s="170"/>
      <c r="W361" s="69"/>
      <c r="X361" s="69"/>
      <c r="Y361" s="69"/>
      <c r="AD361" s="76"/>
      <c r="AG361" s="69"/>
      <c r="AH361" s="69"/>
      <c r="AI361" s="69"/>
      <c r="AJ361" s="69"/>
      <c r="AK361" s="69"/>
      <c r="AP361" s="76"/>
      <c r="AQ361" s="67"/>
      <c r="AR361" s="68"/>
      <c r="AS361" s="69"/>
      <c r="AT361" s="69"/>
      <c r="AU361" s="69"/>
      <c r="AV361" s="69"/>
      <c r="AW361" s="69"/>
      <c r="AX361" s="68"/>
      <c r="AY361" s="69"/>
      <c r="AZ361" s="67"/>
      <c r="BA361" s="69"/>
      <c r="BB361" s="76"/>
      <c r="BC361" s="67"/>
      <c r="BD361" s="68"/>
      <c r="BE361" s="69"/>
      <c r="BF361" s="69"/>
      <c r="BG361" s="69"/>
      <c r="BH361" s="69"/>
      <c r="BI361" s="69"/>
      <c r="BJ361" s="68"/>
      <c r="BK361" s="69"/>
      <c r="BL361" s="67"/>
      <c r="BM361" s="67"/>
      <c r="BN361" s="56"/>
      <c r="BO361" s="56"/>
      <c r="BT361" s="63"/>
      <c r="BW361" s="56"/>
      <c r="BX361" s="56"/>
      <c r="BY361" s="56"/>
      <c r="BZ361" s="56"/>
      <c r="CA361" s="56"/>
      <c r="CF361" s="63"/>
      <c r="CI361" s="56"/>
      <c r="CJ361" s="56"/>
      <c r="CK361" s="56"/>
      <c r="CL361" s="56"/>
      <c r="CM361" s="56"/>
    </row>
    <row r="362" spans="18:93" ht="18" customHeight="1">
      <c r="R362" s="76"/>
      <c r="V362" s="170"/>
      <c r="W362" s="69"/>
      <c r="X362" s="69"/>
      <c r="Y362" s="69"/>
      <c r="AD362" s="76"/>
      <c r="AG362" s="69"/>
      <c r="AH362" s="69"/>
      <c r="AI362" s="69"/>
      <c r="AJ362" s="69"/>
      <c r="AK362" s="69"/>
      <c r="AP362" s="76"/>
      <c r="AQ362" s="67"/>
      <c r="AR362" s="68"/>
      <c r="AS362" s="69"/>
      <c r="AT362" s="69"/>
      <c r="AU362" s="69"/>
      <c r="AV362" s="69"/>
      <c r="AW362" s="69"/>
      <c r="AX362" s="68"/>
      <c r="AY362" s="69"/>
      <c r="AZ362" s="67"/>
      <c r="BA362" s="69"/>
      <c r="BB362" s="76"/>
      <c r="BC362" s="67"/>
      <c r="BD362" s="68"/>
      <c r="BE362" s="69"/>
      <c r="BF362" s="69"/>
      <c r="BG362" s="69"/>
      <c r="BH362" s="69"/>
      <c r="BI362" s="69"/>
      <c r="BJ362" s="68"/>
      <c r="BK362" s="69"/>
      <c r="BL362" s="67"/>
      <c r="BM362" s="67"/>
      <c r="BN362" s="56"/>
      <c r="BO362" s="56"/>
      <c r="BT362" s="63"/>
      <c r="BW362" s="56"/>
      <c r="BX362" s="56"/>
      <c r="BY362" s="56"/>
      <c r="BZ362" s="56"/>
      <c r="CA362" s="56"/>
      <c r="CF362" s="63"/>
      <c r="CI362" s="56"/>
      <c r="CJ362" s="56"/>
      <c r="CK362" s="56"/>
      <c r="CL362" s="56"/>
      <c r="CM362" s="56"/>
    </row>
    <row r="363" spans="18:93" ht="18" customHeight="1">
      <c r="R363" s="76"/>
      <c r="V363" s="170"/>
      <c r="W363" s="69"/>
      <c r="X363" s="69"/>
      <c r="Y363" s="69"/>
      <c r="AD363" s="76"/>
      <c r="AG363" s="69"/>
      <c r="AH363" s="69"/>
      <c r="AI363" s="69"/>
      <c r="AJ363" s="69"/>
      <c r="AK363" s="69"/>
      <c r="AP363" s="76"/>
      <c r="AQ363" s="67"/>
      <c r="AR363" s="68"/>
      <c r="AS363" s="69"/>
      <c r="AT363" s="69"/>
      <c r="AU363" s="69"/>
      <c r="AV363" s="69"/>
      <c r="AW363" s="69"/>
      <c r="AX363" s="68"/>
      <c r="AY363" s="69"/>
      <c r="AZ363" s="67"/>
      <c r="BA363" s="69"/>
      <c r="BB363" s="76"/>
      <c r="BC363" s="67"/>
      <c r="BD363" s="68"/>
      <c r="BE363" s="69"/>
      <c r="BF363" s="69"/>
      <c r="BG363" s="69"/>
      <c r="BH363" s="69"/>
      <c r="BI363" s="69"/>
      <c r="BJ363" s="68"/>
      <c r="BK363" s="69"/>
      <c r="BL363" s="67"/>
      <c r="BM363" s="67"/>
      <c r="BN363" s="56"/>
      <c r="BO363" s="56"/>
      <c r="BT363" s="63"/>
      <c r="BW363" s="56"/>
      <c r="BX363" s="56"/>
      <c r="BY363" s="56"/>
      <c r="BZ363" s="56"/>
      <c r="CA363" s="56"/>
      <c r="CF363" s="63"/>
      <c r="CI363" s="56"/>
      <c r="CJ363" s="56"/>
      <c r="CK363" s="56"/>
      <c r="CL363" s="56"/>
      <c r="CM363" s="56"/>
    </row>
    <row r="364" spans="18:93" ht="18" customHeight="1">
      <c r="AQ364" s="67"/>
      <c r="AR364" s="68"/>
      <c r="AS364" s="68"/>
      <c r="AT364" s="68"/>
      <c r="AU364" s="68"/>
      <c r="AV364" s="68"/>
      <c r="AW364" s="68"/>
      <c r="AX364" s="68"/>
      <c r="AY364" s="69"/>
      <c r="AZ364" s="67"/>
      <c r="BA364" s="68"/>
      <c r="BB364" s="67"/>
      <c r="BC364" s="67"/>
      <c r="BD364" s="68"/>
      <c r="BE364" s="68"/>
      <c r="BF364" s="68"/>
      <c r="BG364" s="68"/>
      <c r="BH364" s="68"/>
      <c r="BI364" s="68"/>
      <c r="BJ364" s="68"/>
      <c r="BK364" s="69"/>
      <c r="BL364" s="67"/>
      <c r="BM364" s="67"/>
    </row>
    <row r="365" spans="18:93" ht="18" customHeight="1">
      <c r="R365" s="76"/>
      <c r="S365" s="77"/>
      <c r="Y365" s="533"/>
      <c r="Z365" s="533"/>
      <c r="AA365" s="533"/>
      <c r="AD365" s="76"/>
      <c r="AE365" s="77"/>
      <c r="AK365" s="533"/>
      <c r="AL365" s="533"/>
      <c r="AM365" s="533"/>
      <c r="AP365" s="76"/>
      <c r="AQ365" s="77"/>
      <c r="AR365" s="68"/>
      <c r="AS365" s="68"/>
      <c r="AT365" s="68"/>
      <c r="AU365" s="68"/>
      <c r="AV365" s="68"/>
      <c r="AW365" s="533"/>
      <c r="AX365" s="533"/>
      <c r="AY365" s="533"/>
      <c r="AZ365" s="67"/>
      <c r="BA365" s="68"/>
      <c r="BB365" s="76"/>
      <c r="BC365" s="77"/>
      <c r="BD365" s="68"/>
      <c r="BE365" s="68"/>
      <c r="BF365" s="68"/>
      <c r="BG365" s="68"/>
      <c r="BH365" s="68"/>
      <c r="BI365" s="533"/>
      <c r="BJ365" s="533"/>
      <c r="BK365" s="533"/>
      <c r="BL365" s="67"/>
      <c r="BM365" s="67"/>
      <c r="BO365" s="531"/>
      <c r="BP365" s="531"/>
      <c r="BQ365" s="531"/>
      <c r="BT365" s="63"/>
      <c r="BU365" s="64"/>
      <c r="CA365" s="531"/>
      <c r="CB365" s="531"/>
      <c r="CC365" s="531"/>
      <c r="CF365" s="63"/>
      <c r="CG365" s="64"/>
      <c r="CM365" s="531"/>
      <c r="CN365" s="531"/>
      <c r="CO365" s="531"/>
    </row>
    <row r="366" spans="18:93" ht="18" customHeight="1">
      <c r="R366" s="76"/>
      <c r="V366" s="170"/>
      <c r="W366" s="69"/>
      <c r="X366" s="69"/>
      <c r="Y366" s="69"/>
      <c r="AD366" s="76"/>
      <c r="AG366" s="69"/>
      <c r="AH366" s="69"/>
      <c r="AI366" s="69"/>
      <c r="AJ366" s="69"/>
      <c r="AK366" s="69"/>
      <c r="AP366" s="76"/>
      <c r="AQ366" s="67"/>
      <c r="AR366" s="68"/>
      <c r="AS366" s="69"/>
      <c r="AT366" s="69"/>
      <c r="AU366" s="69"/>
      <c r="AV366" s="69"/>
      <c r="AW366" s="69"/>
      <c r="AX366" s="68"/>
      <c r="AY366" s="69"/>
      <c r="AZ366" s="67"/>
      <c r="BA366" s="69"/>
      <c r="BB366" s="76"/>
      <c r="BC366" s="67"/>
      <c r="BD366" s="68"/>
      <c r="BE366" s="69"/>
      <c r="BF366" s="69"/>
      <c r="BG366" s="69"/>
      <c r="BH366" s="69"/>
      <c r="BI366" s="69"/>
      <c r="BJ366" s="68"/>
      <c r="BK366" s="69"/>
      <c r="BL366" s="67"/>
      <c r="BM366" s="67"/>
      <c r="BN366" s="56"/>
      <c r="BO366" s="56"/>
      <c r="BT366" s="63"/>
      <c r="BW366" s="56"/>
      <c r="BX366" s="56"/>
      <c r="BY366" s="56"/>
      <c r="BZ366" s="56"/>
      <c r="CA366" s="56"/>
      <c r="CF366" s="63"/>
      <c r="CI366" s="56"/>
      <c r="CJ366" s="56"/>
      <c r="CK366" s="56"/>
      <c r="CL366" s="56"/>
      <c r="CM366" s="56"/>
    </row>
    <row r="367" spans="18:93" ht="18" customHeight="1">
      <c r="R367" s="76"/>
      <c r="V367" s="170"/>
      <c r="W367" s="69"/>
      <c r="X367" s="69"/>
      <c r="Y367" s="69"/>
      <c r="AD367" s="76"/>
      <c r="AG367" s="69"/>
      <c r="AH367" s="69"/>
      <c r="AI367" s="69"/>
      <c r="AJ367" s="69"/>
      <c r="AK367" s="69"/>
      <c r="AP367" s="76"/>
      <c r="AQ367" s="67"/>
      <c r="AR367" s="68"/>
      <c r="AS367" s="69"/>
      <c r="AT367" s="69"/>
      <c r="AU367" s="69"/>
      <c r="AV367" s="69"/>
      <c r="AW367" s="69"/>
      <c r="AX367" s="68"/>
      <c r="AY367" s="69"/>
      <c r="AZ367" s="67"/>
      <c r="BA367" s="69"/>
      <c r="BB367" s="76"/>
      <c r="BC367" s="67"/>
      <c r="BD367" s="68"/>
      <c r="BE367" s="69"/>
      <c r="BF367" s="69"/>
      <c r="BG367" s="69"/>
      <c r="BH367" s="69"/>
      <c r="BI367" s="69"/>
      <c r="BJ367" s="68"/>
      <c r="BK367" s="69"/>
      <c r="BL367" s="67"/>
      <c r="BM367" s="67"/>
      <c r="BN367" s="56"/>
      <c r="BO367" s="56"/>
      <c r="BT367" s="63"/>
      <c r="BW367" s="56"/>
      <c r="BX367" s="56"/>
      <c r="BY367" s="56"/>
      <c r="BZ367" s="56"/>
      <c r="CA367" s="56"/>
      <c r="CF367" s="63"/>
      <c r="CI367" s="56"/>
      <c r="CJ367" s="56"/>
      <c r="CK367" s="56"/>
      <c r="CL367" s="56"/>
      <c r="CM367" s="56"/>
    </row>
    <row r="368" spans="18:93" ht="18" customHeight="1">
      <c r="R368" s="76"/>
      <c r="V368" s="170"/>
      <c r="W368" s="69"/>
      <c r="X368" s="69"/>
      <c r="Y368" s="69"/>
      <c r="AD368" s="76"/>
      <c r="AG368" s="69"/>
      <c r="AH368" s="69"/>
      <c r="AI368" s="69"/>
      <c r="AJ368" s="69"/>
      <c r="AK368" s="69"/>
      <c r="AP368" s="76"/>
      <c r="AQ368" s="67"/>
      <c r="AR368" s="68"/>
      <c r="AS368" s="69"/>
      <c r="AT368" s="69"/>
      <c r="AU368" s="69"/>
      <c r="AV368" s="69"/>
      <c r="AW368" s="69"/>
      <c r="AX368" s="68"/>
      <c r="AY368" s="69"/>
      <c r="AZ368" s="67"/>
      <c r="BA368" s="69"/>
      <c r="BB368" s="76"/>
      <c r="BC368" s="67"/>
      <c r="BD368" s="68"/>
      <c r="BE368" s="69"/>
      <c r="BF368" s="69"/>
      <c r="BG368" s="69"/>
      <c r="BH368" s="69"/>
      <c r="BI368" s="69"/>
      <c r="BJ368" s="68"/>
      <c r="BK368" s="69"/>
      <c r="BL368" s="67"/>
      <c r="BM368" s="67"/>
      <c r="BN368" s="56"/>
      <c r="BO368" s="56"/>
      <c r="BT368" s="63"/>
      <c r="BW368" s="56"/>
      <c r="BX368" s="56"/>
      <c r="BY368" s="56"/>
      <c r="BZ368" s="56"/>
      <c r="CA368" s="56"/>
      <c r="CF368" s="63"/>
      <c r="CI368" s="56"/>
      <c r="CJ368" s="56"/>
      <c r="CK368" s="56"/>
      <c r="CL368" s="56"/>
      <c r="CM368" s="56"/>
    </row>
    <row r="369" spans="18:93" ht="18" customHeight="1">
      <c r="R369" s="76"/>
      <c r="V369" s="170"/>
      <c r="W369" s="69"/>
      <c r="X369" s="69"/>
      <c r="Y369" s="69"/>
      <c r="AD369" s="76"/>
      <c r="AG369" s="69"/>
      <c r="AH369" s="69"/>
      <c r="AI369" s="69"/>
      <c r="AJ369" s="69"/>
      <c r="AK369" s="69"/>
      <c r="AP369" s="76"/>
      <c r="AQ369" s="67"/>
      <c r="AR369" s="68"/>
      <c r="AS369" s="69"/>
      <c r="AT369" s="69"/>
      <c r="AU369" s="69"/>
      <c r="AV369" s="69"/>
      <c r="AW369" s="69"/>
      <c r="AX369" s="68"/>
      <c r="AY369" s="69"/>
      <c r="AZ369" s="67"/>
      <c r="BA369" s="69"/>
      <c r="BB369" s="76"/>
      <c r="BC369" s="67"/>
      <c r="BD369" s="68"/>
      <c r="BE369" s="69"/>
      <c r="BF369" s="69"/>
      <c r="BG369" s="69"/>
      <c r="BH369" s="69"/>
      <c r="BI369" s="69"/>
      <c r="BJ369" s="68"/>
      <c r="BK369" s="69"/>
      <c r="BL369" s="67"/>
      <c r="BM369" s="67"/>
      <c r="BN369" s="56"/>
      <c r="BO369" s="56"/>
      <c r="BT369" s="63"/>
      <c r="BW369" s="56"/>
      <c r="BX369" s="56"/>
      <c r="BY369" s="56"/>
      <c r="BZ369" s="56"/>
      <c r="CA369" s="56"/>
      <c r="CF369" s="63"/>
      <c r="CI369" s="56"/>
      <c r="CJ369" s="56"/>
      <c r="CK369" s="56"/>
      <c r="CL369" s="56"/>
      <c r="CM369" s="56"/>
    </row>
    <row r="370" spans="18:93" ht="18" customHeight="1">
      <c r="AQ370" s="67"/>
      <c r="AR370" s="68"/>
      <c r="AS370" s="68"/>
      <c r="AT370" s="68"/>
      <c r="AU370" s="68"/>
      <c r="AV370" s="68"/>
      <c r="AW370" s="68"/>
      <c r="AX370" s="68"/>
      <c r="AY370" s="69"/>
      <c r="AZ370" s="67"/>
      <c r="BA370" s="68"/>
      <c r="BB370" s="67"/>
      <c r="BC370" s="67"/>
      <c r="BD370" s="68"/>
      <c r="BE370" s="68"/>
      <c r="BF370" s="68"/>
      <c r="BG370" s="68"/>
      <c r="BH370" s="68"/>
      <c r="BI370" s="68"/>
      <c r="BJ370" s="68"/>
      <c r="BK370" s="69"/>
      <c r="BL370" s="67"/>
      <c r="BM370" s="67"/>
    </row>
    <row r="371" spans="18:93" ht="18" customHeight="1">
      <c r="R371" s="76"/>
      <c r="S371" s="77"/>
      <c r="Y371" s="533"/>
      <c r="Z371" s="533"/>
      <c r="AA371" s="533"/>
      <c r="AD371" s="76"/>
      <c r="AE371" s="77"/>
      <c r="AK371" s="533"/>
      <c r="AL371" s="533"/>
      <c r="AM371" s="533"/>
      <c r="AP371" s="76"/>
      <c r="AQ371" s="77"/>
      <c r="AR371" s="68"/>
      <c r="AS371" s="68"/>
      <c r="AT371" s="68"/>
      <c r="AU371" s="68"/>
      <c r="AV371" s="68"/>
      <c r="AW371" s="533"/>
      <c r="AX371" s="533"/>
      <c r="AY371" s="533"/>
      <c r="AZ371" s="67"/>
      <c r="BA371" s="68"/>
      <c r="BB371" s="76"/>
      <c r="BC371" s="77"/>
      <c r="BD371" s="68"/>
      <c r="BE371" s="68"/>
      <c r="BF371" s="68"/>
      <c r="BG371" s="68"/>
      <c r="BH371" s="68"/>
      <c r="BI371" s="533"/>
      <c r="BJ371" s="533"/>
      <c r="BK371" s="533"/>
      <c r="BL371" s="67"/>
      <c r="BM371" s="67"/>
      <c r="BO371" s="531"/>
      <c r="BP371" s="531"/>
      <c r="BQ371" s="531"/>
      <c r="BT371" s="63"/>
      <c r="BU371" s="64"/>
      <c r="CA371" s="531"/>
      <c r="CB371" s="531"/>
      <c r="CC371" s="531"/>
      <c r="CF371" s="63"/>
      <c r="CG371" s="64"/>
      <c r="CM371" s="531"/>
      <c r="CN371" s="531"/>
      <c r="CO371" s="531"/>
    </row>
    <row r="372" spans="18:93" ht="18" customHeight="1">
      <c r="R372" s="76"/>
      <c r="V372" s="170"/>
      <c r="W372" s="69"/>
      <c r="X372" s="69"/>
      <c r="Y372" s="69"/>
      <c r="AD372" s="76"/>
      <c r="AG372" s="69"/>
      <c r="AH372" s="69"/>
      <c r="AI372" s="69"/>
      <c r="AJ372" s="69"/>
      <c r="AK372" s="69"/>
      <c r="AP372" s="76"/>
      <c r="AQ372" s="67"/>
      <c r="AR372" s="68"/>
      <c r="AS372" s="69"/>
      <c r="AT372" s="69"/>
      <c r="AU372" s="69"/>
      <c r="AV372" s="69"/>
      <c r="AW372" s="69"/>
      <c r="AX372" s="68"/>
      <c r="AY372" s="69"/>
      <c r="AZ372" s="67"/>
      <c r="BA372" s="69"/>
      <c r="BB372" s="76"/>
      <c r="BC372" s="67"/>
      <c r="BD372" s="68"/>
      <c r="BE372" s="69"/>
      <c r="BF372" s="69"/>
      <c r="BG372" s="69"/>
      <c r="BH372" s="69"/>
      <c r="BI372" s="69"/>
      <c r="BJ372" s="68"/>
      <c r="BK372" s="69"/>
      <c r="BL372" s="67"/>
      <c r="BM372" s="67"/>
      <c r="BN372" s="56"/>
      <c r="BO372" s="56"/>
      <c r="BT372" s="63"/>
      <c r="BW372" s="56"/>
      <c r="BX372" s="56"/>
      <c r="BY372" s="56"/>
      <c r="BZ372" s="56"/>
      <c r="CA372" s="56"/>
      <c r="CF372" s="63"/>
      <c r="CI372" s="56"/>
      <c r="CJ372" s="56"/>
      <c r="CK372" s="56"/>
      <c r="CL372" s="56"/>
      <c r="CM372" s="56"/>
    </row>
    <row r="373" spans="18:93" ht="18" customHeight="1">
      <c r="R373" s="76"/>
      <c r="V373" s="170"/>
      <c r="W373" s="69"/>
      <c r="X373" s="69"/>
      <c r="Y373" s="69"/>
      <c r="AD373" s="76"/>
      <c r="AG373" s="69"/>
      <c r="AH373" s="69"/>
      <c r="AI373" s="69"/>
      <c r="AJ373" s="69"/>
      <c r="AK373" s="69"/>
      <c r="AP373" s="76"/>
      <c r="AQ373" s="67"/>
      <c r="AR373" s="68"/>
      <c r="AS373" s="69"/>
      <c r="AT373" s="69"/>
      <c r="AU373" s="69"/>
      <c r="AV373" s="69"/>
      <c r="AW373" s="69"/>
      <c r="AX373" s="68"/>
      <c r="AY373" s="69"/>
      <c r="AZ373" s="67"/>
      <c r="BA373" s="69"/>
      <c r="BB373" s="76"/>
      <c r="BC373" s="67"/>
      <c r="BD373" s="68"/>
      <c r="BE373" s="69"/>
      <c r="BF373" s="69"/>
      <c r="BG373" s="69"/>
      <c r="BH373" s="69"/>
      <c r="BI373" s="69"/>
      <c r="BJ373" s="68"/>
      <c r="BK373" s="69"/>
      <c r="BL373" s="67"/>
      <c r="BM373" s="67"/>
      <c r="BN373" s="56"/>
      <c r="BO373" s="56"/>
      <c r="BT373" s="63"/>
      <c r="BW373" s="56"/>
      <c r="BX373" s="56"/>
      <c r="BY373" s="56"/>
      <c r="BZ373" s="56"/>
      <c r="CA373" s="56"/>
      <c r="CF373" s="63"/>
      <c r="CI373" s="56"/>
      <c r="CJ373" s="56"/>
      <c r="CK373" s="56"/>
      <c r="CL373" s="56"/>
      <c r="CM373" s="56"/>
    </row>
    <row r="374" spans="18:93" ht="18" customHeight="1">
      <c r="R374" s="76"/>
      <c r="V374" s="170"/>
      <c r="W374" s="69"/>
      <c r="X374" s="69"/>
      <c r="Y374" s="69"/>
      <c r="AD374" s="76"/>
      <c r="AG374" s="69"/>
      <c r="AH374" s="69"/>
      <c r="AI374" s="69"/>
      <c r="AJ374" s="69"/>
      <c r="AK374" s="69"/>
      <c r="AP374" s="76"/>
      <c r="AQ374" s="67"/>
      <c r="AR374" s="68"/>
      <c r="AS374" s="69"/>
      <c r="AT374" s="69"/>
      <c r="AU374" s="69"/>
      <c r="AV374" s="69"/>
      <c r="AW374" s="69"/>
      <c r="AX374" s="68"/>
      <c r="AY374" s="69"/>
      <c r="AZ374" s="67"/>
      <c r="BA374" s="69"/>
      <c r="BB374" s="76"/>
      <c r="BC374" s="67"/>
      <c r="BD374" s="68"/>
      <c r="BE374" s="69"/>
      <c r="BF374" s="69"/>
      <c r="BG374" s="69"/>
      <c r="BH374" s="69"/>
      <c r="BI374" s="69"/>
      <c r="BJ374" s="68"/>
      <c r="BK374" s="69"/>
      <c r="BL374" s="67"/>
      <c r="BM374" s="67"/>
      <c r="BN374" s="56"/>
      <c r="BO374" s="56"/>
      <c r="BT374" s="63"/>
      <c r="BW374" s="56"/>
      <c r="BX374" s="56"/>
      <c r="BY374" s="56"/>
      <c r="BZ374" s="56"/>
      <c r="CA374" s="56"/>
      <c r="CF374" s="63"/>
      <c r="CI374" s="56"/>
      <c r="CJ374" s="56"/>
      <c r="CK374" s="56"/>
      <c r="CL374" s="56"/>
      <c r="CM374" s="56"/>
    </row>
    <row r="375" spans="18:93" ht="18" customHeight="1">
      <c r="R375" s="76"/>
      <c r="V375" s="170"/>
      <c r="W375" s="69"/>
      <c r="X375" s="69"/>
      <c r="Y375" s="69"/>
      <c r="AD375" s="76"/>
      <c r="AG375" s="69"/>
      <c r="AH375" s="69"/>
      <c r="AI375" s="69"/>
      <c r="AJ375" s="69"/>
      <c r="AK375" s="69"/>
      <c r="AP375" s="76"/>
      <c r="AQ375" s="67"/>
      <c r="AR375" s="68"/>
      <c r="AS375" s="69"/>
      <c r="AT375" s="69"/>
      <c r="AU375" s="69"/>
      <c r="AV375" s="69"/>
      <c r="AW375" s="69"/>
      <c r="AX375" s="68"/>
      <c r="AY375" s="69"/>
      <c r="AZ375" s="67"/>
      <c r="BA375" s="69"/>
      <c r="BB375" s="76"/>
      <c r="BC375" s="67"/>
      <c r="BD375" s="68"/>
      <c r="BE375" s="69"/>
      <c r="BF375" s="69"/>
      <c r="BG375" s="69"/>
      <c r="BH375" s="69"/>
      <c r="BI375" s="69"/>
      <c r="BJ375" s="68"/>
      <c r="BK375" s="69"/>
      <c r="BL375" s="67"/>
      <c r="BM375" s="67"/>
      <c r="BN375" s="56"/>
      <c r="BO375" s="56"/>
      <c r="BT375" s="63"/>
      <c r="BW375" s="56"/>
      <c r="BX375" s="56"/>
      <c r="BY375" s="56"/>
      <c r="BZ375" s="56"/>
      <c r="CA375" s="56"/>
      <c r="CF375" s="63"/>
      <c r="CI375" s="56"/>
      <c r="CJ375" s="56"/>
      <c r="CK375" s="56"/>
      <c r="CL375" s="56"/>
      <c r="CM375" s="56"/>
    </row>
    <row r="376" spans="18:93" ht="18" customHeight="1">
      <c r="AQ376" s="67"/>
      <c r="AR376" s="68"/>
      <c r="AS376" s="68"/>
      <c r="AT376" s="68"/>
      <c r="AU376" s="68"/>
      <c r="AV376" s="68"/>
      <c r="AW376" s="68"/>
      <c r="AX376" s="68"/>
      <c r="AY376" s="69"/>
      <c r="AZ376" s="67"/>
      <c r="BA376" s="68"/>
      <c r="BB376" s="67"/>
      <c r="BC376" s="67"/>
      <c r="BD376" s="68"/>
      <c r="BE376" s="68"/>
      <c r="BF376" s="68"/>
      <c r="BG376" s="68"/>
      <c r="BH376" s="68"/>
      <c r="BI376" s="68"/>
      <c r="BJ376" s="68"/>
      <c r="BK376" s="69"/>
      <c r="BL376" s="67"/>
      <c r="BM376" s="67"/>
    </row>
    <row r="377" spans="18:93" ht="18" customHeight="1">
      <c r="R377" s="76"/>
      <c r="S377" s="77"/>
      <c r="Y377" s="533"/>
      <c r="Z377" s="533"/>
      <c r="AA377" s="533"/>
      <c r="AD377" s="76"/>
      <c r="AE377" s="77"/>
      <c r="AK377" s="533"/>
      <c r="AL377" s="533"/>
      <c r="AM377" s="533"/>
      <c r="AP377" s="76"/>
      <c r="AQ377" s="77"/>
      <c r="AR377" s="68"/>
      <c r="AS377" s="68"/>
      <c r="AT377" s="68"/>
      <c r="AU377" s="68"/>
      <c r="AV377" s="68"/>
      <c r="AW377" s="533"/>
      <c r="AX377" s="533"/>
      <c r="AY377" s="533"/>
      <c r="AZ377" s="67"/>
      <c r="BA377" s="68"/>
      <c r="BB377" s="76"/>
      <c r="BC377" s="77"/>
      <c r="BD377" s="68"/>
      <c r="BE377" s="68"/>
      <c r="BF377" s="68"/>
      <c r="BG377" s="68"/>
      <c r="BH377" s="68"/>
      <c r="BI377" s="533"/>
      <c r="BJ377" s="533"/>
      <c r="BK377" s="533"/>
      <c r="BL377" s="67"/>
      <c r="BM377" s="67"/>
      <c r="BO377" s="531"/>
      <c r="BP377" s="531"/>
      <c r="BQ377" s="531"/>
      <c r="BT377" s="63"/>
      <c r="BU377" s="64"/>
      <c r="CA377" s="531"/>
      <c r="CB377" s="531"/>
      <c r="CC377" s="531"/>
      <c r="CF377" s="63"/>
      <c r="CG377" s="64"/>
      <c r="CM377" s="531"/>
      <c r="CN377" s="531"/>
      <c r="CO377" s="531"/>
    </row>
    <row r="378" spans="18:93" ht="18" customHeight="1">
      <c r="R378" s="76"/>
      <c r="V378" s="170"/>
      <c r="W378" s="69"/>
      <c r="X378" s="69"/>
      <c r="Y378" s="69"/>
      <c r="AD378" s="76"/>
      <c r="AG378" s="69"/>
      <c r="AH378" s="69"/>
      <c r="AI378" s="69"/>
      <c r="AJ378" s="69"/>
      <c r="AK378" s="69"/>
      <c r="AP378" s="76"/>
      <c r="AQ378" s="67"/>
      <c r="AR378" s="68"/>
      <c r="AS378" s="69"/>
      <c r="AT378" s="69"/>
      <c r="AU378" s="69"/>
      <c r="AV378" s="69"/>
      <c r="AW378" s="69"/>
      <c r="AX378" s="68"/>
      <c r="AY378" s="69"/>
      <c r="AZ378" s="67"/>
      <c r="BA378" s="69"/>
      <c r="BB378" s="76"/>
      <c r="BC378" s="67"/>
      <c r="BD378" s="68"/>
      <c r="BE378" s="69"/>
      <c r="BF378" s="69"/>
      <c r="BG378" s="69"/>
      <c r="BH378" s="69"/>
      <c r="BI378" s="69"/>
      <c r="BJ378" s="68"/>
      <c r="BK378" s="69"/>
      <c r="BL378" s="67"/>
      <c r="BM378" s="67"/>
      <c r="BN378" s="56"/>
      <c r="BO378" s="56"/>
      <c r="BT378" s="63"/>
      <c r="BW378" s="56"/>
      <c r="BX378" s="56"/>
      <c r="BY378" s="56"/>
      <c r="BZ378" s="56"/>
      <c r="CA378" s="56"/>
      <c r="CF378" s="63"/>
      <c r="CI378" s="56"/>
      <c r="CJ378" s="56"/>
      <c r="CK378" s="56"/>
      <c r="CL378" s="56"/>
      <c r="CM378" s="56"/>
    </row>
    <row r="379" spans="18:93" ht="18" customHeight="1">
      <c r="R379" s="76"/>
      <c r="V379" s="170"/>
      <c r="W379" s="69"/>
      <c r="X379" s="69"/>
      <c r="Y379" s="69"/>
      <c r="AD379" s="76"/>
      <c r="AG379" s="69"/>
      <c r="AH379" s="69"/>
      <c r="AI379" s="69"/>
      <c r="AJ379" s="69"/>
      <c r="AK379" s="69"/>
      <c r="AP379" s="76"/>
      <c r="AQ379" s="67"/>
      <c r="AR379" s="68"/>
      <c r="AS379" s="69"/>
      <c r="AT379" s="69"/>
      <c r="AU379" s="69"/>
      <c r="AV379" s="69"/>
      <c r="AW379" s="69"/>
      <c r="AX379" s="68"/>
      <c r="AY379" s="69"/>
      <c r="AZ379" s="67"/>
      <c r="BA379" s="69"/>
      <c r="BB379" s="76"/>
      <c r="BC379" s="67"/>
      <c r="BD379" s="68"/>
      <c r="BE379" s="69"/>
      <c r="BF379" s="69"/>
      <c r="BG379" s="69"/>
      <c r="BH379" s="69"/>
      <c r="BI379" s="69"/>
      <c r="BJ379" s="68"/>
      <c r="BK379" s="69"/>
      <c r="BL379" s="67"/>
      <c r="BM379" s="67"/>
      <c r="BN379" s="56"/>
      <c r="BO379" s="56"/>
      <c r="BT379" s="63"/>
      <c r="BW379" s="56"/>
      <c r="BX379" s="56"/>
      <c r="BY379" s="56"/>
      <c r="BZ379" s="56"/>
      <c r="CA379" s="56"/>
      <c r="CF379" s="63"/>
      <c r="CI379" s="56"/>
      <c r="CJ379" s="56"/>
      <c r="CK379" s="56"/>
      <c r="CL379" s="56"/>
      <c r="CM379" s="56"/>
    </row>
    <row r="380" spans="18:93" ht="18" customHeight="1">
      <c r="R380" s="76"/>
      <c r="V380" s="170"/>
      <c r="W380" s="69"/>
      <c r="X380" s="69"/>
      <c r="Y380" s="69"/>
      <c r="AD380" s="76"/>
      <c r="AG380" s="69"/>
      <c r="AH380" s="69"/>
      <c r="AI380" s="69"/>
      <c r="AJ380" s="69"/>
      <c r="AK380" s="69"/>
      <c r="AP380" s="76"/>
      <c r="AQ380" s="67"/>
      <c r="AR380" s="68"/>
      <c r="AS380" s="69"/>
      <c r="AT380" s="69"/>
      <c r="AU380" s="69"/>
      <c r="AV380" s="69"/>
      <c r="AW380" s="69"/>
      <c r="AX380" s="68"/>
      <c r="AY380" s="69"/>
      <c r="AZ380" s="67"/>
      <c r="BA380" s="69"/>
      <c r="BB380" s="76"/>
      <c r="BC380" s="67"/>
      <c r="BD380" s="68"/>
      <c r="BE380" s="69"/>
      <c r="BF380" s="69"/>
      <c r="BG380" s="69"/>
      <c r="BH380" s="69"/>
      <c r="BI380" s="69"/>
      <c r="BJ380" s="68"/>
      <c r="BK380" s="69"/>
      <c r="BL380" s="67"/>
      <c r="BM380" s="67"/>
      <c r="BN380" s="56"/>
      <c r="BO380" s="56"/>
      <c r="BT380" s="63"/>
      <c r="BW380" s="56"/>
      <c r="BX380" s="56"/>
      <c r="BY380" s="56"/>
      <c r="BZ380" s="56"/>
      <c r="CA380" s="56"/>
      <c r="CF380" s="63"/>
      <c r="CI380" s="56"/>
      <c r="CJ380" s="56"/>
      <c r="CK380" s="56"/>
      <c r="CL380" s="56"/>
      <c r="CM380" s="56"/>
    </row>
    <row r="381" spans="18:93" ht="18" customHeight="1">
      <c r="R381" s="76"/>
      <c r="V381" s="170"/>
      <c r="W381" s="69"/>
      <c r="X381" s="69"/>
      <c r="Y381" s="69"/>
      <c r="AD381" s="76"/>
      <c r="AG381" s="69"/>
      <c r="AH381" s="69"/>
      <c r="AI381" s="69"/>
      <c r="AJ381" s="69"/>
      <c r="AK381" s="69"/>
      <c r="AP381" s="76"/>
      <c r="AQ381" s="67"/>
      <c r="AR381" s="68"/>
      <c r="AS381" s="69"/>
      <c r="AT381" s="69"/>
      <c r="AU381" s="69"/>
      <c r="AV381" s="69"/>
      <c r="AW381" s="69"/>
      <c r="AX381" s="68"/>
      <c r="AY381" s="69"/>
      <c r="AZ381" s="67"/>
      <c r="BA381" s="69"/>
      <c r="BB381" s="76"/>
      <c r="BC381" s="67"/>
      <c r="BD381" s="68"/>
      <c r="BE381" s="69"/>
      <c r="BF381" s="69"/>
      <c r="BG381" s="69"/>
      <c r="BH381" s="69"/>
      <c r="BI381" s="69"/>
      <c r="BJ381" s="68"/>
      <c r="BK381" s="69"/>
      <c r="BL381" s="67"/>
      <c r="BM381" s="67"/>
      <c r="BN381" s="56"/>
      <c r="BO381" s="56"/>
      <c r="BT381" s="63"/>
      <c r="BW381" s="56"/>
      <c r="BX381" s="56"/>
      <c r="BY381" s="56"/>
      <c r="BZ381" s="56"/>
      <c r="CA381" s="56"/>
      <c r="CF381" s="63"/>
      <c r="CI381" s="56"/>
      <c r="CJ381" s="56"/>
      <c r="CK381" s="56"/>
      <c r="CL381" s="56"/>
      <c r="CM381" s="56"/>
    </row>
    <row r="382" spans="18:93" ht="18" customHeight="1">
      <c r="AQ382" s="67"/>
      <c r="AR382" s="68"/>
      <c r="AS382" s="68"/>
      <c r="AT382" s="68"/>
      <c r="AU382" s="68"/>
      <c r="AV382" s="68"/>
      <c r="AW382" s="68"/>
      <c r="AX382" s="68"/>
      <c r="AY382" s="69"/>
      <c r="AZ382" s="67"/>
      <c r="BA382" s="68"/>
      <c r="BB382" s="67"/>
      <c r="BC382" s="67"/>
      <c r="BD382" s="68"/>
      <c r="BE382" s="68"/>
      <c r="BF382" s="68"/>
      <c r="BG382" s="68"/>
      <c r="BH382" s="68"/>
      <c r="BI382" s="68"/>
      <c r="BJ382" s="68"/>
      <c r="BK382" s="69"/>
      <c r="BL382" s="67"/>
      <c r="BM382" s="67"/>
    </row>
    <row r="383" spans="18:93" ht="18" customHeight="1">
      <c r="R383" s="76"/>
      <c r="S383" s="77"/>
      <c r="Y383" s="533"/>
      <c r="Z383" s="533"/>
      <c r="AA383" s="533"/>
      <c r="AD383" s="76"/>
      <c r="AE383" s="77"/>
      <c r="AK383" s="533"/>
      <c r="AL383" s="533"/>
      <c r="AM383" s="533"/>
      <c r="AP383" s="76"/>
      <c r="AQ383" s="77"/>
      <c r="AR383" s="68"/>
      <c r="AS383" s="68"/>
      <c r="AT383" s="68"/>
      <c r="AU383" s="68"/>
      <c r="AV383" s="68"/>
      <c r="AW383" s="533"/>
      <c r="AX383" s="533"/>
      <c r="AY383" s="533"/>
      <c r="AZ383" s="67"/>
      <c r="BA383" s="68"/>
      <c r="BB383" s="76"/>
      <c r="BC383" s="77"/>
      <c r="BD383" s="68"/>
      <c r="BE383" s="68"/>
      <c r="BF383" s="68"/>
      <c r="BG383" s="68"/>
      <c r="BH383" s="68"/>
      <c r="BI383" s="533"/>
      <c r="BJ383" s="533"/>
      <c r="BK383" s="533"/>
      <c r="BL383" s="67"/>
      <c r="BM383" s="67"/>
      <c r="BO383" s="531"/>
      <c r="BP383" s="531"/>
      <c r="BQ383" s="531"/>
      <c r="BT383" s="63"/>
      <c r="BU383" s="64"/>
      <c r="CA383" s="531"/>
      <c r="CB383" s="531"/>
      <c r="CC383" s="531"/>
      <c r="CF383" s="63"/>
      <c r="CG383" s="64"/>
      <c r="CM383" s="531"/>
      <c r="CN383" s="531"/>
      <c r="CO383" s="531"/>
    </row>
    <row r="384" spans="18:93" ht="18" customHeight="1">
      <c r="R384" s="76"/>
      <c r="V384" s="170"/>
      <c r="W384" s="69"/>
      <c r="X384" s="69"/>
      <c r="Y384" s="69"/>
      <c r="AD384" s="76"/>
      <c r="AG384" s="69"/>
      <c r="AH384" s="69"/>
      <c r="AI384" s="69"/>
      <c r="AJ384" s="69"/>
      <c r="AK384" s="69"/>
      <c r="AP384" s="76"/>
      <c r="AQ384" s="67"/>
      <c r="AR384" s="68"/>
      <c r="AS384" s="69"/>
      <c r="AT384" s="69"/>
      <c r="AU384" s="69"/>
      <c r="AV384" s="69"/>
      <c r="AW384" s="69"/>
      <c r="AX384" s="68"/>
      <c r="AY384" s="69"/>
      <c r="AZ384" s="67"/>
      <c r="BA384" s="69"/>
      <c r="BB384" s="76"/>
      <c r="BC384" s="67"/>
      <c r="BD384" s="68"/>
      <c r="BE384" s="69"/>
      <c r="BF384" s="69"/>
      <c r="BG384" s="69"/>
      <c r="BH384" s="69"/>
      <c r="BI384" s="69"/>
      <c r="BJ384" s="68"/>
      <c r="BK384" s="69"/>
      <c r="BL384" s="67"/>
      <c r="BM384" s="67"/>
      <c r="BN384" s="56"/>
      <c r="BO384" s="56"/>
      <c r="BT384" s="63"/>
      <c r="BW384" s="56"/>
      <c r="BX384" s="56"/>
      <c r="BY384" s="56"/>
      <c r="BZ384" s="56"/>
      <c r="CA384" s="56"/>
      <c r="CF384" s="63"/>
      <c r="CI384" s="56"/>
      <c r="CJ384" s="56"/>
      <c r="CK384" s="56"/>
      <c r="CL384" s="56"/>
      <c r="CM384" s="56"/>
    </row>
    <row r="385" spans="18:91" ht="18" customHeight="1">
      <c r="R385" s="76"/>
      <c r="V385" s="170"/>
      <c r="W385" s="69"/>
      <c r="X385" s="69"/>
      <c r="Y385" s="69"/>
      <c r="AD385" s="76"/>
      <c r="AG385" s="69"/>
      <c r="AH385" s="69"/>
      <c r="AI385" s="69"/>
      <c r="AJ385" s="69"/>
      <c r="AK385" s="69"/>
      <c r="AP385" s="76"/>
      <c r="AQ385" s="67"/>
      <c r="AR385" s="68"/>
      <c r="AS385" s="69"/>
      <c r="AT385" s="69"/>
      <c r="AU385" s="69"/>
      <c r="AV385" s="69"/>
      <c r="AW385" s="69"/>
      <c r="AX385" s="68"/>
      <c r="AY385" s="69"/>
      <c r="AZ385" s="67"/>
      <c r="BA385" s="69"/>
      <c r="BB385" s="76"/>
      <c r="BC385" s="67"/>
      <c r="BD385" s="68"/>
      <c r="BE385" s="69"/>
      <c r="BF385" s="69"/>
      <c r="BG385" s="69"/>
      <c r="BH385" s="69"/>
      <c r="BI385" s="69"/>
      <c r="BJ385" s="68"/>
      <c r="BK385" s="69"/>
      <c r="BL385" s="67"/>
      <c r="BM385" s="67"/>
      <c r="BN385" s="56"/>
      <c r="BO385" s="56"/>
      <c r="BT385" s="63"/>
      <c r="BW385" s="56"/>
      <c r="BX385" s="56"/>
      <c r="BY385" s="56"/>
      <c r="BZ385" s="56"/>
      <c r="CA385" s="56"/>
      <c r="CF385" s="63"/>
      <c r="CI385" s="56"/>
      <c r="CJ385" s="56"/>
      <c r="CK385" s="56"/>
      <c r="CL385" s="56"/>
      <c r="CM385" s="56"/>
    </row>
    <row r="386" spans="18:91" ht="18" customHeight="1">
      <c r="R386" s="76"/>
      <c r="V386" s="170"/>
      <c r="W386" s="69"/>
      <c r="X386" s="69"/>
      <c r="Y386" s="69"/>
      <c r="AD386" s="76"/>
      <c r="AG386" s="69"/>
      <c r="AH386" s="69"/>
      <c r="AI386" s="69"/>
      <c r="AJ386" s="69"/>
      <c r="AK386" s="69"/>
      <c r="AP386" s="76"/>
      <c r="AQ386" s="67"/>
      <c r="AR386" s="68"/>
      <c r="AS386" s="69"/>
      <c r="AT386" s="69"/>
      <c r="AU386" s="69"/>
      <c r="AV386" s="69"/>
      <c r="AW386" s="69"/>
      <c r="AX386" s="68"/>
      <c r="AY386" s="69"/>
      <c r="AZ386" s="67"/>
      <c r="BA386" s="69"/>
      <c r="BB386" s="76"/>
      <c r="BC386" s="67"/>
      <c r="BD386" s="68"/>
      <c r="BE386" s="69"/>
      <c r="BF386" s="69"/>
      <c r="BG386" s="69"/>
      <c r="BH386" s="69"/>
      <c r="BI386" s="69"/>
      <c r="BJ386" s="68"/>
      <c r="BK386" s="69"/>
      <c r="BL386" s="67"/>
      <c r="BM386" s="67"/>
      <c r="BN386" s="56"/>
      <c r="BO386" s="56"/>
      <c r="BT386" s="63"/>
      <c r="BW386" s="56"/>
      <c r="BX386" s="56"/>
      <c r="BY386" s="56"/>
      <c r="BZ386" s="56"/>
      <c r="CA386" s="56"/>
      <c r="CF386" s="63"/>
      <c r="CI386" s="56"/>
      <c r="CJ386" s="56"/>
      <c r="CK386" s="56"/>
      <c r="CL386" s="56"/>
      <c r="CM386" s="56"/>
    </row>
    <row r="387" spans="18:91" ht="18" customHeight="1">
      <c r="R387" s="76"/>
      <c r="V387" s="170"/>
      <c r="W387" s="69"/>
      <c r="X387" s="69"/>
      <c r="Y387" s="69"/>
      <c r="AD387" s="76"/>
      <c r="AG387" s="69"/>
      <c r="AH387" s="69"/>
      <c r="AI387" s="69"/>
      <c r="AJ387" s="69"/>
      <c r="AK387" s="69"/>
      <c r="AP387" s="76"/>
      <c r="AQ387" s="67"/>
      <c r="AR387" s="68"/>
      <c r="AS387" s="69"/>
      <c r="AT387" s="69"/>
      <c r="AU387" s="69"/>
      <c r="AV387" s="69"/>
      <c r="AW387" s="69"/>
      <c r="AX387" s="68"/>
      <c r="AY387" s="69"/>
      <c r="AZ387" s="67"/>
      <c r="BA387" s="69"/>
      <c r="BB387" s="76"/>
      <c r="BC387" s="67"/>
      <c r="BD387" s="68"/>
      <c r="BE387" s="69"/>
      <c r="BF387" s="69"/>
      <c r="BG387" s="69"/>
      <c r="BH387" s="69"/>
      <c r="BI387" s="69"/>
      <c r="BJ387" s="68"/>
      <c r="BK387" s="69"/>
      <c r="BL387" s="67"/>
      <c r="BM387" s="67"/>
      <c r="BN387" s="56"/>
      <c r="BO387" s="56"/>
      <c r="BT387" s="63"/>
      <c r="BW387" s="56"/>
      <c r="BX387" s="56"/>
      <c r="BY387" s="56"/>
      <c r="BZ387" s="56"/>
      <c r="CA387" s="56"/>
      <c r="CF387" s="63"/>
      <c r="CI387" s="56"/>
      <c r="CJ387" s="56"/>
      <c r="CK387" s="56"/>
      <c r="CL387" s="56"/>
      <c r="CM387" s="56"/>
    </row>
  </sheetData>
  <mergeCells count="522">
    <mergeCell ref="CA5:CC5"/>
    <mergeCell ref="CM5:CO5"/>
    <mergeCell ref="B6:B7"/>
    <mergeCell ref="C6:C7"/>
    <mergeCell ref="D6:D7"/>
    <mergeCell ref="B8:B9"/>
    <mergeCell ref="C8:C9"/>
    <mergeCell ref="D8:D9"/>
    <mergeCell ref="B4:B5"/>
    <mergeCell ref="C4:C5"/>
    <mergeCell ref="D4:D5"/>
    <mergeCell ref="Y5:AA5"/>
    <mergeCell ref="AK5:AM5"/>
    <mergeCell ref="BO5:BQ5"/>
    <mergeCell ref="CA11:CC11"/>
    <mergeCell ref="CM11:CO11"/>
    <mergeCell ref="B12:B13"/>
    <mergeCell ref="C12:C13"/>
    <mergeCell ref="D12:D13"/>
    <mergeCell ref="B14:B15"/>
    <mergeCell ref="C14:C15"/>
    <mergeCell ref="D14:D15"/>
    <mergeCell ref="B10:B11"/>
    <mergeCell ref="C10:C11"/>
    <mergeCell ref="D10:D11"/>
    <mergeCell ref="Y11:AA11"/>
    <mergeCell ref="AK11:AM11"/>
    <mergeCell ref="BO11:BQ11"/>
    <mergeCell ref="BO17:BQ17"/>
    <mergeCell ref="CA17:CC17"/>
    <mergeCell ref="CM17:CO17"/>
    <mergeCell ref="B18:B19"/>
    <mergeCell ref="C18:C19"/>
    <mergeCell ref="D18:D19"/>
    <mergeCell ref="B16:B17"/>
    <mergeCell ref="C16:C17"/>
    <mergeCell ref="D16:D17"/>
    <mergeCell ref="Y17:AA17"/>
    <mergeCell ref="AK17:AM17"/>
    <mergeCell ref="BI17:BK17"/>
    <mergeCell ref="BO23:BQ23"/>
    <mergeCell ref="CA23:CC23"/>
    <mergeCell ref="CM23:CO23"/>
    <mergeCell ref="B20:B21"/>
    <mergeCell ref="C20:C21"/>
    <mergeCell ref="D20:D21"/>
    <mergeCell ref="B22:B23"/>
    <mergeCell ref="C22:C23"/>
    <mergeCell ref="D22:D23"/>
    <mergeCell ref="B24:B25"/>
    <mergeCell ref="C24:C25"/>
    <mergeCell ref="D24:D25"/>
    <mergeCell ref="B26:B27"/>
    <mergeCell ref="C26:C27"/>
    <mergeCell ref="D26:D27"/>
    <mergeCell ref="Y23:AA23"/>
    <mergeCell ref="AK23:AM23"/>
    <mergeCell ref="BI23:BK23"/>
    <mergeCell ref="CM29:CO29"/>
    <mergeCell ref="B30:B31"/>
    <mergeCell ref="C30:C31"/>
    <mergeCell ref="D30:D31"/>
    <mergeCell ref="B28:B29"/>
    <mergeCell ref="C28:C29"/>
    <mergeCell ref="D28:D29"/>
    <mergeCell ref="Y29:AA29"/>
    <mergeCell ref="AK29:AM29"/>
    <mergeCell ref="AW29:AY29"/>
    <mergeCell ref="B32:B33"/>
    <mergeCell ref="C32:C33"/>
    <mergeCell ref="D32:D33"/>
    <mergeCell ref="B34:B35"/>
    <mergeCell ref="C34:C35"/>
    <mergeCell ref="D34:D35"/>
    <mergeCell ref="BI29:BK29"/>
    <mergeCell ref="BO29:BQ29"/>
    <mergeCell ref="CA29:CC29"/>
    <mergeCell ref="BI41:BK41"/>
    <mergeCell ref="BO41:BQ41"/>
    <mergeCell ref="CA41:CC41"/>
    <mergeCell ref="CM41:CO41"/>
    <mergeCell ref="C42:C43"/>
    <mergeCell ref="D42:D43"/>
    <mergeCell ref="CM35:CO35"/>
    <mergeCell ref="C36:C37"/>
    <mergeCell ref="D36:D37"/>
    <mergeCell ref="C38:C39"/>
    <mergeCell ref="D38:D39"/>
    <mergeCell ref="C40:C41"/>
    <mergeCell ref="D40:D41"/>
    <mergeCell ref="Y41:AA41"/>
    <mergeCell ref="AK41:AM41"/>
    <mergeCell ref="AW41:AY41"/>
    <mergeCell ref="Y35:AA35"/>
    <mergeCell ref="AK35:AM35"/>
    <mergeCell ref="AW35:AY35"/>
    <mergeCell ref="BI35:BK35"/>
    <mergeCell ref="BO35:BQ35"/>
    <mergeCell ref="CA35:CC35"/>
    <mergeCell ref="AW47:AY47"/>
    <mergeCell ref="BI47:BK47"/>
    <mergeCell ref="BO47:BQ47"/>
    <mergeCell ref="CA47:CC47"/>
    <mergeCell ref="CM47:CO47"/>
    <mergeCell ref="C48:C49"/>
    <mergeCell ref="D48:D49"/>
    <mergeCell ref="C44:C45"/>
    <mergeCell ref="D44:D45"/>
    <mergeCell ref="C46:C47"/>
    <mergeCell ref="D46:D47"/>
    <mergeCell ref="Y47:AA47"/>
    <mergeCell ref="AK47:AM47"/>
    <mergeCell ref="AW53:AY53"/>
    <mergeCell ref="BI53:BK53"/>
    <mergeCell ref="BO53:BQ53"/>
    <mergeCell ref="CA53:CC53"/>
    <mergeCell ref="CM53:CO53"/>
    <mergeCell ref="C54:C55"/>
    <mergeCell ref="D54:D55"/>
    <mergeCell ref="C50:C51"/>
    <mergeCell ref="D50:D51"/>
    <mergeCell ref="C52:C53"/>
    <mergeCell ref="D52:D53"/>
    <mergeCell ref="Y53:AA53"/>
    <mergeCell ref="AK53:AM53"/>
    <mergeCell ref="AW59:AY59"/>
    <mergeCell ref="BI59:BK59"/>
    <mergeCell ref="BO59:BQ59"/>
    <mergeCell ref="CA59:CC59"/>
    <mergeCell ref="CM59:CO59"/>
    <mergeCell ref="C60:C61"/>
    <mergeCell ref="D60:D61"/>
    <mergeCell ref="C56:C57"/>
    <mergeCell ref="D56:D57"/>
    <mergeCell ref="C58:C59"/>
    <mergeCell ref="D58:D59"/>
    <mergeCell ref="Y59:AA59"/>
    <mergeCell ref="AK59:AM59"/>
    <mergeCell ref="AW65:AY65"/>
    <mergeCell ref="BI65:BK65"/>
    <mergeCell ref="BO65:BQ65"/>
    <mergeCell ref="CA65:CC65"/>
    <mergeCell ref="CM65:CO65"/>
    <mergeCell ref="C66:C67"/>
    <mergeCell ref="D66:D67"/>
    <mergeCell ref="C62:C63"/>
    <mergeCell ref="D62:D63"/>
    <mergeCell ref="C64:C65"/>
    <mergeCell ref="D64:D65"/>
    <mergeCell ref="Y65:AA65"/>
    <mergeCell ref="AK65:AM65"/>
    <mergeCell ref="CM71:CO71"/>
    <mergeCell ref="Y77:AA77"/>
    <mergeCell ref="AK77:AM77"/>
    <mergeCell ref="AW77:AY77"/>
    <mergeCell ref="BI77:BK77"/>
    <mergeCell ref="BO77:BQ77"/>
    <mergeCell ref="CA77:CC77"/>
    <mergeCell ref="CM77:CO77"/>
    <mergeCell ref="Y71:AA71"/>
    <mergeCell ref="AK71:AM71"/>
    <mergeCell ref="AW71:AY71"/>
    <mergeCell ref="BI71:BK71"/>
    <mergeCell ref="BO71:BQ71"/>
    <mergeCell ref="CA71:CC71"/>
    <mergeCell ref="CM83:CO83"/>
    <mergeCell ref="Y89:AA89"/>
    <mergeCell ref="AK89:AM89"/>
    <mergeCell ref="AW89:AY89"/>
    <mergeCell ref="BI89:BK89"/>
    <mergeCell ref="BO89:BQ89"/>
    <mergeCell ref="CA89:CC89"/>
    <mergeCell ref="CM89:CO89"/>
    <mergeCell ref="Y83:AA83"/>
    <mergeCell ref="AK83:AM83"/>
    <mergeCell ref="AW83:AY83"/>
    <mergeCell ref="BI83:BK83"/>
    <mergeCell ref="BO83:BQ83"/>
    <mergeCell ref="CA83:CC83"/>
    <mergeCell ref="CM95:CO95"/>
    <mergeCell ref="Y101:AA101"/>
    <mergeCell ref="AK101:AM101"/>
    <mergeCell ref="AW101:AY101"/>
    <mergeCell ref="BI101:BK101"/>
    <mergeCell ref="BO101:BQ101"/>
    <mergeCell ref="CA101:CC101"/>
    <mergeCell ref="CM101:CO101"/>
    <mergeCell ref="Y95:AA95"/>
    <mergeCell ref="AK95:AM95"/>
    <mergeCell ref="AW95:AY95"/>
    <mergeCell ref="BI95:BK95"/>
    <mergeCell ref="BO95:BQ95"/>
    <mergeCell ref="CA95:CC95"/>
    <mergeCell ref="CM107:CO107"/>
    <mergeCell ref="Y113:AA113"/>
    <mergeCell ref="AK113:AM113"/>
    <mergeCell ref="AW113:AY113"/>
    <mergeCell ref="BI113:BK113"/>
    <mergeCell ref="BO113:BQ113"/>
    <mergeCell ref="CA113:CC113"/>
    <mergeCell ref="CM113:CO113"/>
    <mergeCell ref="Y107:AA107"/>
    <mergeCell ref="AK107:AM107"/>
    <mergeCell ref="AW107:AY107"/>
    <mergeCell ref="BI107:BK107"/>
    <mergeCell ref="BO107:BQ107"/>
    <mergeCell ref="CA107:CC107"/>
    <mergeCell ref="CM119:CO119"/>
    <mergeCell ref="Y125:AA125"/>
    <mergeCell ref="AK125:AM125"/>
    <mergeCell ref="AW125:AY125"/>
    <mergeCell ref="BI125:BK125"/>
    <mergeCell ref="BO125:BQ125"/>
    <mergeCell ref="CA125:CC125"/>
    <mergeCell ref="CM125:CO125"/>
    <mergeCell ref="Y119:AA119"/>
    <mergeCell ref="AK119:AM119"/>
    <mergeCell ref="AW119:AY119"/>
    <mergeCell ref="BI119:BK119"/>
    <mergeCell ref="BO119:BQ119"/>
    <mergeCell ref="CA119:CC119"/>
    <mergeCell ref="CM131:CO131"/>
    <mergeCell ref="Y137:AA137"/>
    <mergeCell ref="AK137:AM137"/>
    <mergeCell ref="AW137:AY137"/>
    <mergeCell ref="BI137:BK137"/>
    <mergeCell ref="BO137:BQ137"/>
    <mergeCell ref="CA137:CC137"/>
    <mergeCell ref="CM137:CO137"/>
    <mergeCell ref="Y131:AA131"/>
    <mergeCell ref="AK131:AM131"/>
    <mergeCell ref="AW131:AY131"/>
    <mergeCell ref="BI131:BK131"/>
    <mergeCell ref="BO131:BQ131"/>
    <mergeCell ref="CA131:CC131"/>
    <mergeCell ref="CM143:CO143"/>
    <mergeCell ref="Y149:AA149"/>
    <mergeCell ref="AK149:AM149"/>
    <mergeCell ref="AW149:AY149"/>
    <mergeCell ref="BI149:BK149"/>
    <mergeCell ref="BO149:BQ149"/>
    <mergeCell ref="CA149:CC149"/>
    <mergeCell ref="CM149:CO149"/>
    <mergeCell ref="Y143:AA143"/>
    <mergeCell ref="AK143:AM143"/>
    <mergeCell ref="AW143:AY143"/>
    <mergeCell ref="BI143:BK143"/>
    <mergeCell ref="BO143:BQ143"/>
    <mergeCell ref="CA143:CC143"/>
    <mergeCell ref="CM155:CO155"/>
    <mergeCell ref="Y161:AA161"/>
    <mergeCell ref="AK161:AM161"/>
    <mergeCell ref="AW161:AY161"/>
    <mergeCell ref="BI161:BK161"/>
    <mergeCell ref="BO161:BQ161"/>
    <mergeCell ref="CA161:CC161"/>
    <mergeCell ref="CM161:CO161"/>
    <mergeCell ref="Y155:AA155"/>
    <mergeCell ref="AK155:AM155"/>
    <mergeCell ref="AW155:AY155"/>
    <mergeCell ref="BI155:BK155"/>
    <mergeCell ref="BO155:BQ155"/>
    <mergeCell ref="CA155:CC155"/>
    <mergeCell ref="CM167:CO167"/>
    <mergeCell ref="Y173:AA173"/>
    <mergeCell ref="AK173:AM173"/>
    <mergeCell ref="AW173:AY173"/>
    <mergeCell ref="BI173:BK173"/>
    <mergeCell ref="BO173:BQ173"/>
    <mergeCell ref="CA173:CC173"/>
    <mergeCell ref="CM173:CO173"/>
    <mergeCell ref="Y167:AA167"/>
    <mergeCell ref="AK167:AM167"/>
    <mergeCell ref="AW167:AY167"/>
    <mergeCell ref="BI167:BK167"/>
    <mergeCell ref="BO167:BQ167"/>
    <mergeCell ref="CA167:CC167"/>
    <mergeCell ref="CM179:CO179"/>
    <mergeCell ref="Y185:AA185"/>
    <mergeCell ref="AK185:AM185"/>
    <mergeCell ref="AW185:AY185"/>
    <mergeCell ref="BI185:BK185"/>
    <mergeCell ref="BO185:BQ185"/>
    <mergeCell ref="CA185:CC185"/>
    <mergeCell ref="CM185:CO185"/>
    <mergeCell ref="Y179:AA179"/>
    <mergeCell ref="AK179:AM179"/>
    <mergeCell ref="AW179:AY179"/>
    <mergeCell ref="BI179:BK179"/>
    <mergeCell ref="BO179:BQ179"/>
    <mergeCell ref="CA179:CC179"/>
    <mergeCell ref="CM191:CO191"/>
    <mergeCell ref="Y197:AA197"/>
    <mergeCell ref="AK197:AM197"/>
    <mergeCell ref="AW197:AY197"/>
    <mergeCell ref="BI197:BK197"/>
    <mergeCell ref="BO197:BQ197"/>
    <mergeCell ref="CA197:CC197"/>
    <mergeCell ref="CM197:CO197"/>
    <mergeCell ref="Y191:AA191"/>
    <mergeCell ref="AK191:AM191"/>
    <mergeCell ref="AW191:AY191"/>
    <mergeCell ref="BI191:BK191"/>
    <mergeCell ref="BO191:BQ191"/>
    <mergeCell ref="CA191:CC191"/>
    <mergeCell ref="CM203:CO203"/>
    <mergeCell ref="Y209:AA209"/>
    <mergeCell ref="AK209:AM209"/>
    <mergeCell ref="AW209:AY209"/>
    <mergeCell ref="BI209:BK209"/>
    <mergeCell ref="BO209:BQ209"/>
    <mergeCell ref="CA209:CC209"/>
    <mergeCell ref="CM209:CO209"/>
    <mergeCell ref="Y203:AA203"/>
    <mergeCell ref="AK203:AM203"/>
    <mergeCell ref="AW203:AY203"/>
    <mergeCell ref="BI203:BK203"/>
    <mergeCell ref="BO203:BQ203"/>
    <mergeCell ref="CA203:CC203"/>
    <mergeCell ref="CM215:CO215"/>
    <mergeCell ref="Y221:AA221"/>
    <mergeCell ref="AK221:AM221"/>
    <mergeCell ref="AW221:AY221"/>
    <mergeCell ref="BI221:BK221"/>
    <mergeCell ref="BO221:BQ221"/>
    <mergeCell ref="CA221:CC221"/>
    <mergeCell ref="CM221:CO221"/>
    <mergeCell ref="Y215:AA215"/>
    <mergeCell ref="AK215:AM215"/>
    <mergeCell ref="AW215:AY215"/>
    <mergeCell ref="BI215:BK215"/>
    <mergeCell ref="BO215:BQ215"/>
    <mergeCell ref="CA215:CC215"/>
    <mergeCell ref="CM227:CO227"/>
    <mergeCell ref="Y233:AA233"/>
    <mergeCell ref="AK233:AM233"/>
    <mergeCell ref="AW233:AY233"/>
    <mergeCell ref="BI233:BK233"/>
    <mergeCell ref="BO233:BQ233"/>
    <mergeCell ref="CA233:CC233"/>
    <mergeCell ref="CM233:CO233"/>
    <mergeCell ref="Y227:AA227"/>
    <mergeCell ref="AK227:AM227"/>
    <mergeCell ref="AW227:AY227"/>
    <mergeCell ref="BI227:BK227"/>
    <mergeCell ref="BO227:BQ227"/>
    <mergeCell ref="CA227:CC227"/>
    <mergeCell ref="CM239:CO239"/>
    <mergeCell ref="Y245:AA245"/>
    <mergeCell ref="AK245:AM245"/>
    <mergeCell ref="AW245:AY245"/>
    <mergeCell ref="BI245:BK245"/>
    <mergeCell ref="BO245:BQ245"/>
    <mergeCell ref="CA245:CC245"/>
    <mergeCell ref="CM245:CO245"/>
    <mergeCell ref="Y239:AA239"/>
    <mergeCell ref="AK239:AM239"/>
    <mergeCell ref="AW239:AY239"/>
    <mergeCell ref="BI239:BK239"/>
    <mergeCell ref="BO239:BQ239"/>
    <mergeCell ref="CA239:CC239"/>
    <mergeCell ref="CM251:CO251"/>
    <mergeCell ref="Y257:AA257"/>
    <mergeCell ref="AK257:AM257"/>
    <mergeCell ref="AW257:AY257"/>
    <mergeCell ref="BI257:BK257"/>
    <mergeCell ref="BO257:BQ257"/>
    <mergeCell ref="CA257:CC257"/>
    <mergeCell ref="CM257:CO257"/>
    <mergeCell ref="Y251:AA251"/>
    <mergeCell ref="AK251:AM251"/>
    <mergeCell ref="AW251:AY251"/>
    <mergeCell ref="BI251:BK251"/>
    <mergeCell ref="BO251:BQ251"/>
    <mergeCell ref="CA251:CC251"/>
    <mergeCell ref="CM263:CO263"/>
    <mergeCell ref="Y269:AA269"/>
    <mergeCell ref="AK269:AM269"/>
    <mergeCell ref="AW269:AY269"/>
    <mergeCell ref="BI269:BK269"/>
    <mergeCell ref="BO269:BQ269"/>
    <mergeCell ref="CA269:CC269"/>
    <mergeCell ref="CM269:CO269"/>
    <mergeCell ref="Y263:AA263"/>
    <mergeCell ref="AK263:AM263"/>
    <mergeCell ref="AW263:AY263"/>
    <mergeCell ref="BI263:BK263"/>
    <mergeCell ref="BO263:BQ263"/>
    <mergeCell ref="CA263:CC263"/>
    <mergeCell ref="CM275:CO275"/>
    <mergeCell ref="Y281:AA281"/>
    <mergeCell ref="AK281:AM281"/>
    <mergeCell ref="AW281:AY281"/>
    <mergeCell ref="BI281:BK281"/>
    <mergeCell ref="BO281:BQ281"/>
    <mergeCell ref="CA281:CC281"/>
    <mergeCell ref="CM281:CO281"/>
    <mergeCell ref="Y275:AA275"/>
    <mergeCell ref="AK275:AM275"/>
    <mergeCell ref="AW275:AY275"/>
    <mergeCell ref="BI275:BK275"/>
    <mergeCell ref="BO275:BQ275"/>
    <mergeCell ref="CA275:CC275"/>
    <mergeCell ref="CM287:CO287"/>
    <mergeCell ref="Y293:AA293"/>
    <mergeCell ref="AK293:AM293"/>
    <mergeCell ref="AW293:AY293"/>
    <mergeCell ref="BI293:BK293"/>
    <mergeCell ref="BO293:BQ293"/>
    <mergeCell ref="CA293:CC293"/>
    <mergeCell ref="CM293:CO293"/>
    <mergeCell ref="Y287:AA287"/>
    <mergeCell ref="AK287:AM287"/>
    <mergeCell ref="AW287:AY287"/>
    <mergeCell ref="BI287:BK287"/>
    <mergeCell ref="BO287:BQ287"/>
    <mergeCell ref="CA287:CC287"/>
    <mergeCell ref="CM299:CO299"/>
    <mergeCell ref="Y305:AA305"/>
    <mergeCell ref="AK305:AM305"/>
    <mergeCell ref="AW305:AY305"/>
    <mergeCell ref="BI305:BK305"/>
    <mergeCell ref="BO305:BQ305"/>
    <mergeCell ref="CA305:CC305"/>
    <mergeCell ref="CM305:CO305"/>
    <mergeCell ref="Y299:AA299"/>
    <mergeCell ref="AK299:AM299"/>
    <mergeCell ref="AW299:AY299"/>
    <mergeCell ref="BI299:BK299"/>
    <mergeCell ref="BO299:BQ299"/>
    <mergeCell ref="CA299:CC299"/>
    <mergeCell ref="CM311:CO311"/>
    <mergeCell ref="Y317:AA317"/>
    <mergeCell ref="AK317:AM317"/>
    <mergeCell ref="AW317:AY317"/>
    <mergeCell ref="BI317:BK317"/>
    <mergeCell ref="BO317:BQ317"/>
    <mergeCell ref="CA317:CC317"/>
    <mergeCell ref="CM317:CO317"/>
    <mergeCell ref="Y311:AA311"/>
    <mergeCell ref="AK311:AM311"/>
    <mergeCell ref="AW311:AY311"/>
    <mergeCell ref="BI311:BK311"/>
    <mergeCell ref="BO311:BQ311"/>
    <mergeCell ref="CA311:CC311"/>
    <mergeCell ref="CM323:CO323"/>
    <mergeCell ref="Y329:AA329"/>
    <mergeCell ref="AK329:AM329"/>
    <mergeCell ref="AW329:AY329"/>
    <mergeCell ref="BI329:BK329"/>
    <mergeCell ref="BO329:BQ329"/>
    <mergeCell ref="CA329:CC329"/>
    <mergeCell ref="CM329:CO329"/>
    <mergeCell ref="Y323:AA323"/>
    <mergeCell ref="AK323:AM323"/>
    <mergeCell ref="AW323:AY323"/>
    <mergeCell ref="BI323:BK323"/>
    <mergeCell ref="BO323:BQ323"/>
    <mergeCell ref="CA323:CC323"/>
    <mergeCell ref="CM335:CO335"/>
    <mergeCell ref="Y341:AA341"/>
    <mergeCell ref="AK341:AM341"/>
    <mergeCell ref="AW341:AY341"/>
    <mergeCell ref="BI341:BK341"/>
    <mergeCell ref="BO341:BQ341"/>
    <mergeCell ref="CA341:CC341"/>
    <mergeCell ref="CM341:CO341"/>
    <mergeCell ref="Y335:AA335"/>
    <mergeCell ref="AK335:AM335"/>
    <mergeCell ref="AW335:AY335"/>
    <mergeCell ref="BI335:BK335"/>
    <mergeCell ref="BO335:BQ335"/>
    <mergeCell ref="CA335:CC335"/>
    <mergeCell ref="CM347:CO347"/>
    <mergeCell ref="Y353:AA353"/>
    <mergeCell ref="AK353:AM353"/>
    <mergeCell ref="AW353:AY353"/>
    <mergeCell ref="BI353:BK353"/>
    <mergeCell ref="BO353:BQ353"/>
    <mergeCell ref="CA353:CC353"/>
    <mergeCell ref="CM353:CO353"/>
    <mergeCell ref="Y347:AA347"/>
    <mergeCell ref="AK347:AM347"/>
    <mergeCell ref="AW347:AY347"/>
    <mergeCell ref="BI347:BK347"/>
    <mergeCell ref="BO347:BQ347"/>
    <mergeCell ref="CA347:CC347"/>
    <mergeCell ref="CM359:CO359"/>
    <mergeCell ref="Y365:AA365"/>
    <mergeCell ref="AK365:AM365"/>
    <mergeCell ref="AW365:AY365"/>
    <mergeCell ref="BI365:BK365"/>
    <mergeCell ref="BO365:BQ365"/>
    <mergeCell ref="CA365:CC365"/>
    <mergeCell ref="CM365:CO365"/>
    <mergeCell ref="Y359:AA359"/>
    <mergeCell ref="AK359:AM359"/>
    <mergeCell ref="AW359:AY359"/>
    <mergeCell ref="BI359:BK359"/>
    <mergeCell ref="BO359:BQ359"/>
    <mergeCell ref="CA359:CC359"/>
    <mergeCell ref="CM383:CO383"/>
    <mergeCell ref="Y383:AA383"/>
    <mergeCell ref="AK383:AM383"/>
    <mergeCell ref="AW383:AY383"/>
    <mergeCell ref="BI383:BK383"/>
    <mergeCell ref="BO383:BQ383"/>
    <mergeCell ref="CA383:CC383"/>
    <mergeCell ref="CM371:CO371"/>
    <mergeCell ref="Y377:AA377"/>
    <mergeCell ref="AK377:AM377"/>
    <mergeCell ref="AW377:AY377"/>
    <mergeCell ref="BI377:BK377"/>
    <mergeCell ref="BO377:BQ377"/>
    <mergeCell ref="CA377:CC377"/>
    <mergeCell ref="CM377:CO377"/>
    <mergeCell ref="Y371:AA371"/>
    <mergeCell ref="AK371:AM371"/>
    <mergeCell ref="AW371:AY371"/>
    <mergeCell ref="BI371:BK371"/>
    <mergeCell ref="BO371:BQ371"/>
    <mergeCell ref="CA371:CC371"/>
  </mergeCells>
  <pageMargins left="0.27559055118110237" right="0.15748031496062992" top="0.15748031496062992" bottom="0.19685039370078741" header="0.15748031496062992" footer="0.15748031496062992"/>
  <pageSetup paperSize="9" scale="28" orientation="landscape" horizontalDpi="300" verticalDpi="300" r:id="rId1"/>
  <rowBreaks count="1" manualBreakCount="1">
    <brk id="38" max="9" man="1"/>
  </rowBreaks>
  <colBreaks count="1" manualBreakCount="1">
    <brk id="10" max="382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G387"/>
  <sheetViews>
    <sheetView showGridLines="0" view="pageBreakPreview" topLeftCell="A10" zoomScale="30" zoomScaleNormal="40" zoomScaleSheetLayoutView="30" workbookViewId="0">
      <selection activeCell="I8" sqref="I8"/>
    </sheetView>
  </sheetViews>
  <sheetFormatPr defaultRowHeight="30"/>
  <cols>
    <col min="1" max="1" width="22.5703125" style="49" customWidth="1"/>
    <col min="2" max="2" width="5.85546875" style="417" customWidth="1"/>
    <col min="3" max="3" width="9.5703125" style="147" customWidth="1"/>
    <col min="4" max="4" width="7.28515625" style="148" customWidth="1"/>
    <col min="5" max="5" width="58.42578125" style="105" customWidth="1"/>
    <col min="6" max="6" width="118.42578125" style="101" customWidth="1"/>
    <col min="7" max="10" width="58.42578125" style="101" customWidth="1"/>
    <col min="11" max="11" width="40.7109375" style="49" customWidth="1"/>
    <col min="12" max="12" width="24.140625" style="51" customWidth="1"/>
    <col min="13" max="13" width="24.140625" style="49" customWidth="1"/>
    <col min="14" max="14" width="4.7109375" style="52" customWidth="1"/>
    <col min="15" max="15" width="6.140625" style="49" customWidth="1"/>
    <col min="16" max="16" width="14.85546875" style="52" bestFit="1" customWidth="1"/>
    <col min="17" max="17" width="9.140625" style="49"/>
    <col min="18" max="18" width="10.42578125" style="58" bestFit="1" customWidth="1"/>
    <col min="19" max="19" width="27.140625" style="58" customWidth="1"/>
    <col min="20" max="20" width="14.7109375" style="55" bestFit="1" customWidth="1"/>
    <col min="21" max="21" width="9.28515625" style="170" bestFit="1" customWidth="1"/>
    <col min="22" max="22" width="29.7109375" style="169" customWidth="1"/>
    <col min="23" max="26" width="9.140625" style="55"/>
    <col min="27" max="27" width="9.140625" style="56"/>
    <col min="28" max="28" width="9.140625" style="58"/>
    <col min="29" max="29" width="6.28515625" style="57" customWidth="1"/>
    <col min="30" max="30" width="10.42578125" style="58" bestFit="1" customWidth="1"/>
    <col min="31" max="31" width="27.140625" style="58" customWidth="1"/>
    <col min="32" max="38" width="9.140625" style="55"/>
    <col min="39" max="39" width="9.140625" style="56"/>
    <col min="40" max="40" width="9.140625" style="58" customWidth="1"/>
    <col min="41" max="41" width="5" style="53" customWidth="1"/>
    <col min="42" max="42" width="10.42578125" style="50" bestFit="1" customWidth="1"/>
    <col min="43" max="43" width="27.140625" style="50" customWidth="1"/>
    <col min="44" max="50" width="9.140625" style="53"/>
    <col min="51" max="51" width="9.140625" style="54"/>
    <col min="52" max="52" width="9.140625" style="50"/>
    <col min="53" max="53" width="9.140625" style="53"/>
    <col min="54" max="54" width="10.42578125" style="50" bestFit="1" customWidth="1"/>
    <col min="55" max="55" width="27.140625" style="50" customWidth="1"/>
    <col min="56" max="62" width="9.140625" style="53"/>
    <col min="63" max="63" width="9.140625" style="54"/>
    <col min="64" max="65" width="9.140625" style="50"/>
    <col min="66" max="68" width="9.140625" style="55"/>
    <col min="69" max="69" width="9.140625" style="56"/>
    <col min="70" max="70" width="9.28515625" style="55" bestFit="1" customWidth="1"/>
    <col min="71" max="71" width="9.140625" style="57"/>
    <col min="72" max="72" width="10.42578125" style="58" bestFit="1" customWidth="1"/>
    <col min="73" max="73" width="11.140625" style="58" customWidth="1"/>
    <col min="74" max="80" width="9.140625" style="55"/>
    <col min="81" max="81" width="9.140625" style="56"/>
    <col min="82" max="82" width="9.140625" style="55"/>
    <col min="83" max="83" width="9.140625" style="57"/>
    <col min="84" max="84" width="12.7109375" style="58" customWidth="1"/>
    <col min="85" max="85" width="27.140625" style="58" customWidth="1"/>
    <col min="86" max="92" width="9.140625" style="55"/>
    <col min="93" max="93" width="9.140625" style="56"/>
    <col min="94" max="94" width="9.140625" style="55"/>
    <col min="95" max="100" width="9.140625" style="49"/>
    <col min="101" max="103" width="9.28515625" style="49" bestFit="1" customWidth="1"/>
    <col min="104" max="111" width="9.140625" style="59"/>
    <col min="112" max="16384" width="9.140625" style="49"/>
  </cols>
  <sheetData>
    <row r="1" spans="1:111" s="226" customFormat="1" ht="109.5" customHeight="1">
      <c r="B1" s="417"/>
      <c r="C1" s="250"/>
      <c r="D1" s="251"/>
      <c r="E1" s="228"/>
      <c r="F1" s="229"/>
      <c r="G1" s="117" t="s">
        <v>507</v>
      </c>
      <c r="H1" s="356">
        <f>MAX('startova listina'!C75:C106)</f>
        <v>16</v>
      </c>
      <c r="I1" s="117" t="s">
        <v>116</v>
      </c>
      <c r="J1" s="230" t="s">
        <v>499</v>
      </c>
      <c r="L1" s="231"/>
      <c r="N1" s="232"/>
      <c r="P1" s="232"/>
      <c r="R1" s="233"/>
      <c r="S1" s="233"/>
      <c r="T1" s="234"/>
      <c r="U1" s="235"/>
      <c r="V1" s="236"/>
      <c r="W1" s="234"/>
      <c r="X1" s="234"/>
      <c r="Y1" s="234"/>
      <c r="Z1" s="234"/>
      <c r="AA1" s="239"/>
      <c r="AB1" s="233"/>
      <c r="AC1" s="243"/>
      <c r="AD1" s="233"/>
      <c r="AE1" s="233"/>
      <c r="AF1" s="234"/>
      <c r="AG1" s="234"/>
      <c r="AH1" s="234"/>
      <c r="AI1" s="234"/>
      <c r="AJ1" s="234"/>
      <c r="AK1" s="234"/>
      <c r="AL1" s="234"/>
      <c r="AM1" s="239"/>
      <c r="AN1" s="233"/>
      <c r="AO1" s="240"/>
      <c r="AP1" s="241"/>
      <c r="AQ1" s="241"/>
      <c r="AR1" s="240"/>
      <c r="AS1" s="240"/>
      <c r="AT1" s="240"/>
      <c r="AU1" s="240"/>
      <c r="AV1" s="240"/>
      <c r="AW1" s="240"/>
      <c r="AX1" s="240"/>
      <c r="AY1" s="242"/>
      <c r="AZ1" s="241"/>
      <c r="BA1" s="240"/>
      <c r="BB1" s="241"/>
      <c r="BC1" s="241"/>
      <c r="BD1" s="240"/>
      <c r="BE1" s="240"/>
      <c r="BF1" s="240"/>
      <c r="BG1" s="240"/>
      <c r="BH1" s="240"/>
      <c r="BI1" s="240"/>
      <c r="BJ1" s="240"/>
      <c r="BK1" s="242"/>
      <c r="BL1" s="241"/>
      <c r="BM1" s="241"/>
      <c r="BN1" s="234"/>
      <c r="BO1" s="234"/>
      <c r="BP1" s="234"/>
      <c r="BQ1" s="239"/>
      <c r="BR1" s="234"/>
      <c r="BS1" s="243"/>
      <c r="BT1" s="233"/>
      <c r="BU1" s="233"/>
      <c r="BV1" s="234"/>
      <c r="BW1" s="234"/>
      <c r="BX1" s="234"/>
      <c r="BY1" s="234"/>
      <c r="BZ1" s="234"/>
      <c r="CA1" s="234"/>
      <c r="CB1" s="234"/>
      <c r="CC1" s="239"/>
      <c r="CD1" s="234"/>
      <c r="CE1" s="243"/>
      <c r="CF1" s="233"/>
      <c r="CG1" s="233"/>
      <c r="CH1" s="234"/>
      <c r="CI1" s="234"/>
      <c r="CJ1" s="234"/>
      <c r="CK1" s="234"/>
      <c r="CL1" s="234"/>
      <c r="CM1" s="234"/>
      <c r="CN1" s="234"/>
      <c r="CO1" s="239"/>
      <c r="CP1" s="234"/>
      <c r="CZ1" s="244"/>
      <c r="DA1" s="244"/>
      <c r="DB1" s="244"/>
      <c r="DC1" s="244"/>
      <c r="DD1" s="244"/>
      <c r="DE1" s="244"/>
      <c r="DF1" s="244"/>
      <c r="DG1" s="244"/>
    </row>
    <row r="2" spans="1:111" ht="84.75" customHeight="1">
      <c r="C2" s="295" t="str">
        <f>CONCATENATE("Majstrovstvá Slovenska jednotlivcov, kategória ",'startova listina'!D3,", ročník ",'startova listina'!I3,", štvorhra chlapcov")</f>
        <v>Majstrovstvá Slovenska jednotlivcov, kategória Mladší žiaci, ročník 2014, štvorhra chlapcov</v>
      </c>
      <c r="G2" s="106"/>
      <c r="H2" s="225"/>
    </row>
    <row r="3" spans="1:111" ht="39.950000000000003" customHeight="1" thickBot="1">
      <c r="B3" s="417" t="s">
        <v>117</v>
      </c>
      <c r="H3" s="105"/>
      <c r="I3" s="105"/>
      <c r="J3" s="105"/>
      <c r="K3" s="52"/>
      <c r="L3" s="60"/>
      <c r="M3" s="52"/>
      <c r="CZ3" s="59">
        <v>16</v>
      </c>
      <c r="DA3" s="59">
        <v>15</v>
      </c>
      <c r="DB3" s="59">
        <v>14</v>
      </c>
      <c r="DC3" s="59">
        <v>13</v>
      </c>
      <c r="DD3" s="59">
        <v>12</v>
      </c>
      <c r="DE3" s="59">
        <v>11</v>
      </c>
      <c r="DF3" s="59">
        <v>10</v>
      </c>
      <c r="DG3" s="59">
        <v>9</v>
      </c>
    </row>
    <row r="4" spans="1:111" ht="60" customHeight="1" thickBot="1">
      <c r="A4" s="49" t="s">
        <v>223</v>
      </c>
      <c r="B4" s="539"/>
      <c r="C4" s="544">
        <v>1</v>
      </c>
      <c r="D4" s="545">
        <v>1</v>
      </c>
      <c r="E4" s="107" t="str">
        <f>IF(ISERROR(IF($J$1="n","",IF($J$1="a",VLOOKUP(C4,vylosovanie!$D$75:$O$107,11,0),"")))=TRUE,"",IF($J$1="n","",IF($J$1="a",VLOOKUP(C4,vylosovanie!$D$75:$O$107,11,0),"")))</f>
        <v>DIKO / KYSEL</v>
      </c>
      <c r="F4" s="108" t="str">
        <f>IF(ISERROR(IF($J$1="n","",IF($J$1="a",VLOOKUP(C4,vylosovanie!$D$75:$O$107,12,0),"")))=TRUE,"",IF($J$1="n","",IF($J$1="a",VLOOKUP(C4,vylosovanie!$D$75:$O$107,12,0),"")))</f>
        <v>TJ ORAVAN NÁMESTOVO / MSTK TVRDOŠÍN</v>
      </c>
      <c r="G4" s="109"/>
      <c r="H4" s="106"/>
      <c r="I4" s="110"/>
      <c r="J4" s="110"/>
      <c r="K4" s="57"/>
      <c r="L4" s="60" t="str">
        <f>A4</f>
        <v>CH4P11</v>
      </c>
      <c r="M4" s="52" t="str">
        <f>E4</f>
        <v>DIKO / KYSEL</v>
      </c>
      <c r="T4" s="55">
        <f>IF(OR(ISERROR(V4)=TRUE,V4=0,V4="x",V4="",V4=" "),0,1)</f>
        <v>1</v>
      </c>
      <c r="U4" s="170">
        <v>1</v>
      </c>
      <c r="V4" s="169" t="str">
        <f>J19</f>
        <v>ĎANOVSKÝ / MILAN</v>
      </c>
      <c r="BS4" s="55" t="s">
        <v>118</v>
      </c>
      <c r="BT4" s="58" t="s">
        <v>119</v>
      </c>
      <c r="CW4" s="61">
        <v>9</v>
      </c>
      <c r="CX4" s="62">
        <v>14</v>
      </c>
      <c r="CY4" s="49">
        <v>1</v>
      </c>
      <c r="CZ4" s="59" t="s">
        <v>120</v>
      </c>
      <c r="DA4" s="59" t="s">
        <v>120</v>
      </c>
      <c r="DB4" s="59" t="s">
        <v>120</v>
      </c>
      <c r="DC4" s="59" t="s">
        <v>120</v>
      </c>
      <c r="DD4" s="59" t="s">
        <v>120</v>
      </c>
      <c r="DE4" s="59" t="s">
        <v>120</v>
      </c>
      <c r="DF4" s="59" t="s">
        <v>120</v>
      </c>
      <c r="DG4" s="59" t="s">
        <v>120</v>
      </c>
    </row>
    <row r="5" spans="1:111" ht="60" customHeight="1" thickBot="1">
      <c r="A5" s="49" t="s">
        <v>224</v>
      </c>
      <c r="B5" s="539"/>
      <c r="C5" s="544"/>
      <c r="D5" s="545"/>
      <c r="E5" s="111" t="str">
        <f>VLOOKUP($A4,'zapisy k stolom'!$Y$5:$AC$3073,5,0)</f>
        <v>Tbl.: 1   H: 13.55   D: So</v>
      </c>
      <c r="F5" s="112" t="s">
        <v>225</v>
      </c>
      <c r="G5" s="113" t="str">
        <f>IF(C4="x",E6,IF(C6="x",E4,VLOOKUP($A4,'zapisy k stolom'!$Y$5:$AC$3073,3,0)))</f>
        <v>DIKO / KYSEL</v>
      </c>
      <c r="H5" s="109"/>
      <c r="I5" s="110"/>
      <c r="J5" s="110"/>
      <c r="K5" s="57"/>
      <c r="L5" s="60" t="str">
        <f t="shared" ref="L5:L34" si="0">A5</f>
        <v>CH4P91</v>
      </c>
      <c r="M5" s="52" t="str">
        <f>G5</f>
        <v>DIKO / KYSEL</v>
      </c>
      <c r="R5" s="63"/>
      <c r="S5" s="64"/>
      <c r="T5" s="55">
        <f>IF(OR(ISERROR(V5)=TRUE,V5=0,V5="x",V5="",V5=" "),T4,T4+1)</f>
        <v>2</v>
      </c>
      <c r="U5" s="170">
        <v>2</v>
      </c>
      <c r="V5" s="169" t="str">
        <f>IF(J19=I11,I27,I11)</f>
        <v>DIKO / KYSEL</v>
      </c>
      <c r="Y5" s="531"/>
      <c r="Z5" s="531"/>
      <c r="AA5" s="531"/>
      <c r="AD5" s="63"/>
      <c r="AE5" s="64"/>
      <c r="AK5" s="531"/>
      <c r="AL5" s="531"/>
      <c r="AM5" s="531"/>
      <c r="BO5" s="531"/>
      <c r="BP5" s="531"/>
      <c r="BQ5" s="531"/>
      <c r="BR5" s="49">
        <f>IF(BS5="x",0,1)</f>
        <v>1</v>
      </c>
      <c r="BS5" s="57" t="str">
        <f>IF(G5=E4,E6,E4)</f>
        <v>VICO / KLUČÁR</v>
      </c>
      <c r="BT5" s="63"/>
      <c r="BU5" s="64"/>
      <c r="CA5" s="531"/>
      <c r="CB5" s="531"/>
      <c r="CC5" s="531"/>
      <c r="CF5" s="63"/>
      <c r="CG5" s="64"/>
      <c r="CM5" s="531"/>
      <c r="CN5" s="531"/>
      <c r="CO5" s="531"/>
      <c r="CW5" s="65">
        <v>10</v>
      </c>
      <c r="CX5" s="66">
        <v>11</v>
      </c>
      <c r="CY5" s="49">
        <v>2</v>
      </c>
      <c r="CZ5" s="59" t="s">
        <v>120</v>
      </c>
      <c r="DA5" s="59" t="s">
        <v>121</v>
      </c>
      <c r="DB5" s="59" t="s">
        <v>121</v>
      </c>
      <c r="DC5" s="59" t="s">
        <v>121</v>
      </c>
      <c r="DD5" s="59" t="s">
        <v>121</v>
      </c>
      <c r="DE5" s="59" t="s">
        <v>121</v>
      </c>
      <c r="DF5" s="59" t="s">
        <v>121</v>
      </c>
      <c r="DG5" s="59" t="s">
        <v>121</v>
      </c>
    </row>
    <row r="6" spans="1:111" ht="60" customHeight="1" thickBot="1">
      <c r="A6" s="49" t="s">
        <v>226</v>
      </c>
      <c r="B6" s="536">
        <v>3</v>
      </c>
      <c r="C6" s="544">
        <f>IF(HLOOKUP($H$1,$CZ$3:$DG$19,D6+1,0)="x","X",D6)</f>
        <v>2</v>
      </c>
      <c r="D6" s="545">
        <v>2</v>
      </c>
      <c r="E6" s="108" t="str">
        <f>IF(ISERROR(IF($J$1="n","",IF($J$1="a",VLOOKUP(C6,vylosovanie!$D$75:$O$107,11,0),"")))=TRUE,"",IF($J$1="n","",IF($J$1="a",VLOOKUP(C6,vylosovanie!$D$75:$O$107,11,0),"")))</f>
        <v>VICO / KLUČÁR</v>
      </c>
      <c r="F6" s="114" t="str">
        <f>IF(ISERROR(IF($J$1="n","",IF($J$1="a",VLOOKUP(C6,vylosovanie!$D$75:$O$107,12,0),"")))=TRUE,"",IF($J$1="n","",IF($J$1="a",VLOOKUP(C6,vylosovanie!$D$75:$O$107,12,0),"")))</f>
        <v>STO VALALIKY / TTC MAJCICHOV</v>
      </c>
      <c r="G6" s="115" t="str">
        <f>IF(G5="","",IF(OR(C4="x",C6="x"),"",VLOOKUP($A4,'zapisy k stolom'!$Y$5:$AC$3073,4,0)))</f>
        <v xml:space="preserve">3:0 ( 4,9,6,,,, ) </v>
      </c>
      <c r="H6" s="116"/>
      <c r="I6" s="110"/>
      <c r="J6" s="110"/>
      <c r="K6" s="57"/>
      <c r="L6" s="60" t="str">
        <f t="shared" si="0"/>
        <v>CH4P12</v>
      </c>
      <c r="M6" s="52" t="str">
        <f>E6</f>
        <v>VICO / KLUČÁR</v>
      </c>
      <c r="R6" s="70"/>
      <c r="T6" s="55">
        <f t="shared" ref="T6:T19" si="1">IF(OR(ISERROR(V6)=TRUE,V6=0,V6="x",V6="",V6=" "),T5,T5+1)</f>
        <v>3</v>
      </c>
      <c r="U6" s="170">
        <v>3</v>
      </c>
      <c r="V6" s="169" t="str">
        <f>IF(I11=H7,H15,H7)</f>
        <v>FEČO / PAPÁNEK</v>
      </c>
      <c r="W6" s="56"/>
      <c r="X6" s="56"/>
      <c r="Y6" s="56"/>
      <c r="AD6" s="70"/>
      <c r="AG6" s="56"/>
      <c r="AH6" s="56"/>
      <c r="AI6" s="56"/>
      <c r="AJ6" s="56"/>
      <c r="AK6" s="56"/>
      <c r="BN6" s="56"/>
      <c r="BO6" s="56"/>
      <c r="BR6" s="49"/>
      <c r="BT6" s="70"/>
      <c r="BW6" s="56"/>
      <c r="BX6" s="56"/>
      <c r="BY6" s="56"/>
      <c r="BZ6" s="56"/>
      <c r="CA6" s="56"/>
      <c r="CF6" s="70"/>
      <c r="CI6" s="56"/>
      <c r="CJ6" s="56"/>
      <c r="CK6" s="56"/>
      <c r="CL6" s="56"/>
      <c r="CM6" s="56"/>
      <c r="CW6" s="65">
        <v>11</v>
      </c>
      <c r="CX6" s="66">
        <v>6</v>
      </c>
      <c r="CY6" s="49">
        <v>3</v>
      </c>
      <c r="CZ6" s="59" t="s">
        <v>120</v>
      </c>
      <c r="DA6" s="59" t="s">
        <v>120</v>
      </c>
      <c r="DB6" s="59" t="s">
        <v>120</v>
      </c>
      <c r="DC6" s="59" t="s">
        <v>120</v>
      </c>
      <c r="DD6" s="59" t="s">
        <v>120</v>
      </c>
      <c r="DE6" s="59" t="s">
        <v>120</v>
      </c>
      <c r="DF6" s="59" t="s">
        <v>120</v>
      </c>
      <c r="DG6" s="59" t="s">
        <v>120</v>
      </c>
    </row>
    <row r="7" spans="1:111" ht="60" customHeight="1" thickBot="1">
      <c r="A7" s="49" t="s">
        <v>227</v>
      </c>
      <c r="B7" s="536"/>
      <c r="C7" s="544"/>
      <c r="D7" s="545"/>
      <c r="G7" s="117" t="s">
        <v>229</v>
      </c>
      <c r="H7" s="118" t="str">
        <f>VLOOKUP($A5,'zapisy k stolom'!$Y$5:$AC$3073,3,0)</f>
        <v>DIKO / KYSEL</v>
      </c>
      <c r="I7" s="109"/>
      <c r="J7" s="109"/>
      <c r="K7" s="57"/>
      <c r="L7" s="60" t="str">
        <f t="shared" si="0"/>
        <v>CH4P131</v>
      </c>
      <c r="M7" s="52" t="str">
        <f>H7</f>
        <v>DIKO / KYSEL</v>
      </c>
      <c r="R7" s="63"/>
      <c r="T7" s="55">
        <f t="shared" si="1"/>
        <v>4</v>
      </c>
      <c r="U7" s="170">
        <v>4</v>
      </c>
      <c r="V7" s="169" t="str">
        <f>IF(I27=H23,H31,H23)</f>
        <v>HURKA / JALOVECKÝ</v>
      </c>
      <c r="W7" s="56"/>
      <c r="X7" s="56"/>
      <c r="Y7" s="56"/>
      <c r="AD7" s="63"/>
      <c r="AG7" s="56"/>
      <c r="AH7" s="56"/>
      <c r="AI7" s="56"/>
      <c r="AJ7" s="56"/>
      <c r="AK7" s="56"/>
      <c r="BN7" s="56"/>
      <c r="BO7" s="56"/>
      <c r="BR7" s="49"/>
      <c r="BT7" s="72" t="str">
        <f>IF(H7=G5,G9,G5)</f>
        <v>PACH / DELINČAK</v>
      </c>
      <c r="BW7" s="56"/>
      <c r="BX7" s="56"/>
      <c r="BY7" s="56"/>
      <c r="BZ7" s="56"/>
      <c r="CA7" s="56"/>
      <c r="CF7" s="63"/>
      <c r="CI7" s="56"/>
      <c r="CJ7" s="56"/>
      <c r="CK7" s="56"/>
      <c r="CL7" s="56"/>
      <c r="CM7" s="56"/>
      <c r="CW7" s="65">
        <v>12</v>
      </c>
      <c r="CX7" s="66">
        <v>7</v>
      </c>
      <c r="CY7" s="49">
        <v>4</v>
      </c>
      <c r="CZ7" s="59" t="s">
        <v>120</v>
      </c>
      <c r="DA7" s="59" t="s">
        <v>120</v>
      </c>
      <c r="DB7" s="59" t="s">
        <v>120</v>
      </c>
      <c r="DC7" s="59" t="s">
        <v>120</v>
      </c>
      <c r="DD7" s="59" t="s">
        <v>120</v>
      </c>
      <c r="DE7" s="59" t="s">
        <v>120</v>
      </c>
      <c r="DF7" s="59" t="s">
        <v>120</v>
      </c>
      <c r="DG7" s="59" t="s">
        <v>120</v>
      </c>
    </row>
    <row r="8" spans="1:111" ht="60" customHeight="1" thickBot="1">
      <c r="A8" s="49" t="s">
        <v>228</v>
      </c>
      <c r="B8" s="536">
        <v>3</v>
      </c>
      <c r="C8" s="544">
        <f t="shared" ref="C8" si="2">IF(HLOOKUP($H$1,$CZ$3:$DG$19,D8+1,0)="x","X",D8)</f>
        <v>3</v>
      </c>
      <c r="D8" s="545">
        <v>3</v>
      </c>
      <c r="E8" s="107" t="str">
        <f>IF(ISERROR(IF($J$1="n","",IF($J$1="a",VLOOKUP(C8,vylosovanie!$D$75:$O$107,11,0),"")))=TRUE,"",IF($J$1="n","",IF($J$1="a",VLOOKUP(C8,vylosovanie!$D$75:$O$107,11,0),"")))</f>
        <v>PACH / DELINČAK</v>
      </c>
      <c r="F8" s="108" t="str">
        <f>IF(ISERROR(IF($J$1="n","",IF($J$1="a",VLOOKUP(C8,vylosovanie!$D$75:$O$107,12,0),"")))=TRUE,"",IF($J$1="n","",IF($J$1="a",VLOOKUP(C8,vylosovanie!$D$75:$O$107,12,0),"")))</f>
        <v>STO VALALIKY / MSK ČADCA</v>
      </c>
      <c r="G8" s="119" t="str">
        <f>VLOOKUP($A5,'zapisy k stolom'!$Y$5:$AC$3073,5,0)</f>
        <v>Tbl.: 1   H: 17.00   D: So</v>
      </c>
      <c r="H8" s="120" t="str">
        <f>IF(H7="","",VLOOKUP($A5,'zapisy k stolom'!$Y$5:$AC$3073,4,0))</f>
        <v xml:space="preserve">3:1 ( -6,5,10,8,,, ) </v>
      </c>
      <c r="I8" s="116"/>
      <c r="J8" s="110"/>
      <c r="K8" s="57"/>
      <c r="L8" s="60" t="str">
        <f t="shared" si="0"/>
        <v>CH4P21</v>
      </c>
      <c r="M8" s="52" t="str">
        <f>E8</f>
        <v>PACH / DELINČAK</v>
      </c>
      <c r="R8" s="63"/>
      <c r="T8" s="55">
        <f t="shared" si="1"/>
        <v>5</v>
      </c>
      <c r="U8" s="170">
        <v>5</v>
      </c>
      <c r="V8" s="169" t="str">
        <f>IF(H7=G5,G9,G5)</f>
        <v>PACH / DELINČAK</v>
      </c>
      <c r="W8" s="56"/>
      <c r="X8" s="56"/>
      <c r="Y8" s="56"/>
      <c r="AD8" s="63"/>
      <c r="AG8" s="56"/>
      <c r="AH8" s="56"/>
      <c r="AI8" s="56"/>
      <c r="AJ8" s="56"/>
      <c r="AK8" s="56"/>
      <c r="BN8" s="56"/>
      <c r="BO8" s="56"/>
      <c r="BR8" s="49"/>
      <c r="BT8" s="63"/>
      <c r="BW8" s="56"/>
      <c r="BX8" s="56"/>
      <c r="BY8" s="56"/>
      <c r="BZ8" s="56"/>
      <c r="CA8" s="56"/>
      <c r="CF8" s="63"/>
      <c r="CI8" s="56"/>
      <c r="CJ8" s="56"/>
      <c r="CK8" s="56"/>
      <c r="CL8" s="56"/>
      <c r="CM8" s="56"/>
      <c r="CW8" s="65">
        <v>13</v>
      </c>
      <c r="CX8" s="66">
        <v>10</v>
      </c>
      <c r="CY8" s="49">
        <v>5</v>
      </c>
      <c r="CZ8" s="59" t="s">
        <v>120</v>
      </c>
      <c r="DA8" s="59" t="s">
        <v>120</v>
      </c>
      <c r="DB8" s="59" t="s">
        <v>120</v>
      </c>
      <c r="DC8" s="59" t="s">
        <v>120</v>
      </c>
      <c r="DD8" s="59" t="s">
        <v>120</v>
      </c>
      <c r="DE8" s="59" t="s">
        <v>120</v>
      </c>
      <c r="DF8" s="59" t="s">
        <v>120</v>
      </c>
      <c r="DG8" s="59" t="s">
        <v>120</v>
      </c>
    </row>
    <row r="9" spans="1:111" ht="60" customHeight="1" thickBot="1">
      <c r="A9" s="49" t="s">
        <v>230</v>
      </c>
      <c r="B9" s="536"/>
      <c r="C9" s="544"/>
      <c r="D9" s="545"/>
      <c r="E9" s="111" t="str">
        <f>VLOOKUP($A8,'zapisy k stolom'!$Y$5:$AC$3073,5,0)</f>
        <v>Tbl.: 2   H: 13.55   D: So</v>
      </c>
      <c r="F9" s="117" t="s">
        <v>231</v>
      </c>
      <c r="G9" s="121" t="str">
        <f>IF(C8="x",E10,IF(C10="x",E8,VLOOKUP($A8,'zapisy k stolom'!$Y$5:$AC$3073,3,0)))</f>
        <v>PACH / DELINČAK</v>
      </c>
      <c r="H9" s="116"/>
      <c r="I9" s="116"/>
      <c r="J9" s="110"/>
      <c r="K9" s="57"/>
      <c r="L9" s="60" t="str">
        <f t="shared" si="0"/>
        <v>CH4P92</v>
      </c>
      <c r="M9" s="52" t="str">
        <f>G9</f>
        <v>PACH / DELINČAK</v>
      </c>
      <c r="R9" s="63"/>
      <c r="T9" s="55">
        <f t="shared" si="1"/>
        <v>6</v>
      </c>
      <c r="U9" s="170">
        <v>6</v>
      </c>
      <c r="V9" s="169" t="str">
        <f>IF(H15=G13,G17,G13)</f>
        <v>FUSEK / FREUND</v>
      </c>
      <c r="W9" s="56"/>
      <c r="X9" s="56"/>
      <c r="Y9" s="56"/>
      <c r="AD9" s="63"/>
      <c r="AG9" s="56"/>
      <c r="AH9" s="56"/>
      <c r="AI9" s="56"/>
      <c r="AJ9" s="56"/>
      <c r="AK9" s="56"/>
      <c r="BN9" s="56"/>
      <c r="BO9" s="56"/>
      <c r="BR9" s="49">
        <f>IF(BS9="x",0,MAX(BR$5:$BR8)+1)</f>
        <v>2</v>
      </c>
      <c r="BS9" s="57" t="str">
        <f>IF(G9=E8,E10,E8)</f>
        <v>KLAJBER / IVANČO</v>
      </c>
      <c r="BT9" s="63"/>
      <c r="BW9" s="56"/>
      <c r="BX9" s="56"/>
      <c r="BY9" s="56"/>
      <c r="BZ9" s="56"/>
      <c r="CA9" s="56"/>
      <c r="CF9" s="63"/>
      <c r="CI9" s="56"/>
      <c r="CJ9" s="56"/>
      <c r="CK9" s="56"/>
      <c r="CL9" s="56"/>
      <c r="CM9" s="56"/>
      <c r="CW9" s="65">
        <v>14</v>
      </c>
      <c r="CX9" s="66">
        <v>15</v>
      </c>
      <c r="CY9" s="49">
        <v>6</v>
      </c>
      <c r="CZ9" s="59" t="s">
        <v>120</v>
      </c>
      <c r="DA9" s="59" t="s">
        <v>120</v>
      </c>
      <c r="DB9" s="59" t="s">
        <v>120</v>
      </c>
      <c r="DC9" s="59" t="s">
        <v>120</v>
      </c>
      <c r="DD9" s="59" t="s">
        <v>120</v>
      </c>
      <c r="DE9" s="59" t="s">
        <v>121</v>
      </c>
      <c r="DF9" s="59" t="s">
        <v>121</v>
      </c>
      <c r="DG9" s="59" t="s">
        <v>121</v>
      </c>
    </row>
    <row r="10" spans="1:111" ht="60" customHeight="1" thickBot="1">
      <c r="A10" s="49" t="s">
        <v>232</v>
      </c>
      <c r="B10" s="541">
        <v>2</v>
      </c>
      <c r="C10" s="544">
        <f t="shared" ref="C10" si="3">IF(HLOOKUP($H$1,$CZ$3:$DG$19,D10+1,0)="x","X",D10)</f>
        <v>4</v>
      </c>
      <c r="D10" s="545">
        <v>4</v>
      </c>
      <c r="E10" s="108" t="str">
        <f>IF(ISERROR(IF($J$1="n","",IF($J$1="a",VLOOKUP(C10,vylosovanie!$D$75:$O$107,11,0),"")))=TRUE,"",IF($J$1="n","",IF($J$1="a",VLOOKUP(C10,vylosovanie!$D$75:$O$107,11,0),"")))</f>
        <v>KLAJBER / IVANČO</v>
      </c>
      <c r="F10" s="114" t="str">
        <f>IF(ISERROR(IF($J$1="n","",IF($J$1="a",VLOOKUP(C10,vylosovanie!$D$75:$O$107,12,0),"")))=TRUE,"",IF($J$1="n","",IF($J$1="a",VLOOKUP(C10,vylosovanie!$D$75:$O$107,12,0),"")))</f>
        <v>SŠK POPROČ / MSK MALACKY</v>
      </c>
      <c r="G10" s="144" t="str">
        <f>IF(G9="","",IF(OR(C8="x",C10="x"),"",VLOOKUP($A8,'zapisy k stolom'!$Y$5:$AC$3073,4,0)))</f>
        <v xml:space="preserve">3:1 ( 7,7,-9,11,,, ) </v>
      </c>
      <c r="H10" s="110"/>
      <c r="I10" s="116"/>
      <c r="J10" s="110"/>
      <c r="K10" s="57"/>
      <c r="L10" s="60" t="str">
        <f t="shared" si="0"/>
        <v>CH4P22</v>
      </c>
      <c r="M10" s="52" t="str">
        <f>E10</f>
        <v>KLAJBER / IVANČO</v>
      </c>
      <c r="T10" s="55">
        <f t="shared" si="1"/>
        <v>7</v>
      </c>
      <c r="U10" s="170">
        <v>7</v>
      </c>
      <c r="V10" s="169" t="str">
        <f>IF(H23=G21,G25,G21)</f>
        <v>PETRÍK / TUREK</v>
      </c>
      <c r="BR10" s="49"/>
      <c r="CW10" s="65">
        <v>15</v>
      </c>
      <c r="CX10" s="66">
        <v>2</v>
      </c>
      <c r="CY10" s="49">
        <v>7</v>
      </c>
      <c r="CZ10" s="59" t="s">
        <v>120</v>
      </c>
      <c r="DA10" s="59" t="s">
        <v>120</v>
      </c>
      <c r="DB10" s="59" t="s">
        <v>120</v>
      </c>
      <c r="DC10" s="59" t="s">
        <v>120</v>
      </c>
      <c r="DD10" s="59" t="s">
        <v>121</v>
      </c>
      <c r="DE10" s="59" t="s">
        <v>121</v>
      </c>
      <c r="DF10" s="59" t="s">
        <v>121</v>
      </c>
      <c r="DG10" s="59" t="s">
        <v>121</v>
      </c>
    </row>
    <row r="11" spans="1:111" ht="60" customHeight="1" thickBot="1">
      <c r="A11" s="49" t="s">
        <v>233</v>
      </c>
      <c r="B11" s="541"/>
      <c r="C11" s="544"/>
      <c r="D11" s="545"/>
      <c r="G11" s="106"/>
      <c r="H11" s="122" t="s">
        <v>235</v>
      </c>
      <c r="I11" s="121" t="str">
        <f>VLOOKUP($A7,'zapisy k stolom'!$Y$5:$AC$3073,3,0)</f>
        <v>DIKO / KYSEL</v>
      </c>
      <c r="J11" s="109"/>
      <c r="K11" s="71"/>
      <c r="L11" s="60" t="str">
        <f t="shared" si="0"/>
        <v>CH4P151</v>
      </c>
      <c r="M11" s="52" t="str">
        <f>I11</f>
        <v>DIKO / KYSEL</v>
      </c>
      <c r="R11" s="63"/>
      <c r="S11" s="64"/>
      <c r="T11" s="55">
        <f t="shared" si="1"/>
        <v>8</v>
      </c>
      <c r="U11" s="170">
        <v>8</v>
      </c>
      <c r="V11" s="169" t="str">
        <f>IF(H31=G29,G33,G29)</f>
        <v>PINDURA / CYPRICH</v>
      </c>
      <c r="Y11" s="531"/>
      <c r="Z11" s="531"/>
      <c r="AA11" s="531"/>
      <c r="AD11" s="63"/>
      <c r="AE11" s="64"/>
      <c r="AK11" s="531"/>
      <c r="AL11" s="531"/>
      <c r="AM11" s="531"/>
      <c r="BO11" s="531"/>
      <c r="BP11" s="531"/>
      <c r="BQ11" s="531"/>
      <c r="BR11" s="49"/>
      <c r="BT11" s="63"/>
      <c r="BU11" s="64"/>
      <c r="CA11" s="531"/>
      <c r="CB11" s="531"/>
      <c r="CC11" s="531"/>
      <c r="CF11" s="73"/>
      <c r="CG11" s="64"/>
      <c r="CM11" s="531"/>
      <c r="CN11" s="531"/>
      <c r="CO11" s="531"/>
      <c r="CW11" s="74">
        <v>16</v>
      </c>
      <c r="CX11" s="75">
        <v>0</v>
      </c>
      <c r="CY11" s="49">
        <v>8</v>
      </c>
      <c r="CZ11" s="59" t="s">
        <v>120</v>
      </c>
      <c r="DA11" s="59" t="s">
        <v>120</v>
      </c>
      <c r="DB11" s="59" t="s">
        <v>120</v>
      </c>
      <c r="DC11" s="59" t="s">
        <v>120</v>
      </c>
      <c r="DD11" s="59" t="s">
        <v>120</v>
      </c>
      <c r="DE11" s="59" t="s">
        <v>120</v>
      </c>
      <c r="DF11" s="59" t="s">
        <v>120</v>
      </c>
      <c r="DG11" s="59" t="s">
        <v>120</v>
      </c>
    </row>
    <row r="12" spans="1:111" ht="60" customHeight="1" thickBot="1">
      <c r="A12" s="49" t="s">
        <v>234</v>
      </c>
      <c r="B12" s="541">
        <v>2</v>
      </c>
      <c r="C12" s="544">
        <f t="shared" ref="C12" si="4">IF(HLOOKUP($H$1,$CZ$3:$DG$19,D12+1,0)="x","X",D12)</f>
        <v>5</v>
      </c>
      <c r="D12" s="545">
        <v>5</v>
      </c>
      <c r="E12" s="107" t="str">
        <f>IF(ISERROR(IF($J$1="n","",IF($J$1="a",VLOOKUP(C12,vylosovanie!$D$75:$O$107,11,0),"")))=TRUE,"",IF($J$1="n","",IF($J$1="a",VLOOKUP(C12,vylosovanie!$D$75:$O$107,11,0),"")))</f>
        <v>FUSEK / FREUND</v>
      </c>
      <c r="F12" s="108" t="str">
        <f>IF(ISERROR(IF($J$1="n","",IF($J$1="a",VLOOKUP(C12,vylosovanie!$D$75:$O$107,12,0),"")))=TRUE,"",IF($J$1="n","",IF($J$1="a",VLOOKUP(C12,vylosovanie!$D$75:$O$107,12,0),"")))</f>
        <v>MSK MALACKY / MSK MALACKY</v>
      </c>
      <c r="G12" s="109"/>
      <c r="H12" s="124" t="str">
        <f>VLOOKUP($A7,'zapisy k stolom'!$Y$5:$AC$3073,5,0)</f>
        <v>Tbl.: 1   H: 9.30   D: Ne</v>
      </c>
      <c r="I12" s="145" t="str">
        <f>IF(I11="","",VLOOKUP($A7,'zapisy k stolom'!$Y$5:$AC$3073,4,0))</f>
        <v xml:space="preserve">3:1 ( 7,7,-9,7,,, ) </v>
      </c>
      <c r="J12" s="116"/>
      <c r="K12" s="57"/>
      <c r="L12" s="60" t="str">
        <f t="shared" si="0"/>
        <v>CH4P31</v>
      </c>
      <c r="M12" s="52" t="str">
        <f>E12</f>
        <v>FUSEK / FREUND</v>
      </c>
      <c r="R12" s="63"/>
      <c r="T12" s="55">
        <f t="shared" si="1"/>
        <v>9</v>
      </c>
      <c r="U12" s="170">
        <v>9</v>
      </c>
      <c r="V12" s="169" t="str">
        <f>IF(G5=E4,E6,E4)</f>
        <v>VICO / KLUČÁR</v>
      </c>
      <c r="W12" s="56"/>
      <c r="X12" s="56"/>
      <c r="Y12" s="56"/>
      <c r="AD12" s="63"/>
      <c r="AG12" s="56"/>
      <c r="AH12" s="56"/>
      <c r="AI12" s="56"/>
      <c r="AJ12" s="56"/>
      <c r="AK12" s="56"/>
      <c r="BN12" s="56"/>
      <c r="BO12" s="56"/>
      <c r="BR12" s="49"/>
      <c r="BT12" s="63"/>
      <c r="BW12" s="56"/>
      <c r="BX12" s="56"/>
      <c r="BY12" s="56"/>
      <c r="BZ12" s="56"/>
      <c r="CA12" s="56"/>
      <c r="CF12" s="63"/>
      <c r="CI12" s="56"/>
      <c r="CJ12" s="56"/>
      <c r="CK12" s="56"/>
      <c r="CL12" s="56"/>
      <c r="CM12" s="56"/>
      <c r="CY12" s="49">
        <v>9</v>
      </c>
      <c r="CZ12" s="59" t="s">
        <v>120</v>
      </c>
      <c r="DA12" s="59" t="s">
        <v>120</v>
      </c>
      <c r="DB12" s="59" t="s">
        <v>120</v>
      </c>
      <c r="DC12" s="59" t="s">
        <v>120</v>
      </c>
      <c r="DD12" s="59" t="s">
        <v>120</v>
      </c>
      <c r="DE12" s="59" t="s">
        <v>120</v>
      </c>
      <c r="DF12" s="59" t="s">
        <v>120</v>
      </c>
      <c r="DG12" s="59" t="s">
        <v>120</v>
      </c>
    </row>
    <row r="13" spans="1:111" ht="60" customHeight="1" thickBot="1">
      <c r="A13" s="49" t="s">
        <v>236</v>
      </c>
      <c r="B13" s="541"/>
      <c r="C13" s="544"/>
      <c r="D13" s="545"/>
      <c r="E13" s="111" t="str">
        <f>VLOOKUP($A12,'zapisy k stolom'!$Y$5:$AC$3073,5,0)</f>
        <v>Tbl.: 3   H: 13.55   D: So</v>
      </c>
      <c r="F13" s="112" t="s">
        <v>237</v>
      </c>
      <c r="G13" s="113" t="str">
        <f>IF(C12="x",E14,IF(C14="x",E12,VLOOKUP($A12,'zapisy k stolom'!$Y$5:$AC$3073,3,0)))</f>
        <v>FUSEK / FREUND</v>
      </c>
      <c r="H13" s="109"/>
      <c r="I13" s="116"/>
      <c r="J13" s="116"/>
      <c r="K13" s="57"/>
      <c r="L13" s="60" t="str">
        <f t="shared" si="0"/>
        <v>CH4P101</v>
      </c>
      <c r="M13" s="52" t="str">
        <f>G13</f>
        <v>FUSEK / FREUND</v>
      </c>
      <c r="R13" s="63"/>
      <c r="T13" s="55">
        <f t="shared" si="1"/>
        <v>10</v>
      </c>
      <c r="U13" s="170">
        <v>10</v>
      </c>
      <c r="V13" s="169" t="str">
        <f>IF(G9=E8,E10,E8)</f>
        <v>KLAJBER / IVANČO</v>
      </c>
      <c r="W13" s="56"/>
      <c r="X13" s="56"/>
      <c r="Y13" s="56"/>
      <c r="AD13" s="63"/>
      <c r="AG13" s="56"/>
      <c r="AH13" s="56"/>
      <c r="AI13" s="56"/>
      <c r="AJ13" s="56"/>
      <c r="AK13" s="56"/>
      <c r="BN13" s="56"/>
      <c r="BO13" s="56"/>
      <c r="BR13" s="49">
        <f>IF(BS13="x",0,MAX(BR$5:$BR12)+1)</f>
        <v>3</v>
      </c>
      <c r="BS13" s="57" t="str">
        <f>IF(G13=E12,E14,E12)</f>
        <v>MACKO / GREGOR</v>
      </c>
      <c r="BT13" s="63"/>
      <c r="BW13" s="56"/>
      <c r="BX13" s="56"/>
      <c r="BY13" s="56"/>
      <c r="BZ13" s="56"/>
      <c r="CA13" s="56"/>
      <c r="CF13" s="63"/>
      <c r="CI13" s="56"/>
      <c r="CJ13" s="56"/>
      <c r="CK13" s="56"/>
      <c r="CL13" s="56"/>
      <c r="CM13" s="56"/>
      <c r="CY13" s="49">
        <v>10</v>
      </c>
      <c r="CZ13" s="59" t="s">
        <v>120</v>
      </c>
      <c r="DA13" s="59" t="s">
        <v>120</v>
      </c>
      <c r="DB13" s="59" t="s">
        <v>120</v>
      </c>
      <c r="DC13" s="59" t="s">
        <v>121</v>
      </c>
      <c r="DD13" s="59" t="s">
        <v>121</v>
      </c>
      <c r="DE13" s="59" t="s">
        <v>121</v>
      </c>
      <c r="DF13" s="59" t="s">
        <v>121</v>
      </c>
      <c r="DG13" s="59" t="s">
        <v>121</v>
      </c>
    </row>
    <row r="14" spans="1:111" ht="60" customHeight="1" thickBot="1">
      <c r="A14" s="49" t="s">
        <v>238</v>
      </c>
      <c r="B14" s="536">
        <v>3</v>
      </c>
      <c r="C14" s="544">
        <f t="shared" ref="C14" si="5">IF(HLOOKUP($H$1,$CZ$3:$DG$19,D14+1,0)="x","X",D14)</f>
        <v>6</v>
      </c>
      <c r="D14" s="545">
        <v>6</v>
      </c>
      <c r="E14" s="108" t="str">
        <f>IF(ISERROR(IF($J$1="n","",IF($J$1="a",VLOOKUP(C14,vylosovanie!$D$75:$O$107,11,0),"")))=TRUE,"",IF($J$1="n","",IF($J$1="a",VLOOKUP(C14,vylosovanie!$D$75:$O$107,11,0),"")))</f>
        <v>MACKO / GREGOR</v>
      </c>
      <c r="F14" s="114" t="str">
        <f>IF(ISERROR(IF($J$1="n","",IF($J$1="a",VLOOKUP(C14,vylosovanie!$D$75:$O$107,12,0),"")))=TRUE,"",IF($J$1="n","",IF($J$1="a",VLOOKUP(C14,vylosovanie!$D$75:$O$107,12,0),"")))</f>
        <v>ŠKST KARLOVA VES / ŠKST KARLOVA VES</v>
      </c>
      <c r="G14" s="115" t="str">
        <f>IF(G13="","",IF(OR(C12="x",C14="x"),"",VLOOKUP($A12,'zapisy k stolom'!$Y$5:$AC$3073,4,0)))</f>
        <v xml:space="preserve">3:2 ( -10,11,-9,9,9,, ) </v>
      </c>
      <c r="H14" s="116"/>
      <c r="I14" s="116"/>
      <c r="J14" s="116"/>
      <c r="K14" s="57"/>
      <c r="L14" s="60" t="str">
        <f t="shared" si="0"/>
        <v>CH4P32</v>
      </c>
      <c r="M14" s="52" t="str">
        <f>E14</f>
        <v>MACKO / GREGOR</v>
      </c>
      <c r="R14" s="63"/>
      <c r="T14" s="55">
        <f t="shared" si="1"/>
        <v>11</v>
      </c>
      <c r="U14" s="170">
        <v>11</v>
      </c>
      <c r="V14" s="169" t="str">
        <f>IF(G13=E12,E14,E12)</f>
        <v>MACKO / GREGOR</v>
      </c>
      <c r="W14" s="56"/>
      <c r="X14" s="56"/>
      <c r="Y14" s="56"/>
      <c r="AD14" s="63"/>
      <c r="AG14" s="56"/>
      <c r="AH14" s="56"/>
      <c r="AI14" s="56"/>
      <c r="AJ14" s="56"/>
      <c r="AK14" s="56"/>
      <c r="BN14" s="56"/>
      <c r="BO14" s="56"/>
      <c r="BR14" s="49"/>
      <c r="BT14" s="63"/>
      <c r="BW14" s="56"/>
      <c r="BX14" s="56"/>
      <c r="BY14" s="56"/>
      <c r="BZ14" s="56"/>
      <c r="CA14" s="56"/>
      <c r="CF14" s="63"/>
      <c r="CI14" s="56"/>
      <c r="CJ14" s="56"/>
      <c r="CK14" s="56"/>
      <c r="CL14" s="56"/>
      <c r="CM14" s="56"/>
      <c r="CY14" s="49">
        <v>11</v>
      </c>
      <c r="CZ14" s="59" t="s">
        <v>120</v>
      </c>
      <c r="DA14" s="59" t="s">
        <v>120</v>
      </c>
      <c r="DB14" s="59" t="s">
        <v>120</v>
      </c>
      <c r="DC14" s="59" t="s">
        <v>120</v>
      </c>
      <c r="DD14" s="59" t="s">
        <v>120</v>
      </c>
      <c r="DE14" s="59" t="s">
        <v>120</v>
      </c>
      <c r="DF14" s="59" t="s">
        <v>121</v>
      </c>
      <c r="DG14" s="59" t="s">
        <v>121</v>
      </c>
    </row>
    <row r="15" spans="1:111" ht="60" customHeight="1" thickBot="1">
      <c r="A15" s="49" t="s">
        <v>239</v>
      </c>
      <c r="B15" s="536"/>
      <c r="C15" s="544"/>
      <c r="D15" s="545"/>
      <c r="G15" s="122" t="s">
        <v>241</v>
      </c>
      <c r="H15" s="121" t="str">
        <f>VLOOKUP($A13,'zapisy k stolom'!$Y$5:$AC$3073,3,0)</f>
        <v>FEČO / PAPÁNEK</v>
      </c>
      <c r="I15" s="116"/>
      <c r="J15" s="116"/>
      <c r="K15" s="57"/>
      <c r="L15" s="60" t="str">
        <f t="shared" si="0"/>
        <v>CH4P132</v>
      </c>
      <c r="M15" s="52" t="str">
        <f>H15</f>
        <v>FEČO / PAPÁNEK</v>
      </c>
      <c r="R15" s="63"/>
      <c r="T15" s="55">
        <f t="shared" si="1"/>
        <v>12</v>
      </c>
      <c r="U15" s="170">
        <v>12</v>
      </c>
      <c r="V15" s="169" t="str">
        <f>IF(G17=E16,E18,E16)</f>
        <v>FEČO / KAPUSTA</v>
      </c>
      <c r="W15" s="56"/>
      <c r="X15" s="56"/>
      <c r="Y15" s="56"/>
      <c r="AD15" s="63"/>
      <c r="AG15" s="56"/>
      <c r="AH15" s="56"/>
      <c r="AI15" s="56"/>
      <c r="AJ15" s="56"/>
      <c r="AK15" s="56"/>
      <c r="BN15" s="56"/>
      <c r="BO15" s="56"/>
      <c r="BR15" s="49"/>
      <c r="BT15" s="72" t="str">
        <f>IF(H15=G13,G17,G13)</f>
        <v>FUSEK / FREUND</v>
      </c>
      <c r="BW15" s="56"/>
      <c r="BX15" s="56"/>
      <c r="BY15" s="56"/>
      <c r="BZ15" s="56"/>
      <c r="CA15" s="56"/>
      <c r="CF15" s="63"/>
      <c r="CI15" s="56"/>
      <c r="CJ15" s="56"/>
      <c r="CK15" s="56"/>
      <c r="CL15" s="56"/>
      <c r="CM15" s="56"/>
      <c r="CY15" s="49">
        <v>12</v>
      </c>
      <c r="CZ15" s="59" t="s">
        <v>120</v>
      </c>
      <c r="DA15" s="59" t="s">
        <v>120</v>
      </c>
      <c r="DB15" s="59" t="s">
        <v>120</v>
      </c>
      <c r="DC15" s="59" t="s">
        <v>120</v>
      </c>
      <c r="DD15" s="59" t="s">
        <v>120</v>
      </c>
      <c r="DE15" s="59" t="s">
        <v>120</v>
      </c>
      <c r="DF15" s="59" t="s">
        <v>120</v>
      </c>
      <c r="DG15" s="59" t="s">
        <v>120</v>
      </c>
    </row>
    <row r="16" spans="1:111" ht="60" customHeight="1" thickBot="1">
      <c r="A16" s="49" t="s">
        <v>240</v>
      </c>
      <c r="B16" s="536">
        <v>3</v>
      </c>
      <c r="C16" s="544">
        <f t="shared" ref="C16" si="6">IF(HLOOKUP($H$1,$CZ$3:$DG$19,D16+1,0)="x","X",D16)</f>
        <v>7</v>
      </c>
      <c r="D16" s="545">
        <v>7</v>
      </c>
      <c r="E16" s="107" t="str">
        <f>IF(ISERROR(IF($J$1="n","",IF($J$1="a",VLOOKUP(C16,vylosovanie!$D$75:$O$107,11,0),"")))=TRUE,"",IF($J$1="n","",IF($J$1="a",VLOOKUP(C16,vylosovanie!$D$75:$O$107,11,0),"")))</f>
        <v>FEČO / KAPUSTA</v>
      </c>
      <c r="F16" s="108" t="str">
        <f>IF(ISERROR(IF($J$1="n","",IF($J$1="a",VLOOKUP(C16,vylosovanie!$D$75:$O$107,12,0),"")))=TRUE,"",IF($J$1="n","",IF($J$1="a",VLOOKUP(C16,vylosovanie!$D$75:$O$107,12,0),"")))</f>
        <v>MŠK VSTK VRANOV NAD TOPĽOU / MSK ČADCA</v>
      </c>
      <c r="G16" s="124" t="str">
        <f>VLOOKUP($A13,'zapisy k stolom'!$Y$5:$AC$3073,5,0)</f>
        <v>Tbl.: 2   H: 17.00   D: So</v>
      </c>
      <c r="H16" s="144" t="str">
        <f>IF(H15="","",VLOOKUP($A13,'zapisy k stolom'!$Y$5:$AC$3073,4,0))</f>
        <v xml:space="preserve">3:1 ( -9,10,3,6,,, ) </v>
      </c>
      <c r="I16" s="110"/>
      <c r="J16" s="116"/>
      <c r="K16" s="57"/>
      <c r="L16" s="60" t="str">
        <f t="shared" si="0"/>
        <v>CH4P41</v>
      </c>
      <c r="M16" s="52" t="str">
        <f>E16</f>
        <v>FEČO / KAPUSTA</v>
      </c>
      <c r="P16" s="52" t="str">
        <f>IF(('[1]S 4'!$Y78=4),'[1]S 4'!$E78,IF(('[1]S 4'!$Y79=4),'[1]S 4'!$E79,IF(('[1]S 4'!$Y80=4),'[1]S 4'!$E80,IF(('[1]S 4'!$Y81=4),'[1]S 4'!$E81," "))))</f>
        <v xml:space="preserve"> </v>
      </c>
      <c r="T16" s="55">
        <f t="shared" si="1"/>
        <v>13</v>
      </c>
      <c r="U16" s="170">
        <v>13</v>
      </c>
      <c r="V16" s="169" t="str">
        <f>IF(G21=E20,E22,E20)</f>
        <v>SUCHA / MIKLUŠČÁK</v>
      </c>
      <c r="BR16" s="49"/>
      <c r="CY16" s="49">
        <v>13</v>
      </c>
      <c r="CZ16" s="59" t="s">
        <v>120</v>
      </c>
      <c r="DA16" s="59" t="s">
        <v>120</v>
      </c>
      <c r="DB16" s="59" t="s">
        <v>120</v>
      </c>
      <c r="DC16" s="59" t="s">
        <v>120</v>
      </c>
      <c r="DD16" s="59" t="s">
        <v>120</v>
      </c>
      <c r="DE16" s="59" t="s">
        <v>120</v>
      </c>
      <c r="DF16" s="59" t="s">
        <v>120</v>
      </c>
      <c r="DG16" s="59" t="s">
        <v>120</v>
      </c>
    </row>
    <row r="17" spans="1:111" ht="60" customHeight="1" thickBot="1">
      <c r="A17" s="49" t="s">
        <v>242</v>
      </c>
      <c r="B17" s="536"/>
      <c r="C17" s="544"/>
      <c r="D17" s="545"/>
      <c r="E17" s="111" t="str">
        <f>VLOOKUP($A16,'zapisy k stolom'!$Y$5:$AC$3073,5,0)</f>
        <v>Tbl.: 4   H: 13.55   D: So</v>
      </c>
      <c r="F17" s="117" t="s">
        <v>243</v>
      </c>
      <c r="G17" s="121" t="str">
        <f>IF(C16="x",E18,IF(C18="x",E16,VLOOKUP($A16,'zapisy k stolom'!$Y$5:$AC$3073,3,0)))</f>
        <v>FEČO / PAPÁNEK</v>
      </c>
      <c r="H17" s="116"/>
      <c r="I17" s="110"/>
      <c r="J17" s="116"/>
      <c r="K17" s="57"/>
      <c r="L17" s="60" t="str">
        <f t="shared" si="0"/>
        <v>CH4P102</v>
      </c>
      <c r="M17" s="52" t="str">
        <f>G17</f>
        <v>FEČO / PAPÁNEK</v>
      </c>
      <c r="P17" s="52" t="str">
        <f>IF(('[1]S 4'!$Y84=4),'[1]S 4'!$E84,IF(('[1]S 4'!$Y85=4),'[1]S 4'!$E85,IF(('[1]S 4'!$Y86=4),'[1]S 4'!$E86,IF(('[1]S 4'!$Y87=4),'[1]S 4'!$E87," "))))</f>
        <v xml:space="preserve"> </v>
      </c>
      <c r="R17" s="63"/>
      <c r="S17" s="64"/>
      <c r="T17" s="55">
        <f t="shared" si="1"/>
        <v>14</v>
      </c>
      <c r="U17" s="170">
        <v>14</v>
      </c>
      <c r="V17" s="169" t="str">
        <f>IF(G25=E24,E26,E24)</f>
        <v>TRŇAN / TRUBÁČIK</v>
      </c>
      <c r="Y17" s="531"/>
      <c r="Z17" s="531"/>
      <c r="AA17" s="531"/>
      <c r="AD17" s="63"/>
      <c r="AE17" s="64"/>
      <c r="AK17" s="531"/>
      <c r="AL17" s="531"/>
      <c r="AM17" s="531"/>
      <c r="BB17" s="76"/>
      <c r="BC17" s="77"/>
      <c r="BD17" s="68"/>
      <c r="BE17" s="68"/>
      <c r="BF17" s="68"/>
      <c r="BG17" s="68"/>
      <c r="BH17" s="68"/>
      <c r="BI17" s="533"/>
      <c r="BJ17" s="533"/>
      <c r="BK17" s="533"/>
      <c r="BL17" s="67"/>
      <c r="BO17" s="531"/>
      <c r="BP17" s="531"/>
      <c r="BQ17" s="531"/>
      <c r="BR17" s="49">
        <f>IF(BS17="x",0,MAX(BR$5:$BR16)+1)</f>
        <v>4</v>
      </c>
      <c r="BS17" s="57" t="str">
        <f>IF(G17=E16,E18,E16)</f>
        <v>FEČO / KAPUSTA</v>
      </c>
      <c r="BT17" s="63"/>
      <c r="BU17" s="64"/>
      <c r="CA17" s="531"/>
      <c r="CB17" s="531"/>
      <c r="CC17" s="531"/>
      <c r="CF17" s="63"/>
      <c r="CG17" s="64"/>
      <c r="CM17" s="531"/>
      <c r="CN17" s="531"/>
      <c r="CO17" s="531"/>
      <c r="CY17" s="49">
        <v>14</v>
      </c>
      <c r="CZ17" s="59" t="s">
        <v>120</v>
      </c>
      <c r="DA17" s="59" t="s">
        <v>120</v>
      </c>
      <c r="DB17" s="59" t="s">
        <v>120</v>
      </c>
      <c r="DC17" s="59" t="s">
        <v>120</v>
      </c>
      <c r="DD17" s="59" t="s">
        <v>120</v>
      </c>
      <c r="DE17" s="59" t="s">
        <v>120</v>
      </c>
      <c r="DF17" s="59" t="s">
        <v>120</v>
      </c>
      <c r="DG17" s="59" t="s">
        <v>121</v>
      </c>
    </row>
    <row r="18" spans="1:111" ht="60" customHeight="1" thickBot="1">
      <c r="A18" s="49" t="s">
        <v>244</v>
      </c>
      <c r="B18" s="542">
        <v>1</v>
      </c>
      <c r="C18" s="544">
        <f t="shared" ref="C18" si="7">IF(HLOOKUP($H$1,$CZ$3:$DG$19,D18+1,0)="x","X",D18)</f>
        <v>8</v>
      </c>
      <c r="D18" s="545">
        <v>8</v>
      </c>
      <c r="E18" s="108" t="str">
        <f>IF(ISERROR(IF($J$1="n","",IF($J$1="a",VLOOKUP(C18,vylosovanie!$D$75:$O$107,11,0),"")))=TRUE,"",IF($J$1="n","",IF($J$1="a",VLOOKUP(C18,vylosovanie!$D$75:$O$107,11,0),"")))</f>
        <v>FEČO / PAPÁNEK</v>
      </c>
      <c r="F18" s="114" t="str">
        <f>IF(ISERROR(IF($J$1="n","",IF($J$1="a",VLOOKUP(C18,vylosovanie!$D$75:$O$107,12,0),"")))=TRUE,"",IF($J$1="n","",IF($J$1="a",VLOOKUP(C18,vylosovanie!$D$75:$O$107,12,0),"")))</f>
        <v>MŠK VSTK VRANOV NAD TOPĽOU / STK NOVÁ BAŇA/PODLUŽANY</v>
      </c>
      <c r="G18" s="144" t="str">
        <f>IF(G17="","",IF(OR(C16="x",C18="x"),"",VLOOKUP($A16,'zapisy k stolom'!$Y$5:$AC$3073,4,0)))</f>
        <v xml:space="preserve">3:0 ( 7,9,6,,,, ) </v>
      </c>
      <c r="H18" s="110"/>
      <c r="I18" s="110"/>
      <c r="J18" s="116"/>
      <c r="K18" s="57"/>
      <c r="L18" s="60" t="str">
        <f t="shared" si="0"/>
        <v>CH4P42</v>
      </c>
      <c r="M18" s="52" t="str">
        <f>E18</f>
        <v>FEČO / PAPÁNEK</v>
      </c>
      <c r="P18" s="52" t="str">
        <f>IF(('[1]S 4'!$Y90=4),'[1]S 4'!$E90,IF(('[1]S 4'!$Y91=4),'[1]S 4'!$E91,IF(('[1]S 4'!$Y92=4),'[1]S 4'!$E92,IF(('[1]S 4'!$Y93=4),'[1]S 4'!$E93," "))))</f>
        <v xml:space="preserve"> </v>
      </c>
      <c r="R18" s="63"/>
      <c r="T18" s="55">
        <f t="shared" si="1"/>
        <v>15</v>
      </c>
      <c r="U18" s="170">
        <v>15</v>
      </c>
      <c r="V18" s="169" t="str">
        <f>IF(G29=E28,E30,E28)</f>
        <v>ZAJAC / MAKÚCH</v>
      </c>
      <c r="W18" s="56"/>
      <c r="X18" s="56"/>
      <c r="Y18" s="56"/>
      <c r="AD18" s="63"/>
      <c r="AG18" s="56"/>
      <c r="AH18" s="56"/>
      <c r="AI18" s="56"/>
      <c r="AJ18" s="56"/>
      <c r="AK18" s="56"/>
      <c r="BB18" s="76"/>
      <c r="BC18" s="67"/>
      <c r="BD18" s="68"/>
      <c r="BE18" s="69"/>
      <c r="BF18" s="69"/>
      <c r="BG18" s="69"/>
      <c r="BH18" s="69"/>
      <c r="BI18" s="69"/>
      <c r="BJ18" s="68"/>
      <c r="BK18" s="69"/>
      <c r="BL18" s="67"/>
      <c r="BN18" s="56"/>
      <c r="BO18" s="56"/>
      <c r="BR18" s="49"/>
      <c r="BT18" s="63"/>
      <c r="BW18" s="56"/>
      <c r="BX18" s="56"/>
      <c r="BY18" s="56"/>
      <c r="BZ18" s="56"/>
      <c r="CA18" s="56"/>
      <c r="CF18" s="63"/>
      <c r="CI18" s="56"/>
      <c r="CJ18" s="56"/>
      <c r="CK18" s="56"/>
      <c r="CL18" s="56"/>
      <c r="CM18" s="56"/>
      <c r="CY18" s="49">
        <v>15</v>
      </c>
      <c r="CZ18" s="59" t="s">
        <v>120</v>
      </c>
      <c r="DA18" s="59" t="s">
        <v>120</v>
      </c>
      <c r="DB18" s="59" t="s">
        <v>121</v>
      </c>
      <c r="DC18" s="59" t="s">
        <v>121</v>
      </c>
      <c r="DD18" s="59" t="s">
        <v>121</v>
      </c>
      <c r="DE18" s="59" t="s">
        <v>121</v>
      </c>
      <c r="DF18" s="59" t="s">
        <v>121</v>
      </c>
      <c r="DG18" s="59" t="s">
        <v>121</v>
      </c>
    </row>
    <row r="19" spans="1:111" ht="60" customHeight="1" thickBot="1">
      <c r="B19" s="542"/>
      <c r="C19" s="544"/>
      <c r="D19" s="545"/>
      <c r="G19" s="106"/>
      <c r="H19" s="110"/>
      <c r="I19" s="122" t="s">
        <v>246</v>
      </c>
      <c r="J19" s="121" t="str">
        <f>VLOOKUP($A11,'zapisy k stolom'!$Y$5:$AC$3073,3,0)</f>
        <v>ĎANOVSKÝ / MILAN</v>
      </c>
      <c r="K19" s="82"/>
      <c r="L19" s="60"/>
      <c r="M19" s="52"/>
      <c r="P19" s="52" t="str">
        <f>IF(('[1]S 4'!$Y96=4),'[1]S 4'!$E96,IF(('[1]S 4'!$Y97=4),'[1]S 4'!$E97,IF(('[1]S 4'!$Y98=4),'[1]S 4'!$E98,IF(('[1]S 4'!$Y99=4),'[1]S 4'!$E99," "))))</f>
        <v xml:space="preserve"> </v>
      </c>
      <c r="R19" s="63"/>
      <c r="T19" s="55">
        <f t="shared" si="1"/>
        <v>16</v>
      </c>
      <c r="U19" s="170">
        <v>16</v>
      </c>
      <c r="V19" s="169" t="str">
        <f>IF(G33=E32,E34,E32)</f>
        <v>MARUNIAK / KALINKA</v>
      </c>
      <c r="W19" s="56"/>
      <c r="X19" s="56"/>
      <c r="Y19" s="56"/>
      <c r="AD19" s="63"/>
      <c r="AG19" s="56"/>
      <c r="AH19" s="56"/>
      <c r="AI19" s="56"/>
      <c r="AJ19" s="56"/>
      <c r="AK19" s="56"/>
      <c r="BB19" s="76"/>
      <c r="BC19" s="67"/>
      <c r="BD19" s="68"/>
      <c r="BE19" s="69"/>
      <c r="BF19" s="69"/>
      <c r="BG19" s="69"/>
      <c r="BH19" s="69"/>
      <c r="BI19" s="69"/>
      <c r="BJ19" s="68"/>
      <c r="BK19" s="69"/>
      <c r="BL19" s="67"/>
      <c r="BN19" s="56"/>
      <c r="BO19" s="56"/>
      <c r="BR19" s="49"/>
      <c r="BT19" s="63"/>
      <c r="BW19" s="56"/>
      <c r="BX19" s="56"/>
      <c r="BY19" s="56"/>
      <c r="BZ19" s="56"/>
      <c r="CA19" s="56"/>
      <c r="CF19" s="63"/>
      <c r="CI19" s="56"/>
      <c r="CJ19" s="56"/>
      <c r="CK19" s="56"/>
      <c r="CL19" s="56"/>
      <c r="CM19" s="56"/>
      <c r="CY19" s="49">
        <v>16</v>
      </c>
      <c r="CZ19" s="59" t="s">
        <v>120</v>
      </c>
      <c r="DA19" s="59" t="s">
        <v>120</v>
      </c>
      <c r="DB19" s="59" t="s">
        <v>120</v>
      </c>
      <c r="DC19" s="59" t="s">
        <v>120</v>
      </c>
      <c r="DD19" s="59" t="s">
        <v>120</v>
      </c>
      <c r="DE19" s="59" t="s">
        <v>120</v>
      </c>
      <c r="DF19" s="59" t="s">
        <v>120</v>
      </c>
      <c r="DG19" s="59" t="s">
        <v>120</v>
      </c>
    </row>
    <row r="20" spans="1:111" ht="60" customHeight="1" thickBot="1">
      <c r="A20" s="49" t="s">
        <v>245</v>
      </c>
      <c r="B20" s="542">
        <v>1</v>
      </c>
      <c r="C20" s="544">
        <f t="shared" ref="C20" si="8">IF(HLOOKUP($H$1,$CZ$3:$DG$19,D20+1,0)="x","X",D20)</f>
        <v>9</v>
      </c>
      <c r="D20" s="545">
        <v>9</v>
      </c>
      <c r="E20" s="107" t="str">
        <f>IF(ISERROR(IF($J$1="n","",IF($J$1="a",VLOOKUP(C20,vylosovanie!$D$75:$O$107,11,0),"")))=TRUE,"",IF($J$1="n","",IF($J$1="a",VLOOKUP(C20,vylosovanie!$D$75:$O$107,11,0),"")))</f>
        <v>PETRÍK / TUREK</v>
      </c>
      <c r="F20" s="108" t="str">
        <f>IF(ISERROR(IF($J$1="n","",IF($J$1="a",VLOOKUP(C20,vylosovanie!$D$75:$O$107,12,0),"")))=TRUE,"",IF($J$1="n","",IF($J$1="a",VLOOKUP(C20,vylosovanie!$D$75:$O$107,12,0),"")))</f>
        <v>KST PLUS40 TREBIŠOV/ŠKST MICHALOVCE / ŠK ŠOG NITRA</v>
      </c>
      <c r="G20" s="109"/>
      <c r="H20" s="110"/>
      <c r="I20" s="126" t="str">
        <f>VLOOKUP($A11,'zapisy k stolom'!$Y$5:$AC$3073,5,0)</f>
        <v>Tbl.: 1   H: 11.30   D: Ne</v>
      </c>
      <c r="J20" s="115" t="str">
        <f>IF(J19="","",VLOOKUP($A11,'zapisy k stolom'!$Y$5:$AC$3073,4,0))</f>
        <v xml:space="preserve">3:0 ( 7,4,10,,,, ) </v>
      </c>
      <c r="K20" s="82"/>
      <c r="L20" s="60" t="str">
        <f t="shared" si="0"/>
        <v>CH4P51</v>
      </c>
      <c r="M20" s="52" t="str">
        <f>E20</f>
        <v>PETRÍK / TUREK</v>
      </c>
      <c r="P20" s="52" t="str">
        <f>IF(('[1]S 4'!$Y102=4),'[1]S 4'!$E102,IF(('[1]S 4'!$Y103=4),'[1]S 4'!$E103,IF(('[1]S 4'!$Y104=4),'[1]S 4'!$E104,IF(('[1]S 4'!$Y105=4),'[1]S 4'!$E105," "))))</f>
        <v xml:space="preserve"> </v>
      </c>
      <c r="R20" s="63"/>
      <c r="S20" s="58" t="s">
        <v>385</v>
      </c>
      <c r="T20" s="169">
        <f>MAX(T4:T19)</f>
        <v>16</v>
      </c>
      <c r="V20" s="170"/>
      <c r="W20" s="56"/>
      <c r="X20" s="56"/>
      <c r="Y20" s="56"/>
      <c r="AD20" s="63"/>
      <c r="AG20" s="56"/>
      <c r="AH20" s="56"/>
      <c r="AI20" s="56"/>
      <c r="AJ20" s="56"/>
      <c r="AK20" s="56"/>
      <c r="BB20" s="76"/>
      <c r="BC20" s="67"/>
      <c r="BD20" s="68"/>
      <c r="BE20" s="69"/>
      <c r="BF20" s="69"/>
      <c r="BG20" s="69"/>
      <c r="BH20" s="69"/>
      <c r="BI20" s="69"/>
      <c r="BJ20" s="68"/>
      <c r="BK20" s="69"/>
      <c r="BL20" s="67"/>
      <c r="BN20" s="56"/>
      <c r="BO20" s="56"/>
      <c r="BR20" s="49"/>
      <c r="BT20" s="63"/>
      <c r="BW20" s="56"/>
      <c r="BX20" s="56"/>
      <c r="BY20" s="56"/>
      <c r="BZ20" s="56"/>
      <c r="CA20" s="56"/>
      <c r="CF20" s="63"/>
      <c r="CI20" s="56"/>
      <c r="CJ20" s="56"/>
      <c r="CK20" s="56"/>
      <c r="CL20" s="56"/>
      <c r="CM20" s="56"/>
    </row>
    <row r="21" spans="1:111" ht="60" customHeight="1" thickBot="1">
      <c r="A21" s="49" t="s">
        <v>247</v>
      </c>
      <c r="B21" s="542"/>
      <c r="C21" s="544"/>
      <c r="D21" s="545"/>
      <c r="E21" s="111" t="str">
        <f>VLOOKUP($A20,'zapisy k stolom'!$Y$5:$AC$3073,5,0)</f>
        <v>Tbl.: 5   H: 13.55   D: So</v>
      </c>
      <c r="F21" s="112" t="s">
        <v>248</v>
      </c>
      <c r="G21" s="113" t="str">
        <f>IF(C20="x",E22,IF(C22="x",E20,VLOOKUP($A20,'zapisy k stolom'!$Y$5:$AC$3073,3,0)))</f>
        <v>PETRÍK / TUREK</v>
      </c>
      <c r="H21" s="109"/>
      <c r="I21" s="110"/>
      <c r="J21" s="116"/>
      <c r="K21" s="57"/>
      <c r="L21" s="60" t="str">
        <f t="shared" si="0"/>
        <v>CH4P111</v>
      </c>
      <c r="M21" s="52" t="str">
        <f>G21</f>
        <v>PETRÍK / TUREK</v>
      </c>
      <c r="P21" s="52" t="str">
        <f>IF(('[1]S 4'!$Y108=4),'[1]S 4'!$E108,IF(('[1]S 4'!$Y109=4),'[1]S 4'!$E109,IF(('[1]S 4'!$Y110=4),'[1]S 4'!$E110,IF(('[1]S 4'!$Y111=4),'[1]S 4'!$E111," "))))</f>
        <v xml:space="preserve"> </v>
      </c>
      <c r="R21" s="63"/>
      <c r="V21" s="170"/>
      <c r="W21" s="56"/>
      <c r="X21" s="56"/>
      <c r="Y21" s="56"/>
      <c r="AD21" s="63"/>
      <c r="AG21" s="56"/>
      <c r="AH21" s="56"/>
      <c r="AI21" s="56"/>
      <c r="AJ21" s="56"/>
      <c r="AK21" s="56"/>
      <c r="BB21" s="76"/>
      <c r="BC21" s="67"/>
      <c r="BD21" s="68"/>
      <c r="BE21" s="69"/>
      <c r="BF21" s="69"/>
      <c r="BG21" s="69"/>
      <c r="BH21" s="69"/>
      <c r="BI21" s="69"/>
      <c r="BJ21" s="68"/>
      <c r="BK21" s="69"/>
      <c r="BL21" s="67"/>
      <c r="BN21" s="56"/>
      <c r="BO21" s="56"/>
      <c r="BR21" s="49">
        <f>IF(BS21="x",0,MAX(BR$5:$BR20)+1)</f>
        <v>5</v>
      </c>
      <c r="BS21" s="57" t="str">
        <f>IF(G21=E20,E22,E20)</f>
        <v>SUCHA / MIKLUŠČÁK</v>
      </c>
      <c r="BT21" s="63"/>
      <c r="BW21" s="56"/>
      <c r="BX21" s="56"/>
      <c r="BY21" s="56"/>
      <c r="BZ21" s="56"/>
      <c r="CA21" s="56"/>
      <c r="CF21" s="63"/>
      <c r="CI21" s="56"/>
      <c r="CJ21" s="56"/>
      <c r="CK21" s="56"/>
      <c r="CL21" s="56"/>
      <c r="CM21" s="56"/>
    </row>
    <row r="22" spans="1:111" ht="60" customHeight="1" thickBot="1">
      <c r="A22" s="49" t="s">
        <v>249</v>
      </c>
      <c r="B22" s="536">
        <v>3</v>
      </c>
      <c r="C22" s="544">
        <f t="shared" ref="C22" si="9">IF(HLOOKUP($H$1,$CZ$3:$DG$19,D22+1,0)="x","X",D22)</f>
        <v>10</v>
      </c>
      <c r="D22" s="545">
        <v>10</v>
      </c>
      <c r="E22" s="108" t="str">
        <f>IF(ISERROR(IF($J$1="n","",IF($J$1="a",VLOOKUP(C22,vylosovanie!$D$75:$O$107,11,0),"")))=TRUE,"",IF($J$1="n","",IF($J$1="a",VLOOKUP(C22,vylosovanie!$D$75:$O$107,11,0),"")))</f>
        <v>SUCHA / MIKLUŠČÁK</v>
      </c>
      <c r="F22" s="114" t="str">
        <f>IF(ISERROR(IF($J$1="n","",IF($J$1="a",VLOOKUP(C22,vylosovanie!$D$75:$O$107,12,0),"")))=TRUE,"",IF($J$1="n","",IF($J$1="a",VLOOKUP(C22,vylosovanie!$D$75:$O$107,12,0),"")))</f>
        <v>ŠKST KARLOVA VES / ŠKST KARLOVA VES</v>
      </c>
      <c r="G22" s="115" t="str">
        <f>IF(G21="","",IF(OR(C20="x",C22="x"),"",VLOOKUP($A20,'zapisy k stolom'!$Y$5:$AC$3073,4,0)))</f>
        <v xml:space="preserve">3:0 ( 3,9,4,,,, ) </v>
      </c>
      <c r="H22" s="116"/>
      <c r="I22" s="110"/>
      <c r="J22" s="116"/>
      <c r="K22" s="57"/>
      <c r="L22" s="60" t="str">
        <f t="shared" si="0"/>
        <v>CH4P52</v>
      </c>
      <c r="M22" s="52" t="str">
        <f>E22</f>
        <v>SUCHA / MIKLUŠČÁK</v>
      </c>
      <c r="P22" s="52" t="str">
        <f>IF(('[1]S 4'!$Y114=4),'[1]S 4'!$E114,IF(('[1]S 4'!$Y115=4),'[1]S 4'!$E115,IF(('[1]S 4'!$Y116=4),'[1]S 4'!$E116,IF(('[1]S 4'!$Y117=4),'[1]S 4'!$E117," "))))</f>
        <v xml:space="preserve"> </v>
      </c>
      <c r="BB22" s="67"/>
      <c r="BC22" s="67"/>
      <c r="BD22" s="68"/>
      <c r="BE22" s="68"/>
      <c r="BF22" s="68"/>
      <c r="BG22" s="68"/>
      <c r="BH22" s="68"/>
      <c r="BI22" s="68"/>
      <c r="BJ22" s="68"/>
      <c r="BK22" s="69"/>
      <c r="BL22" s="67"/>
      <c r="BR22" s="49"/>
    </row>
    <row r="23" spans="1:111" ht="60" customHeight="1" thickBot="1">
      <c r="A23" s="49" t="s">
        <v>250</v>
      </c>
      <c r="B23" s="536"/>
      <c r="C23" s="544"/>
      <c r="D23" s="545"/>
      <c r="G23" s="117" t="s">
        <v>223</v>
      </c>
      <c r="H23" s="118" t="str">
        <f>VLOOKUP($A21,'zapisy k stolom'!$Y$5:$AC$3073,3,0)</f>
        <v>ĎANOVSKÝ / MILAN</v>
      </c>
      <c r="I23" s="109"/>
      <c r="J23" s="127"/>
      <c r="K23" s="57"/>
      <c r="L23" s="60" t="str">
        <f t="shared" si="0"/>
        <v>CH4P141</v>
      </c>
      <c r="M23" s="52" t="str">
        <f>H23</f>
        <v>ĎANOVSKÝ / MILAN</v>
      </c>
      <c r="P23" s="52" t="str">
        <f>IF(('[1]S 4'!$Y120=4),'[1]S 4'!$E120,IF(('[1]S 4'!$Y121=4),'[1]S 4'!$E121,IF(('[1]S 4'!$Y122=4),'[1]S 4'!$E122,IF(('[1]S 4'!$Y123=4),'[1]S 4'!$E123," "))))</f>
        <v xml:space="preserve"> </v>
      </c>
      <c r="R23" s="63"/>
      <c r="S23" s="64"/>
      <c r="Y23" s="531"/>
      <c r="Z23" s="531"/>
      <c r="AA23" s="531"/>
      <c r="AD23" s="63"/>
      <c r="AE23" s="64"/>
      <c r="AK23" s="531"/>
      <c r="AL23" s="531"/>
      <c r="AM23" s="531"/>
      <c r="BB23" s="76"/>
      <c r="BC23" s="77"/>
      <c r="BD23" s="68"/>
      <c r="BE23" s="68"/>
      <c r="BF23" s="68"/>
      <c r="BG23" s="68"/>
      <c r="BH23" s="68"/>
      <c r="BI23" s="533"/>
      <c r="BJ23" s="533"/>
      <c r="BK23" s="533"/>
      <c r="BL23" s="67"/>
      <c r="BO23" s="531"/>
      <c r="BP23" s="531"/>
      <c r="BQ23" s="531"/>
      <c r="BR23" s="49"/>
      <c r="BT23" s="72" t="str">
        <f>IF(H23=G21,G25,G21)</f>
        <v>PETRÍK / TUREK</v>
      </c>
      <c r="BU23" s="64"/>
      <c r="CA23" s="531"/>
      <c r="CB23" s="531"/>
      <c r="CC23" s="531"/>
      <c r="CF23" s="63"/>
      <c r="CG23" s="64"/>
      <c r="CM23" s="531"/>
      <c r="CN23" s="531"/>
      <c r="CO23" s="531"/>
    </row>
    <row r="24" spans="1:111" ht="60" customHeight="1" thickBot="1">
      <c r="A24" s="49" t="s">
        <v>251</v>
      </c>
      <c r="B24" s="536">
        <v>3</v>
      </c>
      <c r="C24" s="544">
        <f t="shared" ref="C24" si="10">IF(HLOOKUP($H$1,$CZ$3:$DG$19,D24+1,0)="x","X",D24)</f>
        <v>11</v>
      </c>
      <c r="D24" s="545">
        <v>11</v>
      </c>
      <c r="E24" s="107" t="str">
        <f>IF(ISERROR(IF($J$1="n","",IF($J$1="a",VLOOKUP(C24,vylosovanie!$D$75:$O$107,11,0),"")))=TRUE,"",IF($J$1="n","",IF($J$1="a",VLOOKUP(C24,vylosovanie!$D$75:$O$107,11,0),"")))</f>
        <v>TRŇAN / TRUBÁČIK</v>
      </c>
      <c r="F24" s="108" t="str">
        <f>IF(ISERROR(IF($J$1="n","",IF($J$1="a",VLOOKUP(C24,vylosovanie!$D$75:$O$107,12,0),"")))=TRUE,"",IF($J$1="n","",IF($J$1="a",VLOOKUP(C24,vylosovanie!$D$75:$O$107,12,0),"")))</f>
        <v>STK RYBNÍK / CVČ ZLATÉ MORAVCE</v>
      </c>
      <c r="G24" s="119" t="str">
        <f>VLOOKUP($A21,'zapisy k stolom'!$Y$5:$AC$3073,5,0)</f>
        <v>Tbl.: 3   H: 17.00   D: So</v>
      </c>
      <c r="H24" s="120" t="str">
        <f>IF(H23="","",VLOOKUP($A21,'zapisy k stolom'!$Y$5:$AC$3073,4,0))</f>
        <v xml:space="preserve">3:2 ( -7,15,-10,8,14,, ) </v>
      </c>
      <c r="I24" s="116"/>
      <c r="J24" s="116"/>
      <c r="K24" s="57"/>
      <c r="L24" s="60" t="str">
        <f t="shared" si="0"/>
        <v>CH4P61</v>
      </c>
      <c r="M24" s="52" t="str">
        <f>E24</f>
        <v>TRŇAN / TRUBÁČIK</v>
      </c>
      <c r="P24" s="52" t="str">
        <f>IF(('[1]S 4'!$Y126=4),'[1]S 4'!$E126,IF(('[1]S 4'!$Y127=4),'[1]S 4'!$E127,IF(('[1]S 4'!$Y128=4),'[1]S 4'!$E128,IF(('[1]S 4'!$Y129=4),'[1]S 4'!$E129," "))))</f>
        <v xml:space="preserve"> </v>
      </c>
      <c r="R24" s="63"/>
      <c r="V24" s="170"/>
      <c r="W24" s="56"/>
      <c r="X24" s="56"/>
      <c r="Y24" s="56"/>
      <c r="AD24" s="63"/>
      <c r="AG24" s="56"/>
      <c r="AH24" s="56"/>
      <c r="AI24" s="56"/>
      <c r="AJ24" s="56"/>
      <c r="AK24" s="56"/>
      <c r="BB24" s="76"/>
      <c r="BC24" s="67"/>
      <c r="BD24" s="68"/>
      <c r="BE24" s="69"/>
      <c r="BF24" s="69"/>
      <c r="BG24" s="69"/>
      <c r="BH24" s="69"/>
      <c r="BI24" s="69"/>
      <c r="BJ24" s="68"/>
      <c r="BK24" s="69"/>
      <c r="BL24" s="67"/>
      <c r="BN24" s="56"/>
      <c r="BO24" s="56"/>
      <c r="BR24" s="49"/>
      <c r="BT24" s="63"/>
      <c r="BW24" s="56"/>
      <c r="BX24" s="56"/>
      <c r="BY24" s="56"/>
      <c r="BZ24" s="56"/>
      <c r="CA24" s="56"/>
      <c r="CF24" s="63"/>
      <c r="CI24" s="56"/>
      <c r="CJ24" s="56"/>
      <c r="CK24" s="56"/>
      <c r="CL24" s="56"/>
      <c r="CM24" s="56"/>
    </row>
    <row r="25" spans="1:111" ht="60" customHeight="1" thickBot="1">
      <c r="A25" s="49" t="s">
        <v>252</v>
      </c>
      <c r="B25" s="536"/>
      <c r="C25" s="544"/>
      <c r="D25" s="545"/>
      <c r="E25" s="111" t="str">
        <f>VLOOKUP($A24,'zapisy k stolom'!$Y$5:$AC$3073,5,0)</f>
        <v>Tbl.: 6   H: 13.55   D: So</v>
      </c>
      <c r="F25" s="117" t="s">
        <v>253</v>
      </c>
      <c r="G25" s="121" t="str">
        <f>IF(C24="x",E26,IF(C26="x",E24,VLOOKUP($A24,'zapisy k stolom'!$Y$5:$AC$3073,3,0)))</f>
        <v>ĎANOVSKÝ / MILAN</v>
      </c>
      <c r="H25" s="116"/>
      <c r="I25" s="116"/>
      <c r="J25" s="116"/>
      <c r="K25" s="57"/>
      <c r="L25" s="60" t="str">
        <f t="shared" si="0"/>
        <v>CH4P112</v>
      </c>
      <c r="M25" s="52" t="str">
        <f>G25</f>
        <v>ĎANOVSKÝ / MILAN</v>
      </c>
      <c r="P25" s="52" t="str">
        <f>IF(('[1]S 4'!$Y132=4),'[1]S 4'!$E132,IF(('[1]S 4'!$Y133=4),'[1]S 4'!$E133,IF(('[1]S 4'!$Y134=4),'[1]S 4'!$E134,IF(('[1]S 4'!$Y135=4),'[1]S 4'!$E135," "))))</f>
        <v xml:space="preserve"> </v>
      </c>
      <c r="R25" s="63"/>
      <c r="V25" s="170"/>
      <c r="W25" s="56"/>
      <c r="X25" s="56"/>
      <c r="Y25" s="56"/>
      <c r="AD25" s="63"/>
      <c r="AG25" s="56"/>
      <c r="AH25" s="56"/>
      <c r="AI25" s="56"/>
      <c r="AJ25" s="56"/>
      <c r="AK25" s="56"/>
      <c r="BB25" s="76"/>
      <c r="BC25" s="67"/>
      <c r="BD25" s="68"/>
      <c r="BE25" s="69"/>
      <c r="BF25" s="69"/>
      <c r="BG25" s="69"/>
      <c r="BH25" s="69"/>
      <c r="BI25" s="69"/>
      <c r="BJ25" s="68"/>
      <c r="BK25" s="69"/>
      <c r="BL25" s="67"/>
      <c r="BN25" s="56"/>
      <c r="BO25" s="56"/>
      <c r="BR25" s="49">
        <f>IF(BS25="x",0,MAX(BR$5:$BR24)+1)</f>
        <v>6</v>
      </c>
      <c r="BS25" s="57" t="str">
        <f>IF(G25=E24,E26,E24)</f>
        <v>TRŇAN / TRUBÁČIK</v>
      </c>
      <c r="BT25" s="63"/>
      <c r="BW25" s="56"/>
      <c r="BX25" s="56"/>
      <c r="BY25" s="56"/>
      <c r="BZ25" s="56"/>
      <c r="CA25" s="56"/>
      <c r="CF25" s="63"/>
      <c r="CI25" s="56"/>
      <c r="CJ25" s="56"/>
      <c r="CK25" s="56"/>
      <c r="CL25" s="56"/>
      <c r="CM25" s="56"/>
    </row>
    <row r="26" spans="1:111" ht="60" customHeight="1" thickBot="1">
      <c r="A26" s="49" t="s">
        <v>254</v>
      </c>
      <c r="B26" s="541">
        <v>2</v>
      </c>
      <c r="C26" s="544">
        <f t="shared" ref="C26" si="11">IF(HLOOKUP($H$1,$CZ$3:$DG$19,D26+1,0)="x","X",D26)</f>
        <v>12</v>
      </c>
      <c r="D26" s="545">
        <v>12</v>
      </c>
      <c r="E26" s="108" t="str">
        <f>IF(ISERROR(IF($J$1="n","",IF($J$1="a",VLOOKUP(C26,vylosovanie!$D$75:$O$107,11,0),"")))=TRUE,"",IF($J$1="n","",IF($J$1="a",VLOOKUP(C26,vylosovanie!$D$75:$O$107,11,0),"")))</f>
        <v>ĎANOVSKÝ / MILAN</v>
      </c>
      <c r="F26" s="114" t="str">
        <f>IF(ISERROR(IF($J$1="n","",IF($J$1="a",VLOOKUP(C26,vylosovanie!$D$75:$O$107,12,0),"")))=TRUE,"",IF($J$1="n","",IF($J$1="a",VLOOKUP(C26,vylosovanie!$D$75:$O$107,12,0),"")))</f>
        <v>LOKOMOTÍVA VRÚTKY / 1.PPC FORTUNA KEŽMAROK/TJ OBCE SPIŠSKÝ ŠTIAVNIK</v>
      </c>
      <c r="G26" s="144" t="str">
        <f>IF(G25="","",IF(OR(C24="x",C26="x"),"",VLOOKUP($A24,'zapisy k stolom'!$Y$5:$AC$3073,4,0)))</f>
        <v xml:space="preserve">3:1 ( 6,-7,9,9,,, ) </v>
      </c>
      <c r="H26" s="110"/>
      <c r="I26" s="116"/>
      <c r="J26" s="116"/>
      <c r="K26" s="57"/>
      <c r="L26" s="60" t="str">
        <f t="shared" si="0"/>
        <v>CH4P62</v>
      </c>
      <c r="M26" s="52" t="str">
        <f>E26</f>
        <v>ĎANOVSKÝ / MILAN</v>
      </c>
      <c r="P26" s="52" t="str">
        <f>IF(('[1]S 4'!$Y138=4),'[1]S 4'!$E138,IF(('[1]S 4'!$Y139=4),'[1]S 4'!$E139,IF(('[1]S 4'!$Y140=4),'[1]S 4'!$E140,IF(('[1]S 4'!$Y141=4),'[1]S 4'!$E141," "))))</f>
        <v xml:space="preserve"> </v>
      </c>
      <c r="R26" s="63"/>
      <c r="V26" s="170"/>
      <c r="W26" s="56"/>
      <c r="X26" s="56"/>
      <c r="Y26" s="56"/>
      <c r="AD26" s="63"/>
      <c r="AG26" s="56"/>
      <c r="AH26" s="56"/>
      <c r="AI26" s="56"/>
      <c r="AJ26" s="56"/>
      <c r="AK26" s="56"/>
      <c r="BB26" s="76"/>
      <c r="BC26" s="67"/>
      <c r="BD26" s="68"/>
      <c r="BE26" s="69"/>
      <c r="BF26" s="69"/>
      <c r="BG26" s="69"/>
      <c r="BH26" s="69"/>
      <c r="BI26" s="69"/>
      <c r="BJ26" s="68"/>
      <c r="BK26" s="69"/>
      <c r="BL26" s="67"/>
      <c r="BN26" s="56"/>
      <c r="BO26" s="56"/>
      <c r="BR26" s="49"/>
      <c r="BT26" s="63"/>
      <c r="BW26" s="56"/>
      <c r="BX26" s="56"/>
      <c r="BY26" s="56"/>
      <c r="BZ26" s="56"/>
      <c r="CA26" s="56"/>
      <c r="CF26" s="63"/>
      <c r="CI26" s="56"/>
      <c r="CJ26" s="56"/>
      <c r="CK26" s="56"/>
      <c r="CL26" s="56"/>
      <c r="CM26" s="56"/>
    </row>
    <row r="27" spans="1:111" ht="60" customHeight="1" thickBot="1">
      <c r="A27" s="49" t="s">
        <v>255</v>
      </c>
      <c r="B27" s="541"/>
      <c r="C27" s="544"/>
      <c r="D27" s="545"/>
      <c r="G27" s="106"/>
      <c r="H27" s="122" t="s">
        <v>257</v>
      </c>
      <c r="I27" s="123" t="str">
        <f>VLOOKUP($A23,'zapisy k stolom'!$Y$5:$AC$3073,3,0)</f>
        <v>ĎANOVSKÝ / MILAN</v>
      </c>
      <c r="J27" s="116"/>
      <c r="K27" s="57"/>
      <c r="L27" s="60" t="str">
        <f t="shared" si="0"/>
        <v>CH4P152</v>
      </c>
      <c r="M27" s="52" t="str">
        <f>I27</f>
        <v>ĎANOVSKÝ / MILAN</v>
      </c>
      <c r="P27" s="52" t="str">
        <f>IF(('[1]S 4'!$Y144=4),'[1]S 4'!$E144,IF(('[1]S 4'!$Y145=4),'[1]S 4'!$E145,IF(('[1]S 4'!$Y146=4),'[1]S 4'!$E146,IF(('[1]S 4'!$Y147=4),'[1]S 4'!$E147," "))))</f>
        <v xml:space="preserve"> </v>
      </c>
      <c r="R27" s="63"/>
      <c r="V27" s="170"/>
      <c r="W27" s="56"/>
      <c r="X27" s="56"/>
      <c r="Y27" s="56"/>
      <c r="AD27" s="63"/>
      <c r="AG27" s="56"/>
      <c r="AH27" s="56"/>
      <c r="AI27" s="56"/>
      <c r="AJ27" s="56"/>
      <c r="AK27" s="56"/>
      <c r="BB27" s="76"/>
      <c r="BC27" s="67"/>
      <c r="BD27" s="68"/>
      <c r="BE27" s="69"/>
      <c r="BF27" s="69"/>
      <c r="BG27" s="69"/>
      <c r="BH27" s="69"/>
      <c r="BI27" s="69"/>
      <c r="BJ27" s="68"/>
      <c r="BK27" s="69"/>
      <c r="BL27" s="67"/>
      <c r="BN27" s="56"/>
      <c r="BO27" s="56"/>
      <c r="BR27" s="49"/>
      <c r="BT27" s="63"/>
      <c r="BW27" s="56"/>
      <c r="BX27" s="56"/>
      <c r="BY27" s="56"/>
      <c r="BZ27" s="56"/>
      <c r="CA27" s="56"/>
      <c r="CF27" s="63"/>
      <c r="CI27" s="56"/>
      <c r="CJ27" s="56"/>
      <c r="CK27" s="56"/>
      <c r="CL27" s="56"/>
      <c r="CM27" s="56"/>
    </row>
    <row r="28" spans="1:111" ht="60" customHeight="1" thickBot="1">
      <c r="A28" s="49" t="s">
        <v>256</v>
      </c>
      <c r="B28" s="541">
        <v>2</v>
      </c>
      <c r="C28" s="544">
        <f t="shared" ref="C28" si="12">IF(HLOOKUP($H$1,$CZ$3:$DG$19,D28+1,0)="x","X",D28)</f>
        <v>13</v>
      </c>
      <c r="D28" s="545">
        <v>13</v>
      </c>
      <c r="E28" s="107" t="str">
        <f>IF(ISERROR(IF($J$1="n","",IF($J$1="a",VLOOKUP(C28,vylosovanie!$D$75:$O$107,11,0),"")))=TRUE,"",IF($J$1="n","",IF($J$1="a",VLOOKUP(C28,vylosovanie!$D$75:$O$107,11,0),"")))</f>
        <v>HURKA / JALOVECKÝ</v>
      </c>
      <c r="F28" s="108" t="str">
        <f>IF(ISERROR(IF($J$1="n","",IF($J$1="a",VLOOKUP(C28,vylosovanie!$D$75:$O$107,12,0),"")))=TRUE,"",IF($J$1="n","",IF($J$1="a",VLOOKUP(C28,vylosovanie!$D$75:$O$107,12,0),"")))</f>
        <v>STO VALALIKY / STK ZŠ NA BIELENISKU PEZINOK</v>
      </c>
      <c r="G28" s="109"/>
      <c r="H28" s="124" t="str">
        <f>VLOOKUP($A23,'zapisy k stolom'!$Y$5:$AC$3073,5,0)</f>
        <v>Tbl.: 2   H: 9.30   D: Ne</v>
      </c>
      <c r="I28" s="144" t="str">
        <f>IF(I27="","",VLOOKUP($A23,'zapisy k stolom'!$Y$5:$AC$3073,4,0))</f>
        <v xml:space="preserve">3:2 ( -8,-9,13,6,7,, ) </v>
      </c>
      <c r="J28" s="110"/>
      <c r="K28" s="57"/>
      <c r="L28" s="60" t="str">
        <f t="shared" si="0"/>
        <v>CH4P71</v>
      </c>
      <c r="M28" s="52" t="str">
        <f>E28</f>
        <v>HURKA / JALOVECKÝ</v>
      </c>
      <c r="P28" s="52" t="str">
        <f>IF(('[1]S 4'!$Y150=4),'[1]S 4'!$E150,IF(('[1]S 4'!$Y151=4),'[1]S 4'!$E151,IF(('[1]S 4'!$Y152=4),'[1]S 4'!$E152,IF(('[1]S 4'!$Y153=4),'[1]S 4'!$E153," "))))</f>
        <v xml:space="preserve"> </v>
      </c>
      <c r="BR28" s="49"/>
    </row>
    <row r="29" spans="1:111" ht="60" customHeight="1" thickBot="1">
      <c r="A29" s="49" t="s">
        <v>258</v>
      </c>
      <c r="B29" s="541"/>
      <c r="C29" s="544"/>
      <c r="D29" s="545"/>
      <c r="E29" s="111" t="str">
        <f>VLOOKUP($A28,'zapisy k stolom'!$Y$5:$AC$3073,5,0)</f>
        <v>Tbl.: 7   H: 13.55   D: So</v>
      </c>
      <c r="F29" s="112" t="s">
        <v>259</v>
      </c>
      <c r="G29" s="113" t="str">
        <f>IF(C28="x",E30,IF(C30="x",E28,VLOOKUP($A28,'zapisy k stolom'!$Y$5:$AC$3073,3,0)))</f>
        <v>HURKA / JALOVECKÝ</v>
      </c>
      <c r="H29" s="109"/>
      <c r="I29" s="116"/>
      <c r="J29" s="110"/>
      <c r="K29" s="57"/>
      <c r="L29" s="60" t="str">
        <f t="shared" si="0"/>
        <v>CH4P121</v>
      </c>
      <c r="M29" s="52" t="str">
        <f>G29</f>
        <v>HURKA / JALOVECKÝ</v>
      </c>
      <c r="P29" s="52" t="str">
        <f>IF(('[1]S 4'!$Y156=4),'[1]S 4'!$E156,IF(('[1]S 4'!$Y157=4),'[1]S 4'!$E157,IF(('[1]S 4'!$Y158=4),'[1]S 4'!$E158,IF(('[1]S 4'!$Y159=4),'[1]S 4'!$E159," "))))</f>
        <v xml:space="preserve"> </v>
      </c>
      <c r="R29" s="63"/>
      <c r="S29" s="64"/>
      <c r="Y29" s="531"/>
      <c r="Z29" s="531"/>
      <c r="AA29" s="531"/>
      <c r="AD29" s="63"/>
      <c r="AE29" s="64"/>
      <c r="AK29" s="531"/>
      <c r="AL29" s="531"/>
      <c r="AM29" s="531"/>
      <c r="AP29" s="76"/>
      <c r="AQ29" s="77"/>
      <c r="AR29" s="68"/>
      <c r="AS29" s="68"/>
      <c r="AT29" s="68"/>
      <c r="AU29" s="68"/>
      <c r="AV29" s="68"/>
      <c r="AW29" s="533"/>
      <c r="AX29" s="533"/>
      <c r="AY29" s="533"/>
      <c r="AZ29" s="67"/>
      <c r="BB29" s="76"/>
      <c r="BC29" s="77"/>
      <c r="BD29" s="68"/>
      <c r="BE29" s="68"/>
      <c r="BF29" s="68"/>
      <c r="BG29" s="68"/>
      <c r="BH29" s="68"/>
      <c r="BI29" s="533"/>
      <c r="BJ29" s="533"/>
      <c r="BK29" s="533"/>
      <c r="BL29" s="67"/>
      <c r="BO29" s="531"/>
      <c r="BP29" s="531"/>
      <c r="BQ29" s="531"/>
      <c r="BR29" s="49">
        <f>IF(BS29="x",0,MAX(BR$5:$BR28)+1)</f>
        <v>7</v>
      </c>
      <c r="BS29" s="57" t="str">
        <f>IF(G29=E28,E30,E28)</f>
        <v>ZAJAC / MAKÚCH</v>
      </c>
      <c r="BT29" s="63"/>
      <c r="BU29" s="64"/>
      <c r="CA29" s="531"/>
      <c r="CB29" s="531"/>
      <c r="CC29" s="531"/>
      <c r="CF29" s="63"/>
      <c r="CG29" s="64"/>
      <c r="CM29" s="531"/>
      <c r="CN29" s="531"/>
      <c r="CO29" s="531"/>
    </row>
    <row r="30" spans="1:111" ht="60" customHeight="1" thickBot="1">
      <c r="A30" s="49" t="s">
        <v>260</v>
      </c>
      <c r="B30" s="536">
        <v>3</v>
      </c>
      <c r="C30" s="544">
        <f t="shared" ref="C30" si="13">IF(HLOOKUP($H$1,$CZ$3:$DG$19,D30+1,0)="x","X",D30)</f>
        <v>14</v>
      </c>
      <c r="D30" s="545">
        <v>14</v>
      </c>
      <c r="E30" s="108" t="str">
        <f>IF(ISERROR(IF($J$1="n","",IF($J$1="a",VLOOKUP(C30,vylosovanie!$D$75:$O$107,11,0),"")))=TRUE,"",IF($J$1="n","",IF($J$1="a",VLOOKUP(C30,vylosovanie!$D$75:$O$107,11,0),"")))</f>
        <v>ZAJAC / MAKÚCH</v>
      </c>
      <c r="F30" s="114" t="str">
        <f>IF(ISERROR(IF($J$1="n","",IF($J$1="a",VLOOKUP(C30,vylosovanie!$D$75:$O$107,12,0),"")))=TRUE,"",IF($J$1="n","",IF($J$1="a",VLOOKUP(C30,vylosovanie!$D$75:$O$107,12,0),"")))</f>
        <v>TJ ORAVAN NÁMESTOVO / TJ ORAVAN NÁMESTOVO/TATRAN KRUŠETNICA</v>
      </c>
      <c r="G30" s="115" t="str">
        <f>IF(G29="","",IF(OR(C28="x",C30="x"),"",VLOOKUP($A28,'zapisy k stolom'!$Y$5:$AC$3073,4,0)))</f>
        <v xml:space="preserve">3:2 ( 12,-11,4,-6,7,, ) </v>
      </c>
      <c r="H30" s="116"/>
      <c r="I30" s="116"/>
      <c r="L30" s="60" t="str">
        <f t="shared" si="0"/>
        <v>CH4P72</v>
      </c>
      <c r="M30" s="49" t="str">
        <f>E30</f>
        <v>ZAJAC / MAKÚCH</v>
      </c>
      <c r="P30" s="52" t="str">
        <f>IF(('[1]S 4'!$Y162=4),'[1]S 4'!$E162,IF(('[1]S 4'!$Y163=4),'[1]S 4'!$E163,IF(('[1]S 4'!$Y164=4),'[1]S 4'!$E164,IF(('[1]S 4'!$Y165=4),'[1]S 4'!$E165," "))))</f>
        <v xml:space="preserve"> </v>
      </c>
      <c r="R30" s="70"/>
      <c r="V30" s="170"/>
      <c r="W30" s="56"/>
      <c r="X30" s="56"/>
      <c r="Y30" s="56"/>
      <c r="AD30" s="70"/>
      <c r="AG30" s="56"/>
      <c r="AH30" s="56"/>
      <c r="AI30" s="56"/>
      <c r="AJ30" s="56"/>
      <c r="AK30" s="56"/>
      <c r="AP30" s="78"/>
      <c r="AQ30" s="67"/>
      <c r="AR30" s="68"/>
      <c r="AS30" s="69"/>
      <c r="AT30" s="69"/>
      <c r="AU30" s="69"/>
      <c r="AV30" s="69"/>
      <c r="AW30" s="69"/>
      <c r="AX30" s="68"/>
      <c r="AY30" s="69"/>
      <c r="AZ30" s="67"/>
      <c r="BB30" s="78"/>
      <c r="BC30" s="67"/>
      <c r="BD30" s="68"/>
      <c r="BE30" s="69"/>
      <c r="BF30" s="69"/>
      <c r="BG30" s="69"/>
      <c r="BH30" s="69"/>
      <c r="BI30" s="69"/>
      <c r="BJ30" s="68"/>
      <c r="BK30" s="69"/>
      <c r="BL30" s="67"/>
      <c r="BN30" s="56"/>
      <c r="BO30" s="56"/>
      <c r="BR30" s="49"/>
      <c r="BT30" s="63"/>
      <c r="BW30" s="56"/>
      <c r="BX30" s="56"/>
      <c r="BY30" s="56"/>
      <c r="BZ30" s="56"/>
      <c r="CA30" s="56"/>
      <c r="CF30" s="63"/>
      <c r="CI30" s="56"/>
      <c r="CJ30" s="56"/>
      <c r="CK30" s="56"/>
      <c r="CL30" s="56"/>
      <c r="CM30" s="56"/>
    </row>
    <row r="31" spans="1:111" ht="60" customHeight="1" thickBot="1">
      <c r="A31" s="49" t="s">
        <v>261</v>
      </c>
      <c r="B31" s="536"/>
      <c r="C31" s="544"/>
      <c r="D31" s="545"/>
      <c r="G31" s="122" t="s">
        <v>226</v>
      </c>
      <c r="H31" s="121" t="str">
        <f>VLOOKUP($A29,'zapisy k stolom'!$Y$5:$AC$3073,3,0)</f>
        <v>HURKA / JALOVECKÝ</v>
      </c>
      <c r="I31" s="116"/>
      <c r="L31" s="60" t="str">
        <f t="shared" si="0"/>
        <v>CH4P142</v>
      </c>
      <c r="M31" s="49" t="str">
        <f>H31</f>
        <v>HURKA / JALOVECKÝ</v>
      </c>
      <c r="P31" s="52" t="str">
        <f>IF(('[1]S 4'!$Y168=4),'[1]S 4'!$E168,IF(('[1]S 4'!$Y169=4),'[1]S 4'!$E169,IF(('[1]S 4'!$Y170=4),'[1]S 4'!$E170,IF(('[1]S 4'!$Y171=4),'[1]S 4'!$E171," "))))</f>
        <v xml:space="preserve"> </v>
      </c>
      <c r="R31" s="63"/>
      <c r="V31" s="170"/>
      <c r="W31" s="56"/>
      <c r="X31" s="56"/>
      <c r="Y31" s="56"/>
      <c r="AD31" s="63"/>
      <c r="AG31" s="56"/>
      <c r="AH31" s="56"/>
      <c r="AI31" s="56"/>
      <c r="AJ31" s="56"/>
      <c r="AK31" s="56"/>
      <c r="AP31" s="76"/>
      <c r="AQ31" s="67"/>
      <c r="AR31" s="68"/>
      <c r="AS31" s="69"/>
      <c r="AT31" s="69"/>
      <c r="AU31" s="69"/>
      <c r="AV31" s="69"/>
      <c r="AW31" s="69"/>
      <c r="AX31" s="68"/>
      <c r="AY31" s="69"/>
      <c r="AZ31" s="67"/>
      <c r="BB31" s="76"/>
      <c r="BC31" s="67"/>
      <c r="BD31" s="68"/>
      <c r="BE31" s="69"/>
      <c r="BF31" s="69"/>
      <c r="BG31" s="69"/>
      <c r="BH31" s="69"/>
      <c r="BI31" s="69"/>
      <c r="BJ31" s="68"/>
      <c r="BK31" s="69"/>
      <c r="BL31" s="67"/>
      <c r="BN31" s="56"/>
      <c r="BO31" s="56"/>
      <c r="BR31" s="49"/>
      <c r="BT31" s="72" t="str">
        <f>IF(H31=G29,G33,G29)</f>
        <v>PINDURA / CYPRICH</v>
      </c>
      <c r="BW31" s="56"/>
      <c r="BX31" s="56"/>
      <c r="BY31" s="56"/>
      <c r="BZ31" s="56"/>
      <c r="CA31" s="56"/>
      <c r="CF31" s="63"/>
      <c r="CI31" s="56"/>
      <c r="CJ31" s="56"/>
      <c r="CK31" s="56"/>
      <c r="CL31" s="56"/>
      <c r="CM31" s="56"/>
    </row>
    <row r="32" spans="1:111" ht="60" customHeight="1" thickBot="1">
      <c r="A32" s="49" t="s">
        <v>262</v>
      </c>
      <c r="B32" s="536">
        <v>3</v>
      </c>
      <c r="C32" s="544">
        <f t="shared" ref="C32" si="14">IF(HLOOKUP($H$1,$CZ$3:$DG$19,D32+1,0)="x","X",D32)</f>
        <v>15</v>
      </c>
      <c r="D32" s="545">
        <v>15</v>
      </c>
      <c r="E32" s="107" t="str">
        <f>IF(ISERROR(IF($J$1="n","",IF($J$1="a",VLOOKUP(C32,vylosovanie!$D$75:$O$107,11,0),"")))=TRUE,"",IF($J$1="n","",IF($J$1="a",VLOOKUP(C32,vylosovanie!$D$75:$O$107,11,0),"")))</f>
        <v>MARUNIAK / KALINKA</v>
      </c>
      <c r="F32" s="108" t="str">
        <f>IF(ISERROR(IF($J$1="n","",IF($J$1="a",VLOOKUP(C32,vylosovanie!$D$75:$O$107,12,0),"")))=TRUE,"",IF($J$1="n","",IF($J$1="a",VLOOKUP(C32,vylosovanie!$D$75:$O$107,12,0),"")))</f>
        <v>MSTK VTJ MARTIN / MSTK VTJ MARTIN</v>
      </c>
      <c r="G32" s="124" t="str">
        <f>VLOOKUP($A29,'zapisy k stolom'!$Y$5:$AC$3073,5,0)</f>
        <v>Tbl.: 4   H: 17.00   D: So</v>
      </c>
      <c r="H32" s="144" t="str">
        <f>IF(H31="","",VLOOKUP($A29,'zapisy k stolom'!$Y$5:$AC$3073,4,0))</f>
        <v xml:space="preserve">3:1 ( 5,8,-12,7,,, ) </v>
      </c>
      <c r="I32" s="110"/>
      <c r="L32" s="60" t="str">
        <f t="shared" si="0"/>
        <v>CH4P81</v>
      </c>
      <c r="M32" s="49" t="str">
        <f>E32</f>
        <v>MARUNIAK / KALINKA</v>
      </c>
      <c r="P32" s="52" t="str">
        <f>IF(('[1]S 4'!$Y174=4),'[1]S 4'!$E174,IF(('[1]S 4'!$Y175=4),'[1]S 4'!$E175,IF(('[1]S 4'!$Y176=4),'[1]S 4'!$E176,IF(('[1]S 4'!$Y177=4),'[1]S 4'!$E177," "))))</f>
        <v xml:space="preserve"> </v>
      </c>
      <c r="R32" s="63"/>
      <c r="V32" s="170"/>
      <c r="W32" s="56"/>
      <c r="X32" s="56"/>
      <c r="Y32" s="56"/>
      <c r="AD32" s="63"/>
      <c r="AG32" s="56"/>
      <c r="AH32" s="56"/>
      <c r="AI32" s="56"/>
      <c r="AJ32" s="56"/>
      <c r="AK32" s="56"/>
      <c r="AP32" s="76"/>
      <c r="AQ32" s="67"/>
      <c r="AR32" s="68"/>
      <c r="AS32" s="69"/>
      <c r="AT32" s="69"/>
      <c r="AU32" s="69"/>
      <c r="AV32" s="69"/>
      <c r="AW32" s="69"/>
      <c r="AX32" s="68"/>
      <c r="AY32" s="69"/>
      <c r="AZ32" s="67"/>
      <c r="BB32" s="76"/>
      <c r="BC32" s="67"/>
      <c r="BD32" s="68"/>
      <c r="BE32" s="69"/>
      <c r="BF32" s="69"/>
      <c r="BG32" s="69"/>
      <c r="BH32" s="69"/>
      <c r="BI32" s="69"/>
      <c r="BJ32" s="68"/>
      <c r="BK32" s="69"/>
      <c r="BL32" s="67"/>
      <c r="BN32" s="56"/>
      <c r="BO32" s="56"/>
      <c r="BR32" s="49"/>
      <c r="BT32" s="63"/>
      <c r="BW32" s="56"/>
      <c r="BX32" s="56"/>
      <c r="BY32" s="56"/>
      <c r="BZ32" s="56"/>
      <c r="CA32" s="56"/>
      <c r="CF32" s="63"/>
      <c r="CI32" s="56"/>
      <c r="CJ32" s="56"/>
      <c r="CK32" s="56"/>
      <c r="CL32" s="56"/>
      <c r="CM32" s="56"/>
    </row>
    <row r="33" spans="1:93" ht="60" customHeight="1" thickBot="1">
      <c r="A33" s="49" t="s">
        <v>263</v>
      </c>
      <c r="B33" s="536"/>
      <c r="C33" s="544"/>
      <c r="D33" s="545"/>
      <c r="E33" s="111" t="str">
        <f>VLOOKUP($A32,'zapisy k stolom'!$Y$5:$AC$3073,5,0)</f>
        <v>Tbl.: 8   H: 13.55   D: So</v>
      </c>
      <c r="F33" s="117" t="s">
        <v>264</v>
      </c>
      <c r="G33" s="121" t="str">
        <f>IF(C32="x",E34,IF(C34="x",E32,VLOOKUP($A32,'zapisy k stolom'!$Y$5:$AC$3073,3,0)))</f>
        <v>PINDURA / CYPRICH</v>
      </c>
      <c r="H33" s="116"/>
      <c r="I33" s="110"/>
      <c r="L33" s="60" t="str">
        <f t="shared" si="0"/>
        <v>CH4P122</v>
      </c>
      <c r="M33" s="49" t="str">
        <f>G33</f>
        <v>PINDURA / CYPRICH</v>
      </c>
      <c r="P33" s="52" t="str">
        <f>IF(('[1]S 4'!$Y180=4),'[1]S 4'!$E180,IF(('[1]S 4'!$Y181=4),'[1]S 4'!$E181,IF(('[1]S 4'!$Y182=4),'[1]S 4'!$E182,IF(('[1]S 4'!$Y183=4),'[1]S 4'!$E183," "))))</f>
        <v xml:space="preserve"> </v>
      </c>
      <c r="R33" s="63"/>
      <c r="V33" s="170"/>
      <c r="W33" s="56"/>
      <c r="X33" s="56"/>
      <c r="Y33" s="56"/>
      <c r="AD33" s="63"/>
      <c r="AG33" s="56"/>
      <c r="AH33" s="56"/>
      <c r="AI33" s="56"/>
      <c r="AJ33" s="56"/>
      <c r="AK33" s="56"/>
      <c r="AP33" s="76"/>
      <c r="AQ33" s="67"/>
      <c r="AR33" s="68"/>
      <c r="AS33" s="69"/>
      <c r="AT33" s="69"/>
      <c r="AU33" s="69"/>
      <c r="AV33" s="69"/>
      <c r="AW33" s="69"/>
      <c r="AX33" s="68"/>
      <c r="AY33" s="69"/>
      <c r="AZ33" s="67"/>
      <c r="BB33" s="76"/>
      <c r="BC33" s="67"/>
      <c r="BD33" s="68"/>
      <c r="BE33" s="69"/>
      <c r="BF33" s="69"/>
      <c r="BG33" s="69"/>
      <c r="BH33" s="69"/>
      <c r="BI33" s="69"/>
      <c r="BJ33" s="68"/>
      <c r="BK33" s="69"/>
      <c r="BL33" s="67"/>
      <c r="BN33" s="56"/>
      <c r="BO33" s="56"/>
      <c r="BR33" s="49">
        <f>IF(BS33="x",0,MAX(BR$5:$BR32)+1)</f>
        <v>8</v>
      </c>
      <c r="BS33" s="57" t="str">
        <f>IF(G33=E32,E34,E32)</f>
        <v>MARUNIAK / KALINKA</v>
      </c>
      <c r="BT33" s="63"/>
      <c r="BW33" s="56"/>
      <c r="BX33" s="56"/>
      <c r="BY33" s="56"/>
      <c r="BZ33" s="56"/>
      <c r="CA33" s="56"/>
      <c r="CF33" s="63"/>
      <c r="CI33" s="56"/>
      <c r="CJ33" s="56"/>
      <c r="CK33" s="56"/>
      <c r="CL33" s="56"/>
      <c r="CM33" s="56"/>
    </row>
    <row r="34" spans="1:93" ht="60" customHeight="1" thickBot="1">
      <c r="A34" s="49" t="s">
        <v>265</v>
      </c>
      <c r="B34" s="539"/>
      <c r="C34" s="544">
        <v>16</v>
      </c>
      <c r="D34" s="545">
        <v>16</v>
      </c>
      <c r="E34" s="108" t="str">
        <f>IF(ISERROR(IF($J$1="n","",IF($J$1="a",VLOOKUP(C34,vylosovanie!$D$75:$O$107,11,0),"")))=TRUE,"",IF($J$1="n","",IF($J$1="a",VLOOKUP(C34,vylosovanie!$D$75:$O$107,11,0),"")))</f>
        <v>PINDURA / CYPRICH</v>
      </c>
      <c r="F34" s="114" t="str">
        <f>IF(ISERROR(IF($J$1="n","",IF($J$1="a",VLOOKUP(C34,vylosovanie!$D$75:$O$107,12,0),"")))=TRUE,"",IF($J$1="n","",IF($J$1="a",VLOOKUP(C34,vylosovanie!$D$75:$O$107,12,0),"")))</f>
        <v>ŠKST RUŽOMBEROK / MSK ČADCA</v>
      </c>
      <c r="G34" s="144" t="str">
        <f>IF(G33="","",IF(OR(C32="x",C34="x"),"",VLOOKUP($A32,'zapisy k stolom'!$Y$5:$AC$3073,4,0)))</f>
        <v xml:space="preserve">3:0 ( 8,5,10,,,, ) </v>
      </c>
      <c r="H34" s="110"/>
      <c r="I34" s="128"/>
      <c r="L34" s="60" t="str">
        <f t="shared" si="0"/>
        <v>CH4P82</v>
      </c>
      <c r="M34" s="49" t="str">
        <f>E34</f>
        <v>PINDURA / CYPRICH</v>
      </c>
      <c r="P34" s="52" t="str">
        <f>IF(('[1]S 4'!$Y186=4),'[1]S 4'!$E186,IF(('[1]S 4'!$Y187=4),'[1]S 4'!$E187,IF(('[1]S 4'!$Y188=4),'[1]S 4'!$E188,IF(('[1]S 4'!$Y189=4),'[1]S 4'!$E189," "))))</f>
        <v xml:space="preserve"> </v>
      </c>
      <c r="AP34" s="67"/>
      <c r="AQ34" s="67"/>
      <c r="AR34" s="68"/>
      <c r="AS34" s="68"/>
      <c r="AT34" s="68"/>
      <c r="AU34" s="68"/>
      <c r="AV34" s="68"/>
      <c r="AW34" s="68"/>
      <c r="AX34" s="68"/>
      <c r="AY34" s="69"/>
      <c r="AZ34" s="67"/>
      <c r="BB34" s="67"/>
      <c r="BC34" s="67"/>
      <c r="BD34" s="68"/>
      <c r="BE34" s="68"/>
      <c r="BF34" s="68"/>
      <c r="BG34" s="68"/>
      <c r="BH34" s="68"/>
      <c r="BI34" s="68"/>
      <c r="BJ34" s="68"/>
      <c r="BK34" s="69"/>
      <c r="BL34" s="67"/>
      <c r="BR34" s="49"/>
    </row>
    <row r="35" spans="1:93" ht="60" customHeight="1">
      <c r="B35" s="539"/>
      <c r="C35" s="544"/>
      <c r="D35" s="545"/>
      <c r="G35" s="106"/>
      <c r="H35" s="110"/>
      <c r="I35" s="128"/>
      <c r="J35" s="128"/>
      <c r="K35" s="79"/>
      <c r="L35" s="60"/>
      <c r="M35" s="52"/>
      <c r="P35" s="52" t="str">
        <f>IF(('[1]S 4'!$Y192=4),'[1]S 4'!$E192,IF(('[1]S 4'!$Y193=4),'[1]S 4'!$E193,IF(('[1]S 4'!$Y194=4),'[1]S 4'!$E194,IF(('[1]S 4'!$Y195=4),'[1]S 4'!$E195," "))))</f>
        <v xml:space="preserve"> </v>
      </c>
      <c r="R35" s="63"/>
      <c r="S35" s="64"/>
      <c r="Y35" s="531"/>
      <c r="Z35" s="531"/>
      <c r="AA35" s="531"/>
      <c r="AD35" s="63"/>
      <c r="AE35" s="64"/>
      <c r="AK35" s="531"/>
      <c r="AL35" s="531"/>
      <c r="AM35" s="531"/>
      <c r="AP35" s="76"/>
      <c r="AQ35" s="77"/>
      <c r="AR35" s="68"/>
      <c r="AS35" s="68"/>
      <c r="AT35" s="68"/>
      <c r="AU35" s="68"/>
      <c r="AV35" s="68"/>
      <c r="AW35" s="533"/>
      <c r="AX35" s="533"/>
      <c r="AY35" s="533"/>
      <c r="AZ35" s="67"/>
      <c r="BB35" s="76"/>
      <c r="BC35" s="77"/>
      <c r="BD35" s="68"/>
      <c r="BE35" s="68"/>
      <c r="BF35" s="68"/>
      <c r="BG35" s="68"/>
      <c r="BH35" s="68"/>
      <c r="BI35" s="533"/>
      <c r="BJ35" s="533"/>
      <c r="BK35" s="533"/>
      <c r="BL35" s="67"/>
      <c r="BO35" s="531"/>
      <c r="BP35" s="531"/>
      <c r="BQ35" s="531"/>
      <c r="BR35" s="49"/>
      <c r="BT35" s="63"/>
      <c r="BU35" s="64"/>
      <c r="CA35" s="531"/>
      <c r="CB35" s="531"/>
      <c r="CC35" s="531"/>
      <c r="CF35" s="63"/>
      <c r="CG35" s="64"/>
      <c r="CM35" s="531"/>
      <c r="CN35" s="531"/>
      <c r="CO35" s="531"/>
    </row>
    <row r="36" spans="1:93" ht="39.950000000000003" customHeight="1">
      <c r="C36" s="546" t="s">
        <v>120</v>
      </c>
      <c r="D36" s="547"/>
      <c r="F36" s="105"/>
      <c r="G36" s="110"/>
      <c r="H36" s="110"/>
      <c r="I36" s="128"/>
      <c r="J36" s="128"/>
      <c r="K36" s="79"/>
      <c r="L36" s="60"/>
      <c r="M36" s="52"/>
      <c r="P36" s="52" t="str">
        <f>IF(('[1]S 4'!$Y198=4),'[1]S 4'!$E198,IF(('[1]S 4'!$Y199=4),'[1]S 4'!$E199,IF(('[1]S 4'!$Y200=4),'[1]S 4'!$E200,IF(('[1]S 4'!$Y201=4),'[1]S 4'!$E201," "))))</f>
        <v xml:space="preserve"> </v>
      </c>
      <c r="R36" s="63"/>
      <c r="V36" s="170"/>
      <c r="W36" s="56"/>
      <c r="X36" s="56"/>
      <c r="Y36" s="56"/>
      <c r="AD36" s="63"/>
      <c r="AG36" s="56"/>
      <c r="AH36" s="56"/>
      <c r="AI36" s="56"/>
      <c r="AJ36" s="56"/>
      <c r="AK36" s="56"/>
      <c r="AP36" s="76"/>
      <c r="AQ36" s="67"/>
      <c r="AR36" s="68"/>
      <c r="AS36" s="69"/>
      <c r="AT36" s="69"/>
      <c r="AU36" s="69"/>
      <c r="AV36" s="69"/>
      <c r="AW36" s="69"/>
      <c r="AX36" s="68"/>
      <c r="AY36" s="69"/>
      <c r="AZ36" s="67"/>
      <c r="BB36" s="76"/>
      <c r="BC36" s="67"/>
      <c r="BD36" s="68"/>
      <c r="BE36" s="69"/>
      <c r="BF36" s="69"/>
      <c r="BG36" s="69"/>
      <c r="BH36" s="69"/>
      <c r="BI36" s="69"/>
      <c r="BJ36" s="68"/>
      <c r="BK36" s="69"/>
      <c r="BL36" s="67"/>
      <c r="BN36" s="56"/>
      <c r="BO36" s="56"/>
      <c r="BR36" s="49"/>
      <c r="BT36" s="63"/>
      <c r="BW36" s="56"/>
      <c r="BX36" s="56"/>
      <c r="BY36" s="56"/>
      <c r="BZ36" s="56"/>
      <c r="CA36" s="56"/>
      <c r="CF36" s="63"/>
      <c r="CI36" s="56"/>
      <c r="CJ36" s="56"/>
      <c r="CK36" s="56"/>
      <c r="CL36" s="56"/>
      <c r="CM36" s="56"/>
    </row>
    <row r="37" spans="1:93" ht="39.950000000000003" customHeight="1">
      <c r="C37" s="546"/>
      <c r="D37" s="547"/>
      <c r="G37" s="106"/>
      <c r="H37" s="110"/>
      <c r="I37" s="128"/>
      <c r="J37" s="128"/>
      <c r="K37" s="79"/>
      <c r="L37" s="60"/>
      <c r="M37" s="52"/>
      <c r="P37" s="52" t="str">
        <f>IF(('[1]S 4'!$Y204=4),'[1]S 4'!$E204,IF(('[1]S 4'!$Y205=4),'[1]S 4'!$E205,IF(('[1]S 4'!$Y206=4),'[1]S 4'!$E206,IF(('[1]S 4'!$Y207=4),'[1]S 4'!$E207," "))))</f>
        <v xml:space="preserve"> </v>
      </c>
      <c r="R37" s="63"/>
      <c r="V37" s="170"/>
      <c r="W37" s="56"/>
      <c r="X37" s="56"/>
      <c r="Y37" s="56"/>
      <c r="AD37" s="63"/>
      <c r="AG37" s="56"/>
      <c r="AH37" s="56"/>
      <c r="AI37" s="56"/>
      <c r="AJ37" s="56"/>
      <c r="AK37" s="56"/>
      <c r="AP37" s="76"/>
      <c r="AQ37" s="67"/>
      <c r="AR37" s="68"/>
      <c r="AS37" s="69"/>
      <c r="AT37" s="69"/>
      <c r="AU37" s="69"/>
      <c r="AV37" s="69"/>
      <c r="AW37" s="69"/>
      <c r="AX37" s="68"/>
      <c r="AY37" s="69"/>
      <c r="AZ37" s="67"/>
      <c r="BB37" s="76"/>
      <c r="BC37" s="67"/>
      <c r="BD37" s="68"/>
      <c r="BE37" s="69"/>
      <c r="BF37" s="69"/>
      <c r="BG37" s="69"/>
      <c r="BH37" s="69"/>
      <c r="BI37" s="69"/>
      <c r="BJ37" s="68"/>
      <c r="BK37" s="69"/>
      <c r="BL37" s="67"/>
      <c r="BN37" s="56"/>
      <c r="BO37" s="56"/>
      <c r="BR37" s="49"/>
      <c r="BT37" s="63"/>
      <c r="BW37" s="56"/>
      <c r="BX37" s="56"/>
      <c r="BY37" s="56"/>
      <c r="BZ37" s="56"/>
      <c r="CA37" s="56"/>
      <c r="CF37" s="63"/>
      <c r="CI37" s="56"/>
      <c r="CJ37" s="56"/>
      <c r="CK37" s="56"/>
      <c r="CL37" s="56"/>
      <c r="CM37" s="56"/>
    </row>
    <row r="38" spans="1:93" ht="39.950000000000003" customHeight="1">
      <c r="C38" s="546"/>
      <c r="D38" s="547"/>
      <c r="H38" s="105"/>
      <c r="I38" s="129"/>
      <c r="J38" s="129"/>
      <c r="K38" s="80"/>
      <c r="L38" s="60"/>
      <c r="M38" s="52"/>
      <c r="P38" s="52" t="str">
        <f>IF(('[1]S 4'!$Y210=4),'[1]S 4'!$E210,IF(('[1]S 4'!$Y211=4),'[1]S 4'!$E211,IF(('[1]S 4'!$Y212=4),'[1]S 4'!$E212,IF(('[1]S 4'!$Y213=4),'[1]S 4'!$E213," "))))</f>
        <v xml:space="preserve"> </v>
      </c>
      <c r="R38" s="63"/>
      <c r="V38" s="170"/>
      <c r="W38" s="56"/>
      <c r="X38" s="56"/>
      <c r="Y38" s="56"/>
      <c r="AD38" s="63"/>
      <c r="AG38" s="56"/>
      <c r="AH38" s="56"/>
      <c r="AI38" s="56"/>
      <c r="AJ38" s="56"/>
      <c r="AK38" s="56"/>
      <c r="AP38" s="76"/>
      <c r="AQ38" s="67"/>
      <c r="AR38" s="68"/>
      <c r="AS38" s="69"/>
      <c r="AT38" s="69"/>
      <c r="AU38" s="69"/>
      <c r="AV38" s="69"/>
      <c r="AW38" s="69"/>
      <c r="AX38" s="68"/>
      <c r="AY38" s="69"/>
      <c r="AZ38" s="67"/>
      <c r="BB38" s="76"/>
      <c r="BC38" s="67"/>
      <c r="BD38" s="68"/>
      <c r="BE38" s="69"/>
      <c r="BF38" s="69"/>
      <c r="BG38" s="69"/>
      <c r="BH38" s="69"/>
      <c r="BI38" s="69"/>
      <c r="BJ38" s="68"/>
      <c r="BK38" s="69"/>
      <c r="BL38" s="67"/>
      <c r="BN38" s="56"/>
      <c r="BO38" s="56"/>
      <c r="BR38" s="49"/>
      <c r="BT38" s="63"/>
      <c r="BW38" s="56"/>
      <c r="BX38" s="56"/>
      <c r="BY38" s="56"/>
      <c r="BZ38" s="56"/>
      <c r="CA38" s="56"/>
      <c r="CF38" s="63"/>
      <c r="CI38" s="56"/>
      <c r="CJ38" s="56"/>
      <c r="CK38" s="56"/>
      <c r="CL38" s="56"/>
      <c r="CM38" s="56"/>
    </row>
    <row r="39" spans="1:93" ht="39.950000000000003" customHeight="1">
      <c r="C39" s="546"/>
      <c r="D39" s="547"/>
      <c r="H39" s="105"/>
      <c r="I39" s="129"/>
      <c r="J39" s="129"/>
      <c r="K39" s="80"/>
      <c r="L39" s="60"/>
      <c r="M39" s="52"/>
      <c r="P39" s="52" t="str">
        <f>IF(('[1]S 4'!$Y216=4),'[1]S 4'!$E216,IF(('[1]S 4'!$Y217=4),'[1]S 4'!$E217,IF(('[1]S 4'!$Y218=4),'[1]S 4'!$E218,IF(('[1]S 4'!$Y219=4),'[1]S 4'!$E219," "))))</f>
        <v xml:space="preserve"> </v>
      </c>
      <c r="R39" s="63"/>
      <c r="V39" s="170"/>
      <c r="W39" s="56"/>
      <c r="X39" s="56"/>
      <c r="Y39" s="56"/>
      <c r="AD39" s="63"/>
      <c r="AG39" s="56"/>
      <c r="AH39" s="56"/>
      <c r="AI39" s="56"/>
      <c r="AJ39" s="56"/>
      <c r="AK39" s="56"/>
      <c r="AP39" s="76"/>
      <c r="AQ39" s="67"/>
      <c r="AR39" s="68"/>
      <c r="AS39" s="69"/>
      <c r="AT39" s="69"/>
      <c r="AU39" s="69"/>
      <c r="AV39" s="69"/>
      <c r="AW39" s="69"/>
      <c r="AX39" s="68"/>
      <c r="AY39" s="69"/>
      <c r="AZ39" s="67"/>
      <c r="BB39" s="76"/>
      <c r="BC39" s="67"/>
      <c r="BD39" s="68"/>
      <c r="BE39" s="69"/>
      <c r="BF39" s="69"/>
      <c r="BG39" s="69"/>
      <c r="BH39" s="69"/>
      <c r="BI39" s="69"/>
      <c r="BJ39" s="68"/>
      <c r="BK39" s="69"/>
      <c r="BL39" s="67"/>
      <c r="BN39" s="56"/>
      <c r="BO39" s="56"/>
      <c r="BR39" s="49"/>
      <c r="BT39" s="63"/>
      <c r="BW39" s="56"/>
      <c r="BX39" s="56"/>
      <c r="BY39" s="56"/>
      <c r="BZ39" s="56"/>
      <c r="CA39" s="56"/>
      <c r="CF39" s="63"/>
      <c r="CI39" s="56"/>
      <c r="CJ39" s="56"/>
      <c r="CK39" s="56"/>
      <c r="CL39" s="56"/>
      <c r="CM39" s="56"/>
    </row>
    <row r="40" spans="1:93" ht="39.950000000000003" customHeight="1">
      <c r="C40" s="546"/>
      <c r="D40" s="547"/>
      <c r="H40" s="105"/>
      <c r="I40" s="129"/>
      <c r="J40" s="129"/>
      <c r="K40" s="80"/>
      <c r="L40" s="60"/>
      <c r="M40" s="52"/>
      <c r="P40" s="52" t="str">
        <f>IF(('[1]S 4'!$Y222=4),'[1]S 4'!$E222,IF(('[1]S 4'!$Y223=4),'[1]S 4'!$E223,IF(('[1]S 4'!$Y224=4),'[1]S 4'!$E224,IF(('[1]S 4'!$Y225=4),'[1]S 4'!$E225," "))))</f>
        <v xml:space="preserve"> </v>
      </c>
      <c r="AP40" s="67"/>
      <c r="AQ40" s="67"/>
      <c r="AR40" s="68"/>
      <c r="AS40" s="68"/>
      <c r="AT40" s="68"/>
      <c r="AU40" s="68"/>
      <c r="AV40" s="68"/>
      <c r="AW40" s="68"/>
      <c r="AX40" s="68"/>
      <c r="AY40" s="69"/>
      <c r="AZ40" s="67"/>
      <c r="BB40" s="67"/>
      <c r="BC40" s="67"/>
      <c r="BD40" s="68"/>
      <c r="BE40" s="68"/>
      <c r="BF40" s="68"/>
      <c r="BG40" s="68"/>
      <c r="BH40" s="68"/>
      <c r="BI40" s="68"/>
      <c r="BJ40" s="68"/>
      <c r="BK40" s="69"/>
      <c r="BL40" s="67"/>
      <c r="BR40" s="49"/>
    </row>
    <row r="41" spans="1:93" ht="39.950000000000003" customHeight="1">
      <c r="C41" s="546"/>
      <c r="D41" s="547"/>
      <c r="G41" s="105"/>
      <c r="H41" s="105"/>
      <c r="I41" s="129"/>
      <c r="J41" s="129"/>
      <c r="K41" s="80"/>
      <c r="L41" s="60"/>
      <c r="M41" s="52"/>
      <c r="P41" s="52" t="str">
        <f>IF(('[1]S 4'!$Y228=4),'[1]S 4'!$E228,IF(('[1]S 4'!$Y229=4),'[1]S 4'!$E229,IF(('[1]S 4'!$Y230=4),'[1]S 4'!$E230,IF(('[1]S 4'!$Y231=4),'[1]S 4'!$E231," "))))</f>
        <v xml:space="preserve"> </v>
      </c>
      <c r="R41" s="63"/>
      <c r="S41" s="64"/>
      <c r="Y41" s="531"/>
      <c r="Z41" s="531"/>
      <c r="AA41" s="531"/>
      <c r="AD41" s="63"/>
      <c r="AE41" s="64"/>
      <c r="AK41" s="531"/>
      <c r="AL41" s="531"/>
      <c r="AM41" s="531"/>
      <c r="AP41" s="76"/>
      <c r="AQ41" s="77"/>
      <c r="AR41" s="68"/>
      <c r="AS41" s="68"/>
      <c r="AT41" s="68"/>
      <c r="AU41" s="68"/>
      <c r="AV41" s="68"/>
      <c r="AW41" s="533"/>
      <c r="AX41" s="533"/>
      <c r="AY41" s="533"/>
      <c r="AZ41" s="67"/>
      <c r="BB41" s="76"/>
      <c r="BC41" s="77"/>
      <c r="BD41" s="68"/>
      <c r="BE41" s="68"/>
      <c r="BF41" s="68"/>
      <c r="BG41" s="68"/>
      <c r="BH41" s="68"/>
      <c r="BI41" s="533"/>
      <c r="BJ41" s="533"/>
      <c r="BK41" s="533"/>
      <c r="BL41" s="67"/>
      <c r="BO41" s="531"/>
      <c r="BP41" s="531"/>
      <c r="BQ41" s="531"/>
      <c r="BR41" s="49"/>
      <c r="BT41" s="63"/>
      <c r="BU41" s="64"/>
      <c r="CA41" s="531"/>
      <c r="CB41" s="531"/>
      <c r="CC41" s="531"/>
      <c r="CF41" s="63"/>
      <c r="CG41" s="64"/>
      <c r="CM41" s="531"/>
      <c r="CN41" s="531"/>
      <c r="CO41" s="531"/>
    </row>
    <row r="42" spans="1:93" ht="39.950000000000003" customHeight="1">
      <c r="C42" s="546"/>
      <c r="D42" s="547"/>
      <c r="F42" s="130" t="s">
        <v>122</v>
      </c>
      <c r="G42" s="130" t="s">
        <v>123</v>
      </c>
      <c r="H42" s="105"/>
      <c r="I42" s="105"/>
      <c r="J42" s="105"/>
      <c r="K42" s="52"/>
      <c r="L42" s="60"/>
      <c r="M42" s="52"/>
      <c r="P42" s="52" t="str">
        <f>IF(('[1]S 4'!$Y234=4),'[1]S 4'!$E234,IF(('[1]S 4'!$Y235=4),'[1]S 4'!$E235,IF(('[1]S 4'!$Y236=4),'[1]S 4'!$E236,IF(('[1]S 4'!$Y237=4),'[1]S 4'!$E237," "))))</f>
        <v xml:space="preserve"> </v>
      </c>
      <c r="R42" s="63"/>
      <c r="V42" s="170"/>
      <c r="W42" s="56"/>
      <c r="X42" s="56"/>
      <c r="Y42" s="56"/>
      <c r="AD42" s="70"/>
      <c r="AG42" s="56"/>
      <c r="AH42" s="56"/>
      <c r="AI42" s="56"/>
      <c r="AJ42" s="56"/>
      <c r="AK42" s="56"/>
      <c r="AP42" s="76"/>
      <c r="AQ42" s="67"/>
      <c r="AR42" s="68"/>
      <c r="AS42" s="69"/>
      <c r="AT42" s="69"/>
      <c r="AU42" s="69"/>
      <c r="AV42" s="69"/>
      <c r="AW42" s="69"/>
      <c r="AX42" s="68"/>
      <c r="AY42" s="69"/>
      <c r="AZ42" s="67"/>
      <c r="BB42" s="76"/>
      <c r="BC42" s="67"/>
      <c r="BD42" s="68"/>
      <c r="BE42" s="69"/>
      <c r="BF42" s="69"/>
      <c r="BG42" s="69"/>
      <c r="BH42" s="69"/>
      <c r="BI42" s="69"/>
      <c r="BJ42" s="68"/>
      <c r="BK42" s="69"/>
      <c r="BL42" s="67"/>
      <c r="BN42" s="56"/>
      <c r="BO42" s="56"/>
      <c r="BR42" s="49"/>
      <c r="BT42" s="63"/>
      <c r="BW42" s="56"/>
      <c r="BX42" s="56"/>
      <c r="BY42" s="56"/>
      <c r="BZ42" s="56"/>
      <c r="CA42" s="56"/>
      <c r="CF42" s="63"/>
      <c r="CI42" s="56"/>
      <c r="CJ42" s="56"/>
      <c r="CK42" s="56"/>
      <c r="CL42" s="56"/>
      <c r="CM42" s="56"/>
    </row>
    <row r="43" spans="1:93" ht="39.950000000000003" customHeight="1">
      <c r="C43" s="546"/>
      <c r="D43" s="547"/>
      <c r="F43" s="131" t="s">
        <v>124</v>
      </c>
      <c r="G43" s="132" t="s">
        <v>125</v>
      </c>
      <c r="H43" s="105"/>
      <c r="I43" s="105"/>
      <c r="J43" s="110"/>
      <c r="K43" s="71"/>
      <c r="L43" s="60"/>
      <c r="M43" s="52"/>
      <c r="P43" s="52" t="str">
        <f>IF(('[1]S 4'!$Y240=4),'[1]S 4'!$E240,IF(('[1]S 4'!$Y241=4),'[1]S 4'!$E241,IF(('[1]S 4'!$Y242=4),'[1]S 4'!$E242,IF(('[1]S 4'!$Y243=4),'[1]S 4'!$E243," "))))</f>
        <v xml:space="preserve"> </v>
      </c>
      <c r="R43" s="63"/>
      <c r="V43" s="170"/>
      <c r="W43" s="56"/>
      <c r="X43" s="56"/>
      <c r="Y43" s="56"/>
      <c r="AD43" s="63"/>
      <c r="AG43" s="56"/>
      <c r="AH43" s="56"/>
      <c r="AI43" s="56"/>
      <c r="AJ43" s="56"/>
      <c r="AK43" s="56"/>
      <c r="AP43" s="76"/>
      <c r="AQ43" s="67"/>
      <c r="AR43" s="68"/>
      <c r="AS43" s="69"/>
      <c r="AT43" s="69"/>
      <c r="AU43" s="69"/>
      <c r="AV43" s="69"/>
      <c r="AW43" s="69"/>
      <c r="AX43" s="68"/>
      <c r="AY43" s="69"/>
      <c r="AZ43" s="67"/>
      <c r="BB43" s="76"/>
      <c r="BC43" s="67"/>
      <c r="BD43" s="68"/>
      <c r="BE43" s="69"/>
      <c r="BF43" s="69"/>
      <c r="BG43" s="69"/>
      <c r="BH43" s="69"/>
      <c r="BI43" s="69"/>
      <c r="BJ43" s="68"/>
      <c r="BK43" s="69"/>
      <c r="BL43" s="67"/>
      <c r="BN43" s="56"/>
      <c r="BO43" s="56"/>
      <c r="BR43" s="49"/>
      <c r="BT43" s="63"/>
      <c r="BW43" s="56"/>
      <c r="BX43" s="56"/>
      <c r="BY43" s="56"/>
      <c r="BZ43" s="56"/>
      <c r="CA43" s="56"/>
      <c r="CF43" s="63"/>
      <c r="CI43" s="56"/>
      <c r="CJ43" s="56"/>
      <c r="CK43" s="56"/>
      <c r="CL43" s="56"/>
      <c r="CM43" s="56"/>
    </row>
    <row r="44" spans="1:93" ht="39.950000000000003" customHeight="1">
      <c r="C44" s="546"/>
      <c r="D44" s="547"/>
      <c r="F44" s="133" t="s">
        <v>126</v>
      </c>
      <c r="G44" s="133" t="s">
        <v>127</v>
      </c>
      <c r="H44" s="105"/>
      <c r="I44" s="105"/>
      <c r="J44" s="110"/>
      <c r="K44" s="57"/>
      <c r="L44" s="60"/>
      <c r="M44" s="52"/>
      <c r="P44" s="52" t="str">
        <f>IF(('[1]S 4'!$Y246=4),'[1]S 4'!$E246,IF(('[1]S 4'!$Y247=4),'[1]S 4'!$E247,IF(('[1]S 4'!$Y248=4),'[1]S 4'!$E248,IF(('[1]S 4'!$Y249=4),'[1]S 4'!$E249," "))))</f>
        <v xml:space="preserve"> </v>
      </c>
      <c r="R44" s="63"/>
      <c r="V44" s="170"/>
      <c r="W44" s="56"/>
      <c r="X44" s="56"/>
      <c r="Y44" s="56"/>
      <c r="AD44" s="63"/>
      <c r="AG44" s="56"/>
      <c r="AH44" s="56"/>
      <c r="AI44" s="56"/>
      <c r="AJ44" s="56"/>
      <c r="AK44" s="56"/>
      <c r="AP44" s="76"/>
      <c r="AQ44" s="67"/>
      <c r="AR44" s="68"/>
      <c r="AS44" s="69"/>
      <c r="AT44" s="69"/>
      <c r="AU44" s="69"/>
      <c r="AV44" s="69"/>
      <c r="AW44" s="69"/>
      <c r="AX44" s="68"/>
      <c r="AY44" s="69"/>
      <c r="AZ44" s="67"/>
      <c r="BB44" s="76"/>
      <c r="BC44" s="67"/>
      <c r="BD44" s="68"/>
      <c r="BE44" s="69"/>
      <c r="BF44" s="69"/>
      <c r="BG44" s="69"/>
      <c r="BH44" s="69"/>
      <c r="BI44" s="69"/>
      <c r="BJ44" s="68"/>
      <c r="BK44" s="69"/>
      <c r="BL44" s="67"/>
      <c r="BN44" s="56"/>
      <c r="BO44" s="56"/>
      <c r="BR44" s="49"/>
      <c r="BT44" s="63"/>
      <c r="BW44" s="56"/>
      <c r="BX44" s="56"/>
      <c r="BY44" s="56"/>
      <c r="BZ44" s="56"/>
      <c r="CA44" s="56"/>
      <c r="CF44" s="63"/>
      <c r="CI44" s="56"/>
      <c r="CJ44" s="56"/>
      <c r="CK44" s="56"/>
      <c r="CL44" s="56"/>
      <c r="CM44" s="56"/>
    </row>
    <row r="45" spans="1:93" ht="39.950000000000003" customHeight="1">
      <c r="C45" s="546"/>
      <c r="D45" s="547"/>
      <c r="F45" s="105"/>
      <c r="G45" s="105"/>
      <c r="H45" s="105"/>
      <c r="I45" s="105"/>
      <c r="J45" s="110"/>
      <c r="K45" s="57"/>
      <c r="L45" s="60"/>
      <c r="M45" s="52"/>
      <c r="P45" s="52" t="str">
        <f>IF(('[1]S 4'!$Y252=4),'[1]S 4'!$E252,IF(('[1]S 4'!$Y253=4),'[1]S 4'!$E253,IF(('[1]S 4'!$Y254=4),'[1]S 4'!$E254,IF(('[1]S 4'!$Y255=4),'[1]S 4'!$E255," "))))</f>
        <v xml:space="preserve"> </v>
      </c>
      <c r="R45" s="63"/>
      <c r="V45" s="170"/>
      <c r="W45" s="56"/>
      <c r="X45" s="56"/>
      <c r="Y45" s="56"/>
      <c r="AD45" s="63"/>
      <c r="AG45" s="56"/>
      <c r="AH45" s="56"/>
      <c r="AI45" s="56"/>
      <c r="AJ45" s="56"/>
      <c r="AK45" s="56"/>
      <c r="AP45" s="76"/>
      <c r="AQ45" s="67"/>
      <c r="AR45" s="68"/>
      <c r="AS45" s="69"/>
      <c r="AT45" s="69"/>
      <c r="AU45" s="69"/>
      <c r="AV45" s="69"/>
      <c r="AW45" s="69"/>
      <c r="AX45" s="68"/>
      <c r="AY45" s="69"/>
      <c r="AZ45" s="67"/>
      <c r="BB45" s="76"/>
      <c r="BC45" s="67"/>
      <c r="BD45" s="68"/>
      <c r="BE45" s="69"/>
      <c r="BF45" s="69"/>
      <c r="BG45" s="69"/>
      <c r="BH45" s="69"/>
      <c r="BI45" s="69"/>
      <c r="BJ45" s="68"/>
      <c r="BK45" s="69"/>
      <c r="BL45" s="67"/>
      <c r="BN45" s="56"/>
      <c r="BO45" s="56"/>
      <c r="BR45" s="49"/>
      <c r="BT45" s="63"/>
      <c r="BW45" s="56"/>
      <c r="BX45" s="56"/>
      <c r="BY45" s="56"/>
      <c r="BZ45" s="56"/>
      <c r="CA45" s="56"/>
      <c r="CF45" s="63"/>
      <c r="CI45" s="56"/>
      <c r="CJ45" s="56"/>
      <c r="CK45" s="56"/>
      <c r="CL45" s="56"/>
      <c r="CM45" s="56"/>
    </row>
    <row r="46" spans="1:93" ht="39.950000000000003" customHeight="1">
      <c r="C46" s="546"/>
      <c r="D46" s="547"/>
      <c r="F46" s="105"/>
      <c r="G46" s="105"/>
      <c r="H46" s="105"/>
      <c r="I46" s="105"/>
      <c r="J46" s="110"/>
      <c r="K46" s="57"/>
      <c r="L46" s="60"/>
      <c r="M46" s="52"/>
      <c r="P46" s="52" t="str">
        <f>IF(('[1]S 4'!$Y258=4),'[1]S 4'!$E258,IF(('[1]S 4'!$Y259=4),'[1]S 4'!$E259,IF(('[1]S 4'!$Y260=4),'[1]S 4'!$E260,IF(('[1]S 4'!$Y261=4),'[1]S 4'!$E261," "))))</f>
        <v xml:space="preserve"> </v>
      </c>
      <c r="AP46" s="67"/>
      <c r="AQ46" s="67"/>
      <c r="AR46" s="68"/>
      <c r="AS46" s="68"/>
      <c r="AT46" s="68"/>
      <c r="AU46" s="68"/>
      <c r="AV46" s="68"/>
      <c r="AW46" s="68"/>
      <c r="AX46" s="68"/>
      <c r="AY46" s="69"/>
      <c r="AZ46" s="67"/>
      <c r="BB46" s="67"/>
      <c r="BC46" s="67"/>
      <c r="BD46" s="68"/>
      <c r="BE46" s="68"/>
      <c r="BF46" s="68"/>
      <c r="BG46" s="68"/>
      <c r="BH46" s="68"/>
      <c r="BI46" s="68"/>
      <c r="BJ46" s="68"/>
      <c r="BK46" s="69"/>
      <c r="BL46" s="67"/>
      <c r="BR46" s="49"/>
    </row>
    <row r="47" spans="1:93" ht="39.950000000000003" customHeight="1">
      <c r="C47" s="546"/>
      <c r="D47" s="547"/>
      <c r="F47" s="105"/>
      <c r="G47" s="105"/>
      <c r="H47" s="105"/>
      <c r="I47" s="105"/>
      <c r="J47" s="110"/>
      <c r="K47" s="57"/>
      <c r="L47" s="60"/>
      <c r="M47" s="52"/>
      <c r="P47" s="52" t="str">
        <f>IF(('[1]S 4'!$Y264=4),'[1]S 4'!$E264,IF(('[1]S 4'!$Y265=4),'[1]S 4'!$E265,IF(('[1]S 4'!$Y266=4),'[1]S 4'!$E266,IF(('[1]S 4'!$Y267=4),'[1]S 4'!$E267," "))))</f>
        <v xml:space="preserve"> </v>
      </c>
      <c r="R47" s="63"/>
      <c r="S47" s="64"/>
      <c r="Y47" s="531"/>
      <c r="Z47" s="531"/>
      <c r="AA47" s="531"/>
      <c r="AD47" s="63"/>
      <c r="AE47" s="64"/>
      <c r="AK47" s="531"/>
      <c r="AL47" s="531"/>
      <c r="AM47" s="531"/>
      <c r="AP47" s="76"/>
      <c r="AQ47" s="77"/>
      <c r="AR47" s="68"/>
      <c r="AS47" s="68"/>
      <c r="AT47" s="68"/>
      <c r="AU47" s="68"/>
      <c r="AV47" s="68"/>
      <c r="AW47" s="533"/>
      <c r="AX47" s="533"/>
      <c r="AY47" s="533"/>
      <c r="AZ47" s="67"/>
      <c r="BB47" s="76"/>
      <c r="BC47" s="77"/>
      <c r="BD47" s="68"/>
      <c r="BE47" s="68"/>
      <c r="BF47" s="68"/>
      <c r="BG47" s="68"/>
      <c r="BH47" s="68"/>
      <c r="BI47" s="533"/>
      <c r="BJ47" s="533"/>
      <c r="BK47" s="533"/>
      <c r="BL47" s="67"/>
      <c r="BO47" s="531"/>
      <c r="BP47" s="531"/>
      <c r="BQ47" s="531"/>
      <c r="BR47" s="49"/>
      <c r="BT47" s="63"/>
      <c r="BU47" s="64"/>
      <c r="CA47" s="531"/>
      <c r="CB47" s="531"/>
      <c r="CC47" s="531"/>
      <c r="CF47" s="63"/>
      <c r="CG47" s="64"/>
      <c r="CM47" s="531"/>
      <c r="CN47" s="531"/>
      <c r="CO47" s="531"/>
    </row>
    <row r="48" spans="1:93" ht="39.950000000000003" customHeight="1">
      <c r="C48" s="546"/>
      <c r="D48" s="547"/>
      <c r="F48" s="105"/>
      <c r="G48" s="105"/>
      <c r="H48" s="105"/>
      <c r="I48" s="105"/>
      <c r="J48" s="105"/>
      <c r="K48" s="52"/>
      <c r="L48" s="60"/>
      <c r="M48" s="52"/>
      <c r="P48" s="52" t="str">
        <f>IF(('[1]S 4'!$Y270=4),'[1]S 4'!$E270,IF(('[1]S 4'!$Y271=4),'[1]S 4'!$E271,IF(('[1]S 4'!$Y272=4),'[1]S 4'!$E272,IF(('[1]S 4'!$Y273=4),'[1]S 4'!$E273," "))))</f>
        <v xml:space="preserve"> </v>
      </c>
      <c r="R48" s="63"/>
      <c r="V48" s="170"/>
      <c r="W48" s="56"/>
      <c r="X48" s="56"/>
      <c r="Y48" s="56"/>
      <c r="AD48" s="63"/>
      <c r="AG48" s="56"/>
      <c r="AH48" s="56"/>
      <c r="AI48" s="56"/>
      <c r="AJ48" s="56"/>
      <c r="AK48" s="56"/>
      <c r="AP48" s="76"/>
      <c r="AQ48" s="67"/>
      <c r="AR48" s="68"/>
      <c r="AS48" s="69"/>
      <c r="AT48" s="69"/>
      <c r="AU48" s="69"/>
      <c r="AV48" s="69"/>
      <c r="AW48" s="69"/>
      <c r="AX48" s="68"/>
      <c r="AY48" s="69"/>
      <c r="AZ48" s="67"/>
      <c r="BB48" s="76"/>
      <c r="BC48" s="67"/>
      <c r="BD48" s="68"/>
      <c r="BE48" s="69"/>
      <c r="BF48" s="69"/>
      <c r="BG48" s="69"/>
      <c r="BH48" s="69"/>
      <c r="BI48" s="69"/>
      <c r="BJ48" s="68"/>
      <c r="BK48" s="69"/>
      <c r="BL48" s="67"/>
      <c r="BN48" s="56"/>
      <c r="BO48" s="56"/>
      <c r="BR48" s="49"/>
      <c r="BT48" s="63"/>
      <c r="BW48" s="56"/>
      <c r="BX48" s="56"/>
      <c r="BY48" s="56"/>
      <c r="BZ48" s="56"/>
      <c r="CA48" s="56"/>
      <c r="CF48" s="63"/>
      <c r="CI48" s="56"/>
      <c r="CJ48" s="56"/>
      <c r="CK48" s="56"/>
      <c r="CL48" s="56"/>
      <c r="CM48" s="56"/>
    </row>
    <row r="49" spans="3:93" ht="39.950000000000003" customHeight="1">
      <c r="C49" s="546"/>
      <c r="D49" s="547"/>
      <c r="F49" s="105"/>
      <c r="G49" s="105"/>
      <c r="H49" s="105"/>
      <c r="I49" s="105"/>
      <c r="J49" s="105"/>
      <c r="K49" s="52"/>
      <c r="P49" s="52" t="str">
        <f>IF(('[1]S 4'!$Y276=4),'[1]S 4'!$E276,IF(('[1]S 4'!$Y277=4),'[1]S 4'!$E277,IF(('[1]S 4'!$Y278=4),'[1]S 4'!$E278,IF(('[1]S 4'!$Y279=4),'[1]S 4'!$E279," "))))</f>
        <v xml:space="preserve"> </v>
      </c>
      <c r="R49" s="63"/>
      <c r="V49" s="170"/>
      <c r="W49" s="56"/>
      <c r="X49" s="56"/>
      <c r="Y49" s="56"/>
      <c r="AD49" s="63"/>
      <c r="AG49" s="56"/>
      <c r="AH49" s="56"/>
      <c r="AI49" s="56"/>
      <c r="AJ49" s="56"/>
      <c r="AK49" s="56"/>
      <c r="AP49" s="76"/>
      <c r="AQ49" s="67"/>
      <c r="AR49" s="68"/>
      <c r="AS49" s="69"/>
      <c r="AT49" s="69"/>
      <c r="AU49" s="69"/>
      <c r="AV49" s="69"/>
      <c r="AW49" s="69"/>
      <c r="AX49" s="68"/>
      <c r="AY49" s="69"/>
      <c r="AZ49" s="67"/>
      <c r="BB49" s="76"/>
      <c r="BC49" s="67"/>
      <c r="BD49" s="68"/>
      <c r="BE49" s="69"/>
      <c r="BF49" s="69"/>
      <c r="BG49" s="69"/>
      <c r="BH49" s="69"/>
      <c r="BI49" s="69"/>
      <c r="BJ49" s="68"/>
      <c r="BK49" s="69"/>
      <c r="BL49" s="67"/>
      <c r="BN49" s="56"/>
      <c r="BO49" s="56"/>
      <c r="BR49" s="49"/>
      <c r="BT49" s="63"/>
      <c r="BW49" s="56"/>
      <c r="BX49" s="56"/>
      <c r="BY49" s="56"/>
      <c r="BZ49" s="56"/>
      <c r="CA49" s="56"/>
      <c r="CF49" s="63"/>
      <c r="CI49" s="56"/>
      <c r="CJ49" s="56"/>
      <c r="CK49" s="56"/>
      <c r="CL49" s="56"/>
      <c r="CM49" s="56"/>
    </row>
    <row r="50" spans="3:93" ht="39.950000000000003" customHeight="1">
      <c r="C50" s="546"/>
      <c r="D50" s="547"/>
      <c r="F50" s="105"/>
      <c r="G50" s="105"/>
      <c r="H50" s="105"/>
      <c r="I50" s="105"/>
      <c r="J50" s="105"/>
      <c r="K50" s="52"/>
      <c r="P50" s="52" t="str">
        <f>IF(('[1]S 4'!$Y282=4),'[1]S 4'!$E282,IF(('[1]S 4'!$Y283=4),'[1]S 4'!$E283,IF(('[1]S 4'!$Y284=4),'[1]S 4'!$E284,IF(('[1]S 4'!$Y285=4),'[1]S 4'!$E285," "))))</f>
        <v xml:space="preserve"> </v>
      </c>
      <c r="R50" s="63"/>
      <c r="V50" s="170"/>
      <c r="W50" s="56"/>
      <c r="X50" s="56"/>
      <c r="Y50" s="56"/>
      <c r="AD50" s="63"/>
      <c r="AG50" s="56"/>
      <c r="AH50" s="56"/>
      <c r="AI50" s="56"/>
      <c r="AJ50" s="56"/>
      <c r="AK50" s="56"/>
      <c r="AP50" s="76"/>
      <c r="AQ50" s="67"/>
      <c r="AR50" s="68"/>
      <c r="AS50" s="69"/>
      <c r="AT50" s="69"/>
      <c r="AU50" s="69"/>
      <c r="AV50" s="69"/>
      <c r="AW50" s="69"/>
      <c r="AX50" s="68"/>
      <c r="AY50" s="69"/>
      <c r="AZ50" s="67"/>
      <c r="BB50" s="76"/>
      <c r="BC50" s="67"/>
      <c r="BD50" s="68"/>
      <c r="BE50" s="69"/>
      <c r="BF50" s="69"/>
      <c r="BG50" s="69"/>
      <c r="BH50" s="69"/>
      <c r="BI50" s="69"/>
      <c r="BJ50" s="68"/>
      <c r="BK50" s="69"/>
      <c r="BL50" s="67"/>
      <c r="BN50" s="56"/>
      <c r="BO50" s="56"/>
      <c r="BR50" s="49"/>
      <c r="BT50" s="63"/>
      <c r="BW50" s="56"/>
      <c r="BX50" s="56"/>
      <c r="BY50" s="56"/>
      <c r="BZ50" s="56"/>
      <c r="CA50" s="56"/>
      <c r="CF50" s="63"/>
      <c r="CI50" s="56"/>
      <c r="CJ50" s="56"/>
      <c r="CK50" s="56"/>
      <c r="CL50" s="56"/>
      <c r="CM50" s="56"/>
    </row>
    <row r="51" spans="3:93" ht="39.950000000000003" customHeight="1">
      <c r="C51" s="546"/>
      <c r="D51" s="547"/>
      <c r="F51" s="105"/>
      <c r="G51" s="105"/>
      <c r="H51" s="105"/>
      <c r="I51" s="105"/>
      <c r="J51" s="105"/>
      <c r="K51" s="52"/>
      <c r="P51" s="52" t="str">
        <f>IF(('[1]S 4'!$Y288=4),'[1]S 4'!$E288,IF(('[1]S 4'!$Y289=4),'[1]S 4'!$E289,IF(('[1]S 4'!$Y290=4),'[1]S 4'!$E290,IF(('[1]S 4'!$Y291=4),'[1]S 4'!$E291," "))))</f>
        <v xml:space="preserve"> </v>
      </c>
      <c r="R51" s="63"/>
      <c r="V51" s="170"/>
      <c r="W51" s="56"/>
      <c r="X51" s="56"/>
      <c r="Y51" s="56"/>
      <c r="AD51" s="63"/>
      <c r="AG51" s="56"/>
      <c r="AH51" s="56"/>
      <c r="AI51" s="56"/>
      <c r="AJ51" s="56"/>
      <c r="AK51" s="56"/>
      <c r="AP51" s="76"/>
      <c r="AQ51" s="67"/>
      <c r="AR51" s="68"/>
      <c r="AS51" s="69"/>
      <c r="AT51" s="69"/>
      <c r="AU51" s="69"/>
      <c r="AV51" s="69"/>
      <c r="AW51" s="69"/>
      <c r="AX51" s="68"/>
      <c r="AY51" s="69"/>
      <c r="AZ51" s="67"/>
      <c r="BB51" s="76"/>
      <c r="BC51" s="67"/>
      <c r="BD51" s="68"/>
      <c r="BE51" s="69"/>
      <c r="BF51" s="69"/>
      <c r="BG51" s="69"/>
      <c r="BH51" s="69"/>
      <c r="BI51" s="69"/>
      <c r="BJ51" s="68"/>
      <c r="BK51" s="69"/>
      <c r="BL51" s="67"/>
      <c r="BN51" s="56"/>
      <c r="BO51" s="56"/>
      <c r="BR51" s="49"/>
      <c r="BT51" s="63"/>
      <c r="BW51" s="56"/>
      <c r="BX51" s="56"/>
      <c r="BY51" s="56"/>
      <c r="BZ51" s="56"/>
      <c r="CA51" s="56"/>
      <c r="CF51" s="63"/>
      <c r="CI51" s="56"/>
      <c r="CJ51" s="56"/>
      <c r="CK51" s="56"/>
      <c r="CL51" s="56"/>
      <c r="CM51" s="56"/>
    </row>
    <row r="52" spans="3:93" ht="39.950000000000003" customHeight="1">
      <c r="C52" s="546"/>
      <c r="D52" s="547"/>
      <c r="F52" s="105"/>
      <c r="G52" s="105"/>
      <c r="H52" s="105"/>
      <c r="I52" s="105"/>
      <c r="J52" s="105"/>
      <c r="K52" s="52"/>
      <c r="P52" s="52" t="str">
        <f>IF(('[1]S 4'!$Y294=4),'[1]S 4'!$E294,IF(('[1]S 4'!$Y295=4),'[1]S 4'!$E295,IF(('[1]S 4'!$Y296=4),'[1]S 4'!$E296,IF(('[1]S 4'!$Y297=4),'[1]S 4'!$E297," "))))</f>
        <v xml:space="preserve"> </v>
      </c>
      <c r="BR52" s="49"/>
    </row>
    <row r="53" spans="3:93" ht="39.950000000000003" customHeight="1">
      <c r="C53" s="546"/>
      <c r="D53" s="547"/>
      <c r="F53" s="105"/>
      <c r="G53" s="105"/>
      <c r="H53" s="105"/>
      <c r="I53" s="105"/>
      <c r="J53" s="105"/>
      <c r="K53" s="52"/>
      <c r="P53" s="52" t="str">
        <f>IF(('[1]S 4'!$Y300=4),'[1]S 4'!$E300,IF(('[1]S 4'!$Y301=4),'[1]S 4'!$E301,IF(('[1]S 4'!$Y302=4),'[1]S 4'!$E302,IF(('[1]S 4'!$Y303=4),'[1]S 4'!$E303," "))))</f>
        <v xml:space="preserve"> </v>
      </c>
      <c r="R53" s="63"/>
      <c r="S53" s="64"/>
      <c r="Y53" s="531"/>
      <c r="Z53" s="531"/>
      <c r="AA53" s="531"/>
      <c r="AD53" s="63"/>
      <c r="AE53" s="64"/>
      <c r="AK53" s="531"/>
      <c r="AL53" s="531"/>
      <c r="AM53" s="531"/>
      <c r="AO53" s="68"/>
      <c r="AP53" s="76"/>
      <c r="AQ53" s="77"/>
      <c r="AR53" s="68"/>
      <c r="AS53" s="68"/>
      <c r="AT53" s="68"/>
      <c r="AU53" s="68"/>
      <c r="AV53" s="68"/>
      <c r="AW53" s="533"/>
      <c r="AX53" s="533"/>
      <c r="AY53" s="533"/>
      <c r="AZ53" s="67"/>
      <c r="BA53" s="68"/>
      <c r="BB53" s="76"/>
      <c r="BC53" s="77"/>
      <c r="BD53" s="68"/>
      <c r="BE53" s="68"/>
      <c r="BF53" s="68"/>
      <c r="BG53" s="68"/>
      <c r="BH53" s="68"/>
      <c r="BI53" s="533"/>
      <c r="BJ53" s="533"/>
      <c r="BK53" s="533"/>
      <c r="BL53" s="67"/>
      <c r="BM53" s="67"/>
      <c r="BO53" s="531"/>
      <c r="BP53" s="531"/>
      <c r="BQ53" s="531"/>
      <c r="BR53" s="49"/>
      <c r="BT53" s="63"/>
      <c r="BU53" s="64"/>
      <c r="CA53" s="531"/>
      <c r="CB53" s="531"/>
      <c r="CC53" s="531"/>
      <c r="CF53" s="63"/>
      <c r="CG53" s="64"/>
      <c r="CM53" s="531"/>
      <c r="CN53" s="531"/>
      <c r="CO53" s="531"/>
    </row>
    <row r="54" spans="3:93" ht="39.950000000000003" customHeight="1">
      <c r="C54" s="546"/>
      <c r="D54" s="547"/>
      <c r="F54" s="105"/>
      <c r="G54" s="105"/>
      <c r="H54" s="105"/>
      <c r="I54" s="105"/>
      <c r="J54" s="105"/>
      <c r="K54" s="52"/>
      <c r="P54" s="52" t="e">
        <f>IF(('[1]S 4'!#REF!=4),'[1]S 4'!#REF!,IF(('[1]S 4'!#REF!=4),'[1]S 4'!#REF!,IF(('[1]S 4'!#REF!=4),'[1]S 4'!#REF!,IF(('[1]S 4'!#REF!=4),'[1]S 4'!#REF!," "))))</f>
        <v>#REF!</v>
      </c>
      <c r="R54" s="63"/>
      <c r="V54" s="170"/>
      <c r="W54" s="56"/>
      <c r="X54" s="56"/>
      <c r="Y54" s="56"/>
      <c r="AD54" s="63"/>
      <c r="AG54" s="56"/>
      <c r="AH54" s="56"/>
      <c r="AI54" s="56"/>
      <c r="AJ54" s="56"/>
      <c r="AK54" s="56"/>
      <c r="AO54" s="68"/>
      <c r="AP54" s="76"/>
      <c r="AQ54" s="67"/>
      <c r="AR54" s="68"/>
      <c r="AS54" s="69"/>
      <c r="AT54" s="69"/>
      <c r="AU54" s="69"/>
      <c r="AV54" s="69"/>
      <c r="AW54" s="69"/>
      <c r="AX54" s="68"/>
      <c r="AY54" s="69"/>
      <c r="AZ54" s="67"/>
      <c r="BA54" s="69"/>
      <c r="BB54" s="76"/>
      <c r="BC54" s="67"/>
      <c r="BD54" s="68"/>
      <c r="BE54" s="69"/>
      <c r="BF54" s="69"/>
      <c r="BG54" s="69"/>
      <c r="BH54" s="69"/>
      <c r="BI54" s="69"/>
      <c r="BJ54" s="68"/>
      <c r="BK54" s="69"/>
      <c r="BL54" s="67"/>
      <c r="BM54" s="67"/>
      <c r="BN54" s="56"/>
      <c r="BO54" s="56"/>
      <c r="BR54" s="49"/>
      <c r="BT54" s="63"/>
      <c r="BW54" s="56"/>
      <c r="BX54" s="56"/>
      <c r="BY54" s="56"/>
      <c r="BZ54" s="56"/>
      <c r="CA54" s="56"/>
      <c r="CF54" s="63"/>
      <c r="CI54" s="56"/>
      <c r="CJ54" s="56"/>
      <c r="CK54" s="56"/>
      <c r="CL54" s="56"/>
      <c r="CM54" s="56"/>
    </row>
    <row r="55" spans="3:93" ht="39.950000000000003" customHeight="1">
      <c r="C55" s="546"/>
      <c r="D55" s="547"/>
      <c r="F55" s="105"/>
      <c r="G55" s="105"/>
      <c r="H55" s="105"/>
      <c r="I55" s="105"/>
      <c r="J55" s="105"/>
      <c r="K55" s="52"/>
      <c r="P55" s="52" t="e">
        <f>IF(('[1]S 4'!#REF!=4),'[1]S 4'!#REF!,IF(('[1]S 4'!#REF!=4),'[1]S 4'!#REF!,IF(('[1]S 4'!#REF!=4),'[1]S 4'!#REF!,IF(('[1]S 4'!#REF!=4),'[1]S 4'!#REF!," "))))</f>
        <v>#REF!</v>
      </c>
      <c r="R55" s="63"/>
      <c r="V55" s="170"/>
      <c r="W55" s="56"/>
      <c r="X55" s="56"/>
      <c r="Y55" s="56"/>
      <c r="AD55" s="63"/>
      <c r="AG55" s="56"/>
      <c r="AH55" s="56"/>
      <c r="AI55" s="56"/>
      <c r="AJ55" s="56"/>
      <c r="AK55" s="56"/>
      <c r="AO55" s="68"/>
      <c r="AP55" s="76"/>
      <c r="AQ55" s="67"/>
      <c r="AR55" s="68"/>
      <c r="AS55" s="69"/>
      <c r="AT55" s="69"/>
      <c r="AU55" s="69"/>
      <c r="AV55" s="69"/>
      <c r="AW55" s="69"/>
      <c r="AX55" s="68"/>
      <c r="AY55" s="69"/>
      <c r="AZ55" s="67"/>
      <c r="BA55" s="69"/>
      <c r="BB55" s="76"/>
      <c r="BC55" s="67"/>
      <c r="BD55" s="68"/>
      <c r="BE55" s="69"/>
      <c r="BF55" s="69"/>
      <c r="BG55" s="69"/>
      <c r="BH55" s="69"/>
      <c r="BI55" s="69"/>
      <c r="BJ55" s="68"/>
      <c r="BK55" s="69"/>
      <c r="BL55" s="67"/>
      <c r="BM55" s="67"/>
      <c r="BN55" s="56"/>
      <c r="BO55" s="56"/>
      <c r="BR55" s="49"/>
      <c r="BT55" s="63"/>
      <c r="BW55" s="56"/>
      <c r="BX55" s="56"/>
      <c r="BY55" s="56"/>
      <c r="BZ55" s="56"/>
      <c r="CA55" s="56"/>
      <c r="CF55" s="63"/>
      <c r="CI55" s="56"/>
      <c r="CJ55" s="56"/>
      <c r="CK55" s="56"/>
      <c r="CL55" s="56"/>
      <c r="CM55" s="56"/>
    </row>
    <row r="56" spans="3:93" ht="39.950000000000003" customHeight="1">
      <c r="C56" s="546"/>
      <c r="D56" s="547"/>
      <c r="F56" s="105"/>
      <c r="G56" s="105"/>
      <c r="H56" s="105"/>
      <c r="I56" s="105"/>
      <c r="J56" s="105"/>
      <c r="K56" s="52"/>
      <c r="P56" s="52" t="e">
        <f>IF(('[1]S 4'!#REF!=4),'[1]S 4'!#REF!,IF(('[1]S 4'!#REF!=4),'[1]S 4'!#REF!,IF(('[1]S 4'!#REF!=4),'[1]S 4'!#REF!,IF(('[1]S 4'!#REF!=4),'[1]S 4'!#REF!," "))))</f>
        <v>#REF!</v>
      </c>
      <c r="R56" s="63"/>
      <c r="V56" s="170"/>
      <c r="W56" s="56"/>
      <c r="X56" s="56"/>
      <c r="Y56" s="56"/>
      <c r="AD56" s="63"/>
      <c r="AG56" s="56"/>
      <c r="AH56" s="56"/>
      <c r="AI56" s="56"/>
      <c r="AJ56" s="56"/>
      <c r="AK56" s="56"/>
      <c r="AO56" s="68"/>
      <c r="AP56" s="76"/>
      <c r="AQ56" s="67"/>
      <c r="AR56" s="68"/>
      <c r="AS56" s="69"/>
      <c r="AT56" s="69"/>
      <c r="AU56" s="69"/>
      <c r="AV56" s="69"/>
      <c r="AW56" s="69"/>
      <c r="AX56" s="68"/>
      <c r="AY56" s="69"/>
      <c r="AZ56" s="67"/>
      <c r="BA56" s="69"/>
      <c r="BB56" s="76"/>
      <c r="BC56" s="67"/>
      <c r="BD56" s="68"/>
      <c r="BE56" s="69"/>
      <c r="BF56" s="69"/>
      <c r="BG56" s="69"/>
      <c r="BH56" s="69"/>
      <c r="BI56" s="69"/>
      <c r="BJ56" s="68"/>
      <c r="BK56" s="69"/>
      <c r="BL56" s="67"/>
      <c r="BM56" s="67"/>
      <c r="BN56" s="56"/>
      <c r="BO56" s="56"/>
      <c r="BR56" s="49"/>
      <c r="BT56" s="63"/>
      <c r="BW56" s="56"/>
      <c r="BX56" s="56"/>
      <c r="BY56" s="56"/>
      <c r="BZ56" s="56"/>
      <c r="CA56" s="56"/>
      <c r="CF56" s="63"/>
      <c r="CI56" s="56"/>
      <c r="CJ56" s="56"/>
      <c r="CK56" s="56"/>
      <c r="CL56" s="56"/>
      <c r="CM56" s="56"/>
    </row>
    <row r="57" spans="3:93" ht="39.950000000000003" customHeight="1">
      <c r="C57" s="546"/>
      <c r="D57" s="547"/>
      <c r="F57" s="105"/>
      <c r="G57" s="105"/>
      <c r="H57" s="105"/>
      <c r="I57" s="105"/>
      <c r="J57" s="105"/>
      <c r="K57" s="52"/>
      <c r="P57" s="52" t="e">
        <f>IF(('[1]S 4'!#REF!=4),'[1]S 4'!#REF!,IF(('[1]S 4'!#REF!=4),'[1]S 4'!#REF!,IF(('[1]S 4'!#REF!=4),'[1]S 4'!#REF!,IF(('[1]S 4'!#REF!=4),'[1]S 4'!#REF!," "))))</f>
        <v>#REF!</v>
      </c>
      <c r="R57" s="63"/>
      <c r="V57" s="170"/>
      <c r="W57" s="56"/>
      <c r="X57" s="56"/>
      <c r="Y57" s="56"/>
      <c r="AD57" s="63"/>
      <c r="AG57" s="56"/>
      <c r="AH57" s="56"/>
      <c r="AI57" s="56"/>
      <c r="AJ57" s="56"/>
      <c r="AK57" s="56"/>
      <c r="AO57" s="68"/>
      <c r="AP57" s="76"/>
      <c r="AQ57" s="67"/>
      <c r="AR57" s="68"/>
      <c r="AS57" s="69"/>
      <c r="AT57" s="69"/>
      <c r="AU57" s="69"/>
      <c r="AV57" s="69"/>
      <c r="AW57" s="69"/>
      <c r="AX57" s="68"/>
      <c r="AY57" s="69"/>
      <c r="AZ57" s="67"/>
      <c r="BA57" s="69"/>
      <c r="BB57" s="76"/>
      <c r="BC57" s="67"/>
      <c r="BD57" s="68"/>
      <c r="BE57" s="69"/>
      <c r="BF57" s="69"/>
      <c r="BG57" s="69"/>
      <c r="BH57" s="69"/>
      <c r="BI57" s="69"/>
      <c r="BJ57" s="68"/>
      <c r="BK57" s="69"/>
      <c r="BL57" s="67"/>
      <c r="BM57" s="67"/>
      <c r="BN57" s="56"/>
      <c r="BO57" s="56"/>
      <c r="BR57" s="49"/>
      <c r="BT57" s="63"/>
      <c r="BW57" s="56"/>
      <c r="BX57" s="56"/>
      <c r="BY57" s="56"/>
      <c r="BZ57" s="56"/>
      <c r="CA57" s="56"/>
      <c r="CF57" s="63"/>
      <c r="CI57" s="56"/>
      <c r="CJ57" s="56"/>
      <c r="CK57" s="56"/>
      <c r="CL57" s="56"/>
      <c r="CM57" s="56"/>
    </row>
    <row r="58" spans="3:93" ht="39.950000000000003" customHeight="1">
      <c r="C58" s="546"/>
      <c r="D58" s="547"/>
      <c r="F58" s="105"/>
      <c r="G58" s="105"/>
      <c r="H58" s="105"/>
      <c r="I58" s="105"/>
      <c r="J58" s="105"/>
      <c r="K58" s="52"/>
      <c r="P58" s="52" t="e">
        <f>IF(('[1]S 4'!#REF!=4),'[1]S 4'!#REF!,IF(('[1]S 4'!#REF!=4),'[1]S 4'!#REF!,IF(('[1]S 4'!#REF!=4),'[1]S 4'!#REF!,IF(('[1]S 4'!#REF!=4),'[1]S 4'!#REF!," "))))</f>
        <v>#REF!</v>
      </c>
      <c r="AO58" s="68"/>
      <c r="AP58" s="67"/>
      <c r="AQ58" s="67"/>
      <c r="AR58" s="68"/>
      <c r="AS58" s="68"/>
      <c r="AT58" s="68"/>
      <c r="AU58" s="68"/>
      <c r="AV58" s="68"/>
      <c r="AW58" s="68"/>
      <c r="AX58" s="68"/>
      <c r="AY58" s="69"/>
      <c r="AZ58" s="67"/>
      <c r="BA58" s="68"/>
      <c r="BB58" s="67"/>
      <c r="BC58" s="67"/>
      <c r="BD58" s="68"/>
      <c r="BE58" s="68"/>
      <c r="BF58" s="68"/>
      <c r="BG58" s="68"/>
      <c r="BH58" s="68"/>
      <c r="BI58" s="68"/>
      <c r="BJ58" s="68"/>
      <c r="BK58" s="69"/>
      <c r="BL58" s="67"/>
      <c r="BM58" s="67"/>
      <c r="BR58" s="49"/>
    </row>
    <row r="59" spans="3:93" ht="39.950000000000003" customHeight="1">
      <c r="C59" s="546"/>
      <c r="D59" s="547"/>
      <c r="F59" s="105"/>
      <c r="G59" s="105"/>
      <c r="H59" s="105"/>
      <c r="I59" s="105"/>
      <c r="J59" s="105"/>
      <c r="K59" s="52"/>
      <c r="P59" s="52" t="e">
        <f>IF(('[1]S 4'!#REF!=4),'[1]S 4'!#REF!,IF(('[1]S 4'!#REF!=4),'[1]S 4'!#REF!,IF(('[1]S 4'!#REF!=4),'[1]S 4'!#REF!,IF(('[1]S 4'!#REF!=4),'[1]S 4'!#REF!," "))))</f>
        <v>#REF!</v>
      </c>
      <c r="R59" s="63"/>
      <c r="S59" s="64"/>
      <c r="Y59" s="531"/>
      <c r="Z59" s="531"/>
      <c r="AA59" s="531"/>
      <c r="AD59" s="63"/>
      <c r="AE59" s="64"/>
      <c r="AK59" s="531"/>
      <c r="AL59" s="531"/>
      <c r="AM59" s="531"/>
      <c r="AO59" s="68"/>
      <c r="AP59" s="76"/>
      <c r="AQ59" s="77"/>
      <c r="AR59" s="68"/>
      <c r="AS59" s="68"/>
      <c r="AT59" s="68"/>
      <c r="AU59" s="68"/>
      <c r="AV59" s="68"/>
      <c r="AW59" s="533"/>
      <c r="AX59" s="533"/>
      <c r="AY59" s="533"/>
      <c r="AZ59" s="67"/>
      <c r="BA59" s="68"/>
      <c r="BB59" s="76"/>
      <c r="BC59" s="77"/>
      <c r="BD59" s="68"/>
      <c r="BE59" s="68"/>
      <c r="BF59" s="68"/>
      <c r="BG59" s="68"/>
      <c r="BH59" s="68"/>
      <c r="BI59" s="533"/>
      <c r="BJ59" s="533"/>
      <c r="BK59" s="533"/>
      <c r="BL59" s="67"/>
      <c r="BM59" s="67"/>
      <c r="BO59" s="531"/>
      <c r="BP59" s="531"/>
      <c r="BQ59" s="531"/>
      <c r="BR59" s="49"/>
      <c r="BT59" s="63"/>
      <c r="BU59" s="64"/>
      <c r="CA59" s="531"/>
      <c r="CB59" s="531"/>
      <c r="CC59" s="531"/>
      <c r="CF59" s="63"/>
      <c r="CG59" s="64"/>
      <c r="CM59" s="531"/>
      <c r="CN59" s="531"/>
      <c r="CO59" s="531"/>
    </row>
    <row r="60" spans="3:93" ht="39.950000000000003" customHeight="1">
      <c r="C60" s="546"/>
      <c r="D60" s="547"/>
      <c r="F60" s="105"/>
      <c r="G60" s="105"/>
      <c r="H60" s="105"/>
      <c r="I60" s="105"/>
      <c r="J60" s="105"/>
      <c r="K60" s="52"/>
      <c r="P60" s="52" t="e">
        <f>IF(('[1]S 4'!#REF!=4),'[1]S 4'!#REF!,IF(('[1]S 4'!#REF!=4),'[1]S 4'!#REF!,IF(('[1]S 4'!#REF!=4),'[1]S 4'!#REF!,IF(('[1]S 4'!#REF!=4),'[1]S 4'!#REF!," "))))</f>
        <v>#REF!</v>
      </c>
      <c r="R60" s="63"/>
      <c r="V60" s="170"/>
      <c r="W60" s="56"/>
      <c r="X60" s="56"/>
      <c r="Y60" s="56"/>
      <c r="AD60" s="63"/>
      <c r="AG60" s="56"/>
      <c r="AH60" s="56"/>
      <c r="AI60" s="56"/>
      <c r="AJ60" s="56"/>
      <c r="AK60" s="56"/>
      <c r="AO60" s="68"/>
      <c r="AP60" s="76"/>
      <c r="AQ60" s="67"/>
      <c r="AR60" s="68"/>
      <c r="AS60" s="69"/>
      <c r="AT60" s="69"/>
      <c r="AU60" s="69"/>
      <c r="AV60" s="69"/>
      <c r="AW60" s="69"/>
      <c r="AX60" s="68"/>
      <c r="AY60" s="69"/>
      <c r="AZ60" s="67"/>
      <c r="BA60" s="69"/>
      <c r="BB60" s="76"/>
      <c r="BC60" s="67"/>
      <c r="BD60" s="68"/>
      <c r="BE60" s="69"/>
      <c r="BF60" s="69"/>
      <c r="BG60" s="69"/>
      <c r="BH60" s="69"/>
      <c r="BI60" s="69"/>
      <c r="BJ60" s="68"/>
      <c r="BK60" s="69"/>
      <c r="BL60" s="67"/>
      <c r="BM60" s="67"/>
      <c r="BN60" s="56"/>
      <c r="BO60" s="56"/>
      <c r="BR60" s="49"/>
      <c r="BT60" s="63"/>
      <c r="BW60" s="56"/>
      <c r="BX60" s="56"/>
      <c r="BY60" s="56"/>
      <c r="BZ60" s="56"/>
      <c r="CA60" s="56"/>
      <c r="CF60" s="63"/>
      <c r="CI60" s="56"/>
      <c r="CJ60" s="56"/>
      <c r="CK60" s="56"/>
      <c r="CL60" s="56"/>
      <c r="CM60" s="56"/>
    </row>
    <row r="61" spans="3:93" ht="39.950000000000003" customHeight="1">
      <c r="C61" s="546"/>
      <c r="D61" s="547"/>
      <c r="F61" s="105"/>
      <c r="G61" s="105"/>
      <c r="H61" s="105"/>
      <c r="I61" s="105"/>
      <c r="J61" s="105"/>
      <c r="K61" s="52"/>
      <c r="P61" s="52" t="e">
        <f>IF(('[1]S 4'!#REF!=4),'[1]S 4'!#REF!,IF(('[1]S 4'!#REF!=4),'[1]S 4'!#REF!,IF(('[1]S 4'!#REF!=4),'[1]S 4'!#REF!,IF(('[1]S 4'!#REF!=4),'[1]S 4'!#REF!," "))))</f>
        <v>#REF!</v>
      </c>
      <c r="R61" s="63"/>
      <c r="V61" s="170"/>
      <c r="W61" s="56"/>
      <c r="X61" s="56"/>
      <c r="Y61" s="56"/>
      <c r="AD61" s="63"/>
      <c r="AG61" s="56"/>
      <c r="AH61" s="56"/>
      <c r="AI61" s="56"/>
      <c r="AJ61" s="56"/>
      <c r="AK61" s="56"/>
      <c r="AO61" s="68"/>
      <c r="AP61" s="76"/>
      <c r="AQ61" s="67"/>
      <c r="AR61" s="68"/>
      <c r="AS61" s="69"/>
      <c r="AT61" s="69"/>
      <c r="AU61" s="69"/>
      <c r="AV61" s="69"/>
      <c r="AW61" s="69"/>
      <c r="AX61" s="68"/>
      <c r="AY61" s="69"/>
      <c r="AZ61" s="67"/>
      <c r="BA61" s="69"/>
      <c r="BB61" s="76"/>
      <c r="BC61" s="67"/>
      <c r="BD61" s="68"/>
      <c r="BE61" s="69"/>
      <c r="BF61" s="69"/>
      <c r="BG61" s="69"/>
      <c r="BH61" s="69"/>
      <c r="BI61" s="69"/>
      <c r="BJ61" s="68"/>
      <c r="BK61" s="69"/>
      <c r="BL61" s="67"/>
      <c r="BM61" s="67"/>
      <c r="BN61" s="56"/>
      <c r="BO61" s="56"/>
      <c r="BR61" s="49"/>
      <c r="BT61" s="63"/>
      <c r="BW61" s="56"/>
      <c r="BX61" s="56"/>
      <c r="BY61" s="56"/>
      <c r="BZ61" s="56"/>
      <c r="CA61" s="56"/>
      <c r="CF61" s="63"/>
      <c r="CI61" s="56"/>
      <c r="CJ61" s="56"/>
      <c r="CK61" s="56"/>
      <c r="CL61" s="56"/>
      <c r="CM61" s="56"/>
    </row>
    <row r="62" spans="3:93" ht="39.950000000000003" customHeight="1">
      <c r="C62" s="546"/>
      <c r="D62" s="547"/>
      <c r="F62" s="105"/>
      <c r="G62" s="105"/>
      <c r="H62" s="105"/>
      <c r="I62" s="105"/>
      <c r="J62" s="105"/>
      <c r="K62" s="52"/>
      <c r="P62" s="52" t="e">
        <f>IF(('[1]S 4'!#REF!=4),'[1]S 4'!#REF!,IF(('[1]S 4'!#REF!=4),'[1]S 4'!#REF!,IF(('[1]S 4'!#REF!=4),'[1]S 4'!#REF!,IF(('[1]S 4'!#REF!=4),'[1]S 4'!#REF!," "))))</f>
        <v>#REF!</v>
      </c>
      <c r="R62" s="63"/>
      <c r="V62" s="170"/>
      <c r="W62" s="56"/>
      <c r="X62" s="56"/>
      <c r="Y62" s="56"/>
      <c r="AD62" s="63"/>
      <c r="AG62" s="56"/>
      <c r="AH62" s="56"/>
      <c r="AI62" s="56"/>
      <c r="AJ62" s="56"/>
      <c r="AK62" s="56"/>
      <c r="AO62" s="68"/>
      <c r="AP62" s="76"/>
      <c r="AQ62" s="67"/>
      <c r="AR62" s="68"/>
      <c r="AS62" s="69"/>
      <c r="AT62" s="69"/>
      <c r="AU62" s="69"/>
      <c r="AV62" s="69"/>
      <c r="AW62" s="69"/>
      <c r="AX62" s="68"/>
      <c r="AY62" s="69"/>
      <c r="AZ62" s="67"/>
      <c r="BA62" s="69"/>
      <c r="BB62" s="76"/>
      <c r="BC62" s="67"/>
      <c r="BD62" s="68"/>
      <c r="BE62" s="69"/>
      <c r="BF62" s="69"/>
      <c r="BG62" s="69"/>
      <c r="BH62" s="69"/>
      <c r="BI62" s="69"/>
      <c r="BJ62" s="68"/>
      <c r="BK62" s="69"/>
      <c r="BL62" s="67"/>
      <c r="BM62" s="67"/>
      <c r="BN62" s="56"/>
      <c r="BO62" s="56"/>
      <c r="BR62" s="49"/>
      <c r="BT62" s="63"/>
      <c r="BW62" s="56"/>
      <c r="BX62" s="56"/>
      <c r="BY62" s="56"/>
      <c r="BZ62" s="56"/>
      <c r="CA62" s="56"/>
      <c r="CF62" s="63"/>
      <c r="CI62" s="56"/>
      <c r="CJ62" s="56"/>
      <c r="CK62" s="56"/>
      <c r="CL62" s="56"/>
      <c r="CM62" s="56"/>
    </row>
    <row r="63" spans="3:93" ht="39.950000000000003" customHeight="1">
      <c r="C63" s="546"/>
      <c r="D63" s="547"/>
      <c r="F63" s="105"/>
      <c r="G63" s="105"/>
      <c r="H63" s="105"/>
      <c r="I63" s="105"/>
      <c r="J63" s="105"/>
      <c r="K63" s="52"/>
      <c r="P63" s="52" t="e">
        <f>IF(('[1]S 4'!#REF!=4),'[1]S 4'!#REF!,IF(('[1]S 4'!#REF!=4),'[1]S 4'!#REF!,IF(('[1]S 4'!#REF!=4),'[1]S 4'!#REF!,IF(('[1]S 4'!#REF!=4),'[1]S 4'!#REF!," "))))</f>
        <v>#REF!</v>
      </c>
      <c r="R63" s="63"/>
      <c r="V63" s="170"/>
      <c r="W63" s="56"/>
      <c r="X63" s="56"/>
      <c r="Y63" s="56"/>
      <c r="AD63" s="63"/>
      <c r="AG63" s="56"/>
      <c r="AH63" s="56"/>
      <c r="AI63" s="56"/>
      <c r="AJ63" s="56"/>
      <c r="AK63" s="56"/>
      <c r="AO63" s="68"/>
      <c r="AP63" s="76"/>
      <c r="AQ63" s="67"/>
      <c r="AR63" s="68"/>
      <c r="AS63" s="69"/>
      <c r="AT63" s="69"/>
      <c r="AU63" s="69"/>
      <c r="AV63" s="69"/>
      <c r="AW63" s="69"/>
      <c r="AX63" s="68"/>
      <c r="AY63" s="69"/>
      <c r="AZ63" s="67"/>
      <c r="BA63" s="69"/>
      <c r="BB63" s="76"/>
      <c r="BC63" s="67"/>
      <c r="BD63" s="68"/>
      <c r="BE63" s="69"/>
      <c r="BF63" s="69"/>
      <c r="BG63" s="69"/>
      <c r="BH63" s="69"/>
      <c r="BI63" s="69"/>
      <c r="BJ63" s="68"/>
      <c r="BK63" s="69"/>
      <c r="BL63" s="67"/>
      <c r="BM63" s="67"/>
      <c r="BN63" s="56"/>
      <c r="BO63" s="56"/>
      <c r="BR63" s="49"/>
      <c r="BT63" s="63"/>
      <c r="BW63" s="56"/>
      <c r="BX63" s="56"/>
      <c r="BY63" s="56"/>
      <c r="BZ63" s="56"/>
      <c r="CA63" s="56"/>
      <c r="CF63" s="63"/>
      <c r="CI63" s="56"/>
      <c r="CJ63" s="56"/>
      <c r="CK63" s="56"/>
      <c r="CL63" s="56"/>
      <c r="CM63" s="56"/>
    </row>
    <row r="64" spans="3:93" ht="39.950000000000003" customHeight="1">
      <c r="C64" s="546"/>
      <c r="D64" s="547"/>
      <c r="F64" s="105"/>
      <c r="G64" s="105"/>
      <c r="H64" s="105"/>
      <c r="I64" s="105"/>
      <c r="J64" s="105"/>
      <c r="K64" s="52"/>
      <c r="P64" s="52" t="e">
        <f>IF(('[1]S 4'!#REF!=4),'[1]S 4'!#REF!,IF(('[1]S 4'!#REF!=4),'[1]S 4'!#REF!,IF(('[1]S 4'!#REF!=4),'[1]S 4'!#REF!,IF(('[1]S 4'!#REF!=4),'[1]S 4'!#REF!," "))))</f>
        <v>#REF!</v>
      </c>
      <c r="AO64" s="68"/>
      <c r="AP64" s="67"/>
      <c r="AQ64" s="67"/>
      <c r="AR64" s="68"/>
      <c r="AS64" s="68"/>
      <c r="AT64" s="68"/>
      <c r="AU64" s="68"/>
      <c r="AV64" s="68"/>
      <c r="AW64" s="68"/>
      <c r="AX64" s="68"/>
      <c r="AY64" s="69"/>
      <c r="AZ64" s="67"/>
      <c r="BA64" s="68"/>
      <c r="BB64" s="67"/>
      <c r="BC64" s="67"/>
      <c r="BD64" s="68"/>
      <c r="BE64" s="68"/>
      <c r="BF64" s="68"/>
      <c r="BG64" s="68"/>
      <c r="BH64" s="68"/>
      <c r="BI64" s="68"/>
      <c r="BJ64" s="68"/>
      <c r="BK64" s="69"/>
      <c r="BL64" s="67"/>
      <c r="BM64" s="67"/>
      <c r="BR64" s="49"/>
    </row>
    <row r="65" spans="3:93" ht="39.950000000000003" customHeight="1">
      <c r="C65" s="546"/>
      <c r="D65" s="547"/>
      <c r="F65" s="105"/>
      <c r="G65" s="105"/>
      <c r="H65" s="105"/>
      <c r="I65" s="105"/>
      <c r="J65" s="105"/>
      <c r="K65" s="52"/>
      <c r="P65" s="52" t="e">
        <f>IF(('[1]S 4'!#REF!=4),'[1]S 4'!#REF!,IF(('[1]S 4'!#REF!=4),'[1]S 4'!#REF!,IF(('[1]S 4'!#REF!=4),'[1]S 4'!#REF!,IF(('[1]S 4'!#REF!=4),'[1]S 4'!#REF!," "))))</f>
        <v>#REF!</v>
      </c>
      <c r="R65" s="63"/>
      <c r="S65" s="64"/>
      <c r="Y65" s="531"/>
      <c r="Z65" s="531"/>
      <c r="AA65" s="531"/>
      <c r="AD65" s="63"/>
      <c r="AE65" s="64"/>
      <c r="AK65" s="531"/>
      <c r="AL65" s="531"/>
      <c r="AM65" s="531"/>
      <c r="AO65" s="68"/>
      <c r="AP65" s="76"/>
      <c r="AQ65" s="77"/>
      <c r="AR65" s="68"/>
      <c r="AS65" s="68"/>
      <c r="AT65" s="68"/>
      <c r="AU65" s="68"/>
      <c r="AV65" s="68"/>
      <c r="AW65" s="533"/>
      <c r="AX65" s="533"/>
      <c r="AY65" s="533"/>
      <c r="AZ65" s="67"/>
      <c r="BA65" s="68"/>
      <c r="BB65" s="76"/>
      <c r="BC65" s="77"/>
      <c r="BD65" s="68"/>
      <c r="BE65" s="68"/>
      <c r="BF65" s="68"/>
      <c r="BG65" s="68"/>
      <c r="BH65" s="68"/>
      <c r="BI65" s="533"/>
      <c r="BJ65" s="533"/>
      <c r="BK65" s="533"/>
      <c r="BL65" s="67"/>
      <c r="BM65" s="67"/>
      <c r="BO65" s="531"/>
      <c r="BP65" s="531"/>
      <c r="BQ65" s="531"/>
      <c r="BR65" s="49"/>
      <c r="BT65" s="63"/>
      <c r="BU65" s="64"/>
      <c r="CA65" s="531"/>
      <c r="CB65" s="531"/>
      <c r="CC65" s="531"/>
      <c r="CF65" s="63"/>
      <c r="CG65" s="64"/>
      <c r="CM65" s="531"/>
      <c r="CN65" s="531"/>
      <c r="CO65" s="531"/>
    </row>
    <row r="66" spans="3:93" ht="39.950000000000003" customHeight="1">
      <c r="C66" s="546"/>
      <c r="D66" s="547"/>
      <c r="F66" s="105"/>
      <c r="G66" s="105"/>
      <c r="H66" s="105"/>
      <c r="I66" s="105"/>
      <c r="J66" s="105"/>
      <c r="K66" s="52"/>
      <c r="P66" s="52" t="e">
        <f>IF(('[1]S 4'!#REF!=4),'[1]S 4'!#REF!,IF(('[1]S 4'!#REF!=4),'[1]S 4'!#REF!,IF(('[1]S 4'!#REF!=4),'[1]S 4'!#REF!,IF(('[1]S 4'!#REF!=4),'[1]S 4'!#REF!," "))))</f>
        <v>#REF!</v>
      </c>
      <c r="R66" s="63"/>
      <c r="V66" s="170"/>
      <c r="W66" s="56"/>
      <c r="X66" s="56"/>
      <c r="Y66" s="56"/>
      <c r="AD66" s="63"/>
      <c r="AG66" s="56"/>
      <c r="AH66" s="56"/>
      <c r="AI66" s="56"/>
      <c r="AJ66" s="56"/>
      <c r="AK66" s="56"/>
      <c r="AO66" s="68"/>
      <c r="AP66" s="76"/>
      <c r="AQ66" s="67"/>
      <c r="AR66" s="68"/>
      <c r="AS66" s="69"/>
      <c r="AT66" s="69"/>
      <c r="AU66" s="69"/>
      <c r="AV66" s="69"/>
      <c r="AW66" s="69"/>
      <c r="AX66" s="68"/>
      <c r="AY66" s="69"/>
      <c r="AZ66" s="67"/>
      <c r="BA66" s="69"/>
      <c r="BB66" s="76"/>
      <c r="BC66" s="67"/>
      <c r="BD66" s="68"/>
      <c r="BE66" s="69"/>
      <c r="BF66" s="69"/>
      <c r="BG66" s="69"/>
      <c r="BH66" s="69"/>
      <c r="BI66" s="69"/>
      <c r="BJ66" s="68"/>
      <c r="BK66" s="69"/>
      <c r="BL66" s="67"/>
      <c r="BM66" s="67"/>
      <c r="BN66" s="56"/>
      <c r="BO66" s="56"/>
      <c r="BR66" s="49"/>
      <c r="BT66" s="63"/>
      <c r="BW66" s="56"/>
      <c r="BX66" s="56"/>
      <c r="BY66" s="56"/>
      <c r="BZ66" s="56"/>
      <c r="CA66" s="56"/>
      <c r="CF66" s="63"/>
      <c r="CI66" s="56"/>
      <c r="CJ66" s="56"/>
      <c r="CK66" s="56"/>
      <c r="CL66" s="56"/>
      <c r="CM66" s="56"/>
    </row>
    <row r="67" spans="3:93" ht="39.950000000000003" customHeight="1">
      <c r="C67" s="546"/>
      <c r="D67" s="547"/>
      <c r="F67" s="105"/>
      <c r="G67" s="105"/>
      <c r="H67" s="105"/>
      <c r="I67" s="105"/>
      <c r="J67" s="105"/>
      <c r="K67" s="52"/>
      <c r="P67" s="52" t="e">
        <f>IF(('[1]S 4'!#REF!=4),'[1]S 4'!#REF!,IF(('[1]S 4'!#REF!=4),'[1]S 4'!#REF!,IF(('[1]S 4'!#REF!=4),'[1]S 4'!#REF!,IF(('[1]S 4'!#REF!=4),'[1]S 4'!#REF!," "))))</f>
        <v>#REF!</v>
      </c>
      <c r="R67" s="63"/>
      <c r="V67" s="170"/>
      <c r="W67" s="56"/>
      <c r="X67" s="56"/>
      <c r="Y67" s="56"/>
      <c r="AD67" s="63"/>
      <c r="AG67" s="56"/>
      <c r="AH67" s="56"/>
      <c r="AI67" s="56"/>
      <c r="AJ67" s="56"/>
      <c r="AK67" s="56"/>
      <c r="AO67" s="68"/>
      <c r="AP67" s="76"/>
      <c r="AQ67" s="67"/>
      <c r="AR67" s="68"/>
      <c r="AS67" s="69"/>
      <c r="AT67" s="69"/>
      <c r="AU67" s="69"/>
      <c r="AV67" s="69"/>
      <c r="AW67" s="69"/>
      <c r="AX67" s="68"/>
      <c r="AY67" s="69"/>
      <c r="AZ67" s="67"/>
      <c r="BA67" s="69"/>
      <c r="BB67" s="76"/>
      <c r="BC67" s="67"/>
      <c r="BD67" s="68"/>
      <c r="BE67" s="69"/>
      <c r="BF67" s="69"/>
      <c r="BG67" s="69"/>
      <c r="BH67" s="69"/>
      <c r="BI67" s="69"/>
      <c r="BJ67" s="68"/>
      <c r="BK67" s="69"/>
      <c r="BL67" s="67"/>
      <c r="BM67" s="67"/>
      <c r="BN67" s="56"/>
      <c r="BO67" s="56"/>
      <c r="BR67" s="49"/>
      <c r="BT67" s="63"/>
      <c r="BW67" s="56"/>
      <c r="BX67" s="56"/>
      <c r="BY67" s="56"/>
      <c r="BZ67" s="56"/>
      <c r="CA67" s="56"/>
      <c r="CF67" s="63"/>
      <c r="CI67" s="56"/>
      <c r="CJ67" s="56"/>
      <c r="CK67" s="56"/>
      <c r="CL67" s="56"/>
      <c r="CM67" s="56"/>
    </row>
    <row r="68" spans="3:93" ht="39.950000000000003" customHeight="1">
      <c r="C68" s="149"/>
      <c r="D68" s="150"/>
      <c r="F68" s="105"/>
      <c r="G68" s="105"/>
      <c r="H68" s="105"/>
      <c r="I68" s="105"/>
      <c r="J68" s="105"/>
      <c r="K68" s="52"/>
      <c r="R68" s="63"/>
      <c r="V68" s="170"/>
      <c r="W68" s="56"/>
      <c r="X68" s="56"/>
      <c r="Y68" s="56"/>
      <c r="AD68" s="63"/>
      <c r="AG68" s="56"/>
      <c r="AH68" s="56"/>
      <c r="AI68" s="56"/>
      <c r="AJ68" s="56"/>
      <c r="AK68" s="56"/>
      <c r="AO68" s="68"/>
      <c r="AP68" s="76"/>
      <c r="AQ68" s="67"/>
      <c r="AR68" s="68"/>
      <c r="AS68" s="69"/>
      <c r="AT68" s="69"/>
      <c r="AU68" s="69"/>
      <c r="AV68" s="69"/>
      <c r="AW68" s="69"/>
      <c r="AX68" s="68"/>
      <c r="AY68" s="69"/>
      <c r="AZ68" s="67"/>
      <c r="BA68" s="69"/>
      <c r="BB68" s="76"/>
      <c r="BC68" s="67"/>
      <c r="BD68" s="68"/>
      <c r="BE68" s="69"/>
      <c r="BF68" s="69"/>
      <c r="BG68" s="69"/>
      <c r="BH68" s="69"/>
      <c r="BI68" s="69"/>
      <c r="BJ68" s="68"/>
      <c r="BK68" s="69"/>
      <c r="BL68" s="67"/>
      <c r="BM68" s="67"/>
      <c r="BN68" s="56"/>
      <c r="BO68" s="56"/>
      <c r="BR68" s="49"/>
      <c r="BT68" s="63"/>
      <c r="BW68" s="56"/>
      <c r="BX68" s="56"/>
      <c r="BY68" s="56"/>
      <c r="BZ68" s="56"/>
      <c r="CA68" s="56"/>
      <c r="CF68" s="63"/>
      <c r="CI68" s="56"/>
      <c r="CJ68" s="56"/>
      <c r="CK68" s="56"/>
      <c r="CL68" s="56"/>
      <c r="CM68" s="56"/>
    </row>
    <row r="69" spans="3:93" ht="39.950000000000003" customHeight="1">
      <c r="C69" s="149"/>
      <c r="D69" s="150"/>
      <c r="F69" s="105"/>
      <c r="G69" s="105"/>
      <c r="H69" s="105"/>
      <c r="I69" s="105"/>
      <c r="J69" s="105"/>
      <c r="K69" s="52"/>
      <c r="R69" s="63"/>
      <c r="V69" s="170"/>
      <c r="W69" s="56"/>
      <c r="X69" s="56"/>
      <c r="Y69" s="56"/>
      <c r="AD69" s="63"/>
      <c r="AG69" s="56"/>
      <c r="AH69" s="56"/>
      <c r="AI69" s="56"/>
      <c r="AJ69" s="56"/>
      <c r="AK69" s="56"/>
      <c r="AO69" s="68"/>
      <c r="AP69" s="76"/>
      <c r="AQ69" s="67"/>
      <c r="AR69" s="68"/>
      <c r="AS69" s="69"/>
      <c r="AT69" s="69"/>
      <c r="AU69" s="69"/>
      <c r="AV69" s="69"/>
      <c r="AW69" s="69"/>
      <c r="AX69" s="68"/>
      <c r="AY69" s="69"/>
      <c r="AZ69" s="67"/>
      <c r="BA69" s="69"/>
      <c r="BB69" s="76"/>
      <c r="BC69" s="67"/>
      <c r="BD69" s="68"/>
      <c r="BE69" s="69"/>
      <c r="BF69" s="69"/>
      <c r="BG69" s="69"/>
      <c r="BH69" s="69"/>
      <c r="BI69" s="69"/>
      <c r="BJ69" s="68"/>
      <c r="BK69" s="69"/>
      <c r="BL69" s="67"/>
      <c r="BM69" s="67"/>
      <c r="BN69" s="56"/>
      <c r="BO69" s="56"/>
      <c r="BR69" s="49"/>
      <c r="BT69" s="63"/>
      <c r="BW69" s="56"/>
      <c r="BX69" s="56"/>
      <c r="BY69" s="56"/>
      <c r="BZ69" s="56"/>
      <c r="CA69" s="56"/>
      <c r="CF69" s="63"/>
      <c r="CI69" s="56"/>
      <c r="CJ69" s="56"/>
      <c r="CK69" s="56"/>
      <c r="CL69" s="56"/>
      <c r="CM69" s="56"/>
    </row>
    <row r="70" spans="3:93" ht="39.950000000000003" customHeight="1">
      <c r="C70" s="149"/>
      <c r="D70" s="150"/>
      <c r="F70" s="105"/>
      <c r="G70" s="105"/>
      <c r="H70" s="105"/>
      <c r="I70" s="105"/>
      <c r="J70" s="105"/>
      <c r="K70" s="52"/>
      <c r="AO70" s="68"/>
      <c r="AP70" s="67"/>
      <c r="AQ70" s="67"/>
      <c r="AR70" s="68"/>
      <c r="AS70" s="68"/>
      <c r="AT70" s="68"/>
      <c r="AU70" s="68"/>
      <c r="AV70" s="68"/>
      <c r="AW70" s="68"/>
      <c r="AX70" s="68"/>
      <c r="AY70" s="69"/>
      <c r="AZ70" s="67"/>
      <c r="BA70" s="68"/>
      <c r="BB70" s="67"/>
      <c r="BC70" s="67"/>
      <c r="BD70" s="68"/>
      <c r="BE70" s="68"/>
      <c r="BF70" s="68"/>
      <c r="BG70" s="68"/>
      <c r="BH70" s="68"/>
      <c r="BI70" s="68"/>
      <c r="BJ70" s="68"/>
      <c r="BK70" s="69"/>
      <c r="BL70" s="67"/>
      <c r="BM70" s="67"/>
      <c r="BR70" s="49"/>
    </row>
    <row r="71" spans="3:93" ht="39.950000000000003" customHeight="1">
      <c r="C71" s="149"/>
      <c r="D71" s="150"/>
      <c r="F71" s="105"/>
      <c r="G71" s="105"/>
      <c r="H71" s="105"/>
      <c r="I71" s="105"/>
      <c r="J71" s="105"/>
      <c r="K71" s="52"/>
      <c r="R71" s="63"/>
      <c r="S71" s="64"/>
      <c r="Y71" s="531"/>
      <c r="Z71" s="531"/>
      <c r="AA71" s="531"/>
      <c r="AD71" s="63"/>
      <c r="AE71" s="64"/>
      <c r="AK71" s="531"/>
      <c r="AL71" s="531"/>
      <c r="AM71" s="531"/>
      <c r="AO71" s="68"/>
      <c r="AP71" s="76"/>
      <c r="AQ71" s="77"/>
      <c r="AR71" s="68"/>
      <c r="AS71" s="68"/>
      <c r="AT71" s="68"/>
      <c r="AU71" s="68"/>
      <c r="AV71" s="68"/>
      <c r="AW71" s="533"/>
      <c r="AX71" s="533"/>
      <c r="AY71" s="533"/>
      <c r="AZ71" s="67"/>
      <c r="BA71" s="68"/>
      <c r="BB71" s="76"/>
      <c r="BC71" s="77"/>
      <c r="BD71" s="68"/>
      <c r="BE71" s="68"/>
      <c r="BF71" s="68"/>
      <c r="BG71" s="68"/>
      <c r="BH71" s="68"/>
      <c r="BI71" s="533"/>
      <c r="BJ71" s="533"/>
      <c r="BK71" s="533"/>
      <c r="BL71" s="67"/>
      <c r="BM71" s="67"/>
      <c r="BO71" s="531"/>
      <c r="BP71" s="531"/>
      <c r="BQ71" s="531"/>
      <c r="BR71" s="49"/>
      <c r="BT71" s="63"/>
      <c r="BU71" s="64"/>
      <c r="CA71" s="531"/>
      <c r="CB71" s="531"/>
      <c r="CC71" s="531"/>
      <c r="CF71" s="63"/>
      <c r="CG71" s="64"/>
      <c r="CM71" s="531"/>
      <c r="CN71" s="531"/>
      <c r="CO71" s="531"/>
    </row>
    <row r="72" spans="3:93" ht="39.950000000000003" customHeight="1">
      <c r="C72" s="149"/>
      <c r="D72" s="150"/>
      <c r="F72" s="105"/>
      <c r="G72" s="105"/>
      <c r="H72" s="105"/>
      <c r="I72" s="105"/>
      <c r="J72" s="105"/>
      <c r="K72" s="52"/>
      <c r="R72" s="63"/>
      <c r="V72" s="170"/>
      <c r="W72" s="56"/>
      <c r="X72" s="56"/>
      <c r="Y72" s="56"/>
      <c r="AD72" s="63"/>
      <c r="AG72" s="56"/>
      <c r="AH72" s="56"/>
      <c r="AI72" s="56"/>
      <c r="AJ72" s="56"/>
      <c r="AK72" s="56"/>
      <c r="AO72" s="68"/>
      <c r="AP72" s="76"/>
      <c r="AQ72" s="67"/>
      <c r="AR72" s="68"/>
      <c r="AS72" s="69"/>
      <c r="AT72" s="69"/>
      <c r="AU72" s="69"/>
      <c r="AV72" s="69"/>
      <c r="AW72" s="69"/>
      <c r="AX72" s="68"/>
      <c r="AY72" s="69"/>
      <c r="AZ72" s="67"/>
      <c r="BA72" s="69"/>
      <c r="BB72" s="76"/>
      <c r="BC72" s="67"/>
      <c r="BD72" s="68"/>
      <c r="BE72" s="69"/>
      <c r="BF72" s="69"/>
      <c r="BG72" s="69"/>
      <c r="BH72" s="69"/>
      <c r="BI72" s="69"/>
      <c r="BJ72" s="68"/>
      <c r="BK72" s="69"/>
      <c r="BL72" s="67"/>
      <c r="BM72" s="67"/>
      <c r="BN72" s="56"/>
      <c r="BO72" s="56"/>
      <c r="BR72" s="49"/>
      <c r="BT72" s="63"/>
      <c r="BW72" s="56"/>
      <c r="BX72" s="56"/>
      <c r="BY72" s="56"/>
      <c r="BZ72" s="56"/>
      <c r="CA72" s="56"/>
      <c r="CF72" s="63"/>
      <c r="CI72" s="56"/>
      <c r="CJ72" s="56"/>
      <c r="CK72" s="56"/>
      <c r="CL72" s="56"/>
      <c r="CM72" s="56"/>
    </row>
    <row r="73" spans="3:93" ht="39.950000000000003" customHeight="1">
      <c r="C73" s="149"/>
      <c r="D73" s="150"/>
      <c r="F73" s="105"/>
      <c r="G73" s="105"/>
      <c r="H73" s="105"/>
      <c r="I73" s="105"/>
      <c r="J73" s="105"/>
      <c r="K73" s="52"/>
      <c r="R73" s="63"/>
      <c r="V73" s="170"/>
      <c r="W73" s="56"/>
      <c r="X73" s="56"/>
      <c r="Y73" s="56"/>
      <c r="AD73" s="63"/>
      <c r="AG73" s="56"/>
      <c r="AH73" s="56"/>
      <c r="AI73" s="56"/>
      <c r="AJ73" s="56"/>
      <c r="AK73" s="56"/>
      <c r="AO73" s="68"/>
      <c r="AP73" s="76"/>
      <c r="AQ73" s="67"/>
      <c r="AR73" s="68"/>
      <c r="AS73" s="69"/>
      <c r="AT73" s="69"/>
      <c r="AU73" s="69"/>
      <c r="AV73" s="69"/>
      <c r="AW73" s="69"/>
      <c r="AX73" s="68"/>
      <c r="AY73" s="69"/>
      <c r="AZ73" s="67"/>
      <c r="BA73" s="69"/>
      <c r="BB73" s="76"/>
      <c r="BC73" s="67"/>
      <c r="BD73" s="68"/>
      <c r="BE73" s="69"/>
      <c r="BF73" s="69"/>
      <c r="BG73" s="69"/>
      <c r="BH73" s="69"/>
      <c r="BI73" s="69"/>
      <c r="BJ73" s="68"/>
      <c r="BK73" s="69"/>
      <c r="BL73" s="67"/>
      <c r="BM73" s="67"/>
      <c r="BN73" s="56"/>
      <c r="BO73" s="56"/>
      <c r="BR73" s="49"/>
      <c r="BT73" s="63"/>
      <c r="BW73" s="56"/>
      <c r="BX73" s="56"/>
      <c r="BY73" s="56"/>
      <c r="BZ73" s="56"/>
      <c r="CA73" s="56"/>
      <c r="CF73" s="63"/>
      <c r="CI73" s="56"/>
      <c r="CJ73" s="56"/>
      <c r="CK73" s="56"/>
      <c r="CL73" s="56"/>
      <c r="CM73" s="56"/>
    </row>
    <row r="74" spans="3:93" ht="39.950000000000003" customHeight="1">
      <c r="C74" s="149"/>
      <c r="D74" s="150"/>
      <c r="F74" s="105"/>
      <c r="G74" s="105"/>
      <c r="H74" s="105"/>
      <c r="I74" s="105"/>
      <c r="J74" s="105"/>
      <c r="K74" s="52"/>
      <c r="R74" s="63"/>
      <c r="V74" s="170"/>
      <c r="W74" s="56"/>
      <c r="X74" s="56"/>
      <c r="Y74" s="56"/>
      <c r="AD74" s="63"/>
      <c r="AG74" s="56"/>
      <c r="AH74" s="56"/>
      <c r="AI74" s="56"/>
      <c r="AJ74" s="56"/>
      <c r="AK74" s="56"/>
      <c r="AO74" s="68"/>
      <c r="AP74" s="76"/>
      <c r="AQ74" s="67"/>
      <c r="AR74" s="68"/>
      <c r="AS74" s="69"/>
      <c r="AT74" s="69"/>
      <c r="AU74" s="69"/>
      <c r="AV74" s="69"/>
      <c r="AW74" s="69"/>
      <c r="AX74" s="68"/>
      <c r="AY74" s="69"/>
      <c r="AZ74" s="67"/>
      <c r="BA74" s="69"/>
      <c r="BB74" s="76"/>
      <c r="BC74" s="67"/>
      <c r="BD74" s="68"/>
      <c r="BE74" s="69"/>
      <c r="BF74" s="69"/>
      <c r="BG74" s="69"/>
      <c r="BH74" s="69"/>
      <c r="BI74" s="69"/>
      <c r="BJ74" s="68"/>
      <c r="BK74" s="69"/>
      <c r="BL74" s="67"/>
      <c r="BM74" s="67"/>
      <c r="BN74" s="56"/>
      <c r="BO74" s="56"/>
      <c r="BR74" s="49"/>
      <c r="BT74" s="63"/>
      <c r="BW74" s="56"/>
      <c r="BX74" s="56"/>
      <c r="BY74" s="56"/>
      <c r="BZ74" s="56"/>
      <c r="CA74" s="56"/>
      <c r="CF74" s="63"/>
      <c r="CI74" s="56"/>
      <c r="CJ74" s="56"/>
      <c r="CK74" s="56"/>
      <c r="CL74" s="56"/>
      <c r="CM74" s="56"/>
    </row>
    <row r="75" spans="3:93" ht="39.950000000000003" customHeight="1">
      <c r="R75" s="63"/>
      <c r="V75" s="170"/>
      <c r="W75" s="56"/>
      <c r="X75" s="56"/>
      <c r="Y75" s="56"/>
      <c r="AD75" s="63"/>
      <c r="AG75" s="56"/>
      <c r="AH75" s="56"/>
      <c r="AI75" s="56"/>
      <c r="AJ75" s="56"/>
      <c r="AK75" s="56"/>
      <c r="AO75" s="68"/>
      <c r="AP75" s="76"/>
      <c r="AQ75" s="67"/>
      <c r="AR75" s="68"/>
      <c r="AS75" s="69"/>
      <c r="AT75" s="69"/>
      <c r="AU75" s="69"/>
      <c r="AV75" s="69"/>
      <c r="AW75" s="69"/>
      <c r="AX75" s="68"/>
      <c r="AY75" s="69"/>
      <c r="AZ75" s="67"/>
      <c r="BA75" s="69"/>
      <c r="BB75" s="76"/>
      <c r="BC75" s="67"/>
      <c r="BD75" s="68"/>
      <c r="BE75" s="69"/>
      <c r="BF75" s="69"/>
      <c r="BG75" s="69"/>
      <c r="BH75" s="69"/>
      <c r="BI75" s="69"/>
      <c r="BJ75" s="68"/>
      <c r="BK75" s="69"/>
      <c r="BL75" s="67"/>
      <c r="BM75" s="67"/>
      <c r="BN75" s="56"/>
      <c r="BO75" s="56"/>
      <c r="BR75" s="49"/>
      <c r="BT75" s="63"/>
      <c r="BW75" s="56"/>
      <c r="BX75" s="56"/>
      <c r="BY75" s="56"/>
      <c r="BZ75" s="56"/>
      <c r="CA75" s="56"/>
      <c r="CF75" s="63"/>
      <c r="CI75" s="56"/>
      <c r="CJ75" s="56"/>
      <c r="CK75" s="56"/>
      <c r="CL75" s="56"/>
      <c r="CM75" s="56"/>
    </row>
    <row r="76" spans="3:93" ht="39.950000000000003" customHeight="1">
      <c r="AO76" s="68"/>
      <c r="AP76" s="67"/>
      <c r="AQ76" s="67"/>
      <c r="AR76" s="68"/>
      <c r="AS76" s="68"/>
      <c r="AT76" s="68"/>
      <c r="AU76" s="68"/>
      <c r="AV76" s="68"/>
      <c r="AW76" s="68"/>
      <c r="AX76" s="68"/>
      <c r="AY76" s="69"/>
      <c r="AZ76" s="67"/>
      <c r="BA76" s="68"/>
      <c r="BB76" s="67"/>
      <c r="BC76" s="67"/>
      <c r="BD76" s="68"/>
      <c r="BE76" s="68"/>
      <c r="BF76" s="68"/>
      <c r="BG76" s="68"/>
      <c r="BH76" s="68"/>
      <c r="BI76" s="68"/>
      <c r="BJ76" s="68"/>
      <c r="BK76" s="69"/>
      <c r="BL76" s="67"/>
      <c r="BM76" s="67"/>
      <c r="BR76" s="49"/>
    </row>
    <row r="77" spans="3:93" ht="39.950000000000003" customHeight="1">
      <c r="R77" s="63"/>
      <c r="S77" s="64"/>
      <c r="Y77" s="531"/>
      <c r="Z77" s="531"/>
      <c r="AA77" s="531"/>
      <c r="AD77" s="63"/>
      <c r="AE77" s="64"/>
      <c r="AK77" s="531"/>
      <c r="AL77" s="531"/>
      <c r="AM77" s="531"/>
      <c r="AO77" s="68"/>
      <c r="AP77" s="76"/>
      <c r="AQ77" s="77"/>
      <c r="AR77" s="68"/>
      <c r="AS77" s="68"/>
      <c r="AT77" s="68"/>
      <c r="AU77" s="68"/>
      <c r="AV77" s="68"/>
      <c r="AW77" s="533"/>
      <c r="AX77" s="533"/>
      <c r="AY77" s="533"/>
      <c r="AZ77" s="67"/>
      <c r="BA77" s="68"/>
      <c r="BB77" s="76"/>
      <c r="BC77" s="77"/>
      <c r="BD77" s="68"/>
      <c r="BE77" s="68"/>
      <c r="BF77" s="68"/>
      <c r="BG77" s="68"/>
      <c r="BH77" s="68"/>
      <c r="BI77" s="533"/>
      <c r="BJ77" s="533"/>
      <c r="BK77" s="533"/>
      <c r="BL77" s="67"/>
      <c r="BM77" s="67"/>
      <c r="BO77" s="531"/>
      <c r="BP77" s="531"/>
      <c r="BQ77" s="531"/>
      <c r="BR77" s="49"/>
      <c r="BT77" s="63"/>
      <c r="BU77" s="64"/>
      <c r="CA77" s="531"/>
      <c r="CB77" s="531"/>
      <c r="CC77" s="531"/>
      <c r="CF77" s="63"/>
      <c r="CG77" s="64"/>
      <c r="CM77" s="531"/>
      <c r="CN77" s="531"/>
      <c r="CO77" s="531"/>
    </row>
    <row r="78" spans="3:93" ht="39.950000000000003" customHeight="1">
      <c r="R78" s="63"/>
      <c r="V78" s="170"/>
      <c r="W78" s="56"/>
      <c r="X78" s="56"/>
      <c r="Y78" s="56"/>
      <c r="AD78" s="63"/>
      <c r="AG78" s="56"/>
      <c r="AH78" s="56"/>
      <c r="AI78" s="56"/>
      <c r="AJ78" s="56"/>
      <c r="AK78" s="56"/>
      <c r="AO78" s="68"/>
      <c r="AP78" s="76"/>
      <c r="AQ78" s="67"/>
      <c r="AR78" s="68"/>
      <c r="AS78" s="69"/>
      <c r="AT78" s="69"/>
      <c r="AU78" s="69"/>
      <c r="AV78" s="69"/>
      <c r="AW78" s="69"/>
      <c r="AX78" s="68"/>
      <c r="AY78" s="69"/>
      <c r="AZ78" s="67"/>
      <c r="BA78" s="69"/>
      <c r="BB78" s="76"/>
      <c r="BC78" s="67"/>
      <c r="BD78" s="68"/>
      <c r="BE78" s="69"/>
      <c r="BF78" s="69"/>
      <c r="BG78" s="69"/>
      <c r="BH78" s="69"/>
      <c r="BI78" s="69"/>
      <c r="BJ78" s="68"/>
      <c r="BK78" s="69"/>
      <c r="BL78" s="67"/>
      <c r="BM78" s="67"/>
      <c r="BN78" s="56"/>
      <c r="BO78" s="56"/>
      <c r="BR78" s="49"/>
      <c r="BT78" s="63"/>
      <c r="BW78" s="56"/>
      <c r="BX78" s="56"/>
      <c r="BY78" s="56"/>
      <c r="BZ78" s="56"/>
      <c r="CA78" s="56"/>
      <c r="CF78" s="63"/>
      <c r="CI78" s="56"/>
      <c r="CJ78" s="56"/>
      <c r="CK78" s="56"/>
      <c r="CL78" s="56"/>
      <c r="CM78" s="56"/>
    </row>
    <row r="79" spans="3:93" ht="39.950000000000003" customHeight="1">
      <c r="R79" s="63"/>
      <c r="V79" s="170"/>
      <c r="W79" s="56"/>
      <c r="X79" s="56"/>
      <c r="Y79" s="56"/>
      <c r="AD79" s="63"/>
      <c r="AG79" s="56"/>
      <c r="AH79" s="56"/>
      <c r="AI79" s="56"/>
      <c r="AJ79" s="56"/>
      <c r="AK79" s="56"/>
      <c r="AO79" s="68"/>
      <c r="AP79" s="76"/>
      <c r="AQ79" s="67"/>
      <c r="AR79" s="68"/>
      <c r="AS79" s="69"/>
      <c r="AT79" s="69"/>
      <c r="AU79" s="69"/>
      <c r="AV79" s="69"/>
      <c r="AW79" s="69"/>
      <c r="AX79" s="68"/>
      <c r="AY79" s="69"/>
      <c r="AZ79" s="67"/>
      <c r="BA79" s="69"/>
      <c r="BB79" s="76"/>
      <c r="BC79" s="67"/>
      <c r="BD79" s="68"/>
      <c r="BE79" s="69"/>
      <c r="BF79" s="69"/>
      <c r="BG79" s="69"/>
      <c r="BH79" s="69"/>
      <c r="BI79" s="69"/>
      <c r="BJ79" s="68"/>
      <c r="BK79" s="69"/>
      <c r="BL79" s="67"/>
      <c r="BM79" s="67"/>
      <c r="BN79" s="56"/>
      <c r="BO79" s="56"/>
      <c r="BR79" s="49"/>
      <c r="BT79" s="63"/>
      <c r="BW79" s="56"/>
      <c r="BX79" s="56"/>
      <c r="BY79" s="56"/>
      <c r="BZ79" s="56"/>
      <c r="CA79" s="56"/>
      <c r="CF79" s="63"/>
      <c r="CI79" s="56"/>
      <c r="CJ79" s="56"/>
      <c r="CK79" s="56"/>
      <c r="CL79" s="56"/>
      <c r="CM79" s="56"/>
    </row>
    <row r="80" spans="3:93" ht="39.950000000000003" customHeight="1">
      <c r="R80" s="63"/>
      <c r="V80" s="170"/>
      <c r="W80" s="56"/>
      <c r="X80" s="56"/>
      <c r="Y80" s="56"/>
      <c r="AD80" s="63"/>
      <c r="AG80" s="56"/>
      <c r="AH80" s="56"/>
      <c r="AI80" s="56"/>
      <c r="AJ80" s="56"/>
      <c r="AK80" s="56"/>
      <c r="AO80" s="68"/>
      <c r="AP80" s="76"/>
      <c r="AQ80" s="67"/>
      <c r="AR80" s="68"/>
      <c r="AS80" s="69"/>
      <c r="AT80" s="69"/>
      <c r="AU80" s="69"/>
      <c r="AV80" s="69"/>
      <c r="AW80" s="69"/>
      <c r="AX80" s="68"/>
      <c r="AY80" s="69"/>
      <c r="AZ80" s="67"/>
      <c r="BA80" s="69"/>
      <c r="BB80" s="76"/>
      <c r="BC80" s="67"/>
      <c r="BD80" s="68"/>
      <c r="BE80" s="69"/>
      <c r="BF80" s="69"/>
      <c r="BG80" s="69"/>
      <c r="BH80" s="69"/>
      <c r="BI80" s="69"/>
      <c r="BJ80" s="68"/>
      <c r="BK80" s="69"/>
      <c r="BL80" s="67"/>
      <c r="BM80" s="67"/>
      <c r="BN80" s="56"/>
      <c r="BO80" s="56"/>
      <c r="BR80" s="49"/>
      <c r="BT80" s="63"/>
      <c r="BW80" s="56"/>
      <c r="BX80" s="56"/>
      <c r="BY80" s="56"/>
      <c r="BZ80" s="56"/>
      <c r="CA80" s="56"/>
      <c r="CF80" s="63"/>
      <c r="CI80" s="56"/>
      <c r="CJ80" s="56"/>
      <c r="CK80" s="56"/>
      <c r="CL80" s="56"/>
      <c r="CM80" s="56"/>
    </row>
    <row r="81" spans="18:93" ht="39.950000000000003" customHeight="1">
      <c r="R81" s="63"/>
      <c r="V81" s="170"/>
      <c r="W81" s="56"/>
      <c r="X81" s="56"/>
      <c r="Y81" s="56"/>
      <c r="AD81" s="63"/>
      <c r="AG81" s="56"/>
      <c r="AH81" s="56"/>
      <c r="AI81" s="56"/>
      <c r="AJ81" s="56"/>
      <c r="AK81" s="56"/>
      <c r="AO81" s="68"/>
      <c r="AP81" s="76"/>
      <c r="AQ81" s="67"/>
      <c r="AR81" s="68"/>
      <c r="AS81" s="69"/>
      <c r="AT81" s="69"/>
      <c r="AU81" s="69"/>
      <c r="AV81" s="69"/>
      <c r="AW81" s="69"/>
      <c r="AX81" s="68"/>
      <c r="AY81" s="69"/>
      <c r="AZ81" s="67"/>
      <c r="BA81" s="69"/>
      <c r="BB81" s="76"/>
      <c r="BC81" s="67"/>
      <c r="BD81" s="68"/>
      <c r="BE81" s="69"/>
      <c r="BF81" s="69"/>
      <c r="BG81" s="69"/>
      <c r="BH81" s="69"/>
      <c r="BI81" s="69"/>
      <c r="BJ81" s="68"/>
      <c r="BK81" s="69"/>
      <c r="BL81" s="67"/>
      <c r="BM81" s="67"/>
      <c r="BN81" s="56"/>
      <c r="BO81" s="56"/>
      <c r="BR81" s="49"/>
      <c r="BT81" s="63"/>
      <c r="BW81" s="56"/>
      <c r="BX81" s="56"/>
      <c r="BY81" s="56"/>
      <c r="BZ81" s="56"/>
      <c r="CA81" s="56"/>
      <c r="CF81" s="63"/>
      <c r="CI81" s="56"/>
      <c r="CJ81" s="56"/>
      <c r="CK81" s="56"/>
      <c r="CL81" s="56"/>
      <c r="CM81" s="56"/>
    </row>
    <row r="82" spans="18:93" ht="39.950000000000003" customHeight="1">
      <c r="AO82" s="68"/>
      <c r="AP82" s="67"/>
      <c r="AQ82" s="67"/>
      <c r="AR82" s="68"/>
      <c r="AS82" s="68"/>
      <c r="AT82" s="68"/>
      <c r="AU82" s="68"/>
      <c r="AV82" s="68"/>
      <c r="AW82" s="68"/>
      <c r="AX82" s="68"/>
      <c r="AY82" s="69"/>
      <c r="AZ82" s="67"/>
      <c r="BA82" s="68"/>
      <c r="BB82" s="67"/>
      <c r="BC82" s="67"/>
      <c r="BD82" s="68"/>
      <c r="BE82" s="68"/>
      <c r="BF82" s="68"/>
      <c r="BG82" s="68"/>
      <c r="BH82" s="68"/>
      <c r="BI82" s="68"/>
      <c r="BJ82" s="68"/>
      <c r="BK82" s="69"/>
      <c r="BL82" s="67"/>
      <c r="BM82" s="67"/>
    </row>
    <row r="83" spans="18:93" ht="39.950000000000003" customHeight="1">
      <c r="R83" s="63"/>
      <c r="S83" s="64"/>
      <c r="Y83" s="531"/>
      <c r="Z83" s="531"/>
      <c r="AA83" s="531"/>
      <c r="AD83" s="63"/>
      <c r="AE83" s="64"/>
      <c r="AK83" s="531"/>
      <c r="AL83" s="531"/>
      <c r="AM83" s="531"/>
      <c r="AO83" s="68"/>
      <c r="AP83" s="76"/>
      <c r="AQ83" s="77"/>
      <c r="AR83" s="68"/>
      <c r="AS83" s="68"/>
      <c r="AT83" s="68"/>
      <c r="AU83" s="68"/>
      <c r="AV83" s="68"/>
      <c r="AW83" s="533"/>
      <c r="AX83" s="533"/>
      <c r="AY83" s="533"/>
      <c r="AZ83" s="67"/>
      <c r="BA83" s="68"/>
      <c r="BB83" s="76"/>
      <c r="BC83" s="77"/>
      <c r="BD83" s="68"/>
      <c r="BE83" s="68"/>
      <c r="BF83" s="68"/>
      <c r="BG83" s="68"/>
      <c r="BH83" s="68"/>
      <c r="BI83" s="533"/>
      <c r="BJ83" s="533"/>
      <c r="BK83" s="533"/>
      <c r="BL83" s="67"/>
      <c r="BM83" s="67"/>
      <c r="BO83" s="531"/>
      <c r="BP83" s="531"/>
      <c r="BQ83" s="531"/>
      <c r="BT83" s="63"/>
      <c r="BU83" s="64"/>
      <c r="CA83" s="531"/>
      <c r="CB83" s="531"/>
      <c r="CC83" s="531"/>
      <c r="CF83" s="63"/>
      <c r="CG83" s="64"/>
      <c r="CM83" s="531"/>
      <c r="CN83" s="531"/>
      <c r="CO83" s="531"/>
    </row>
    <row r="84" spans="18:93" ht="39.950000000000003" customHeight="1">
      <c r="R84" s="63"/>
      <c r="V84" s="170"/>
      <c r="W84" s="56"/>
      <c r="X84" s="56"/>
      <c r="Y84" s="56"/>
      <c r="AD84" s="63"/>
      <c r="AG84" s="56"/>
      <c r="AH84" s="56"/>
      <c r="AI84" s="56"/>
      <c r="AJ84" s="56"/>
      <c r="AK84" s="56"/>
      <c r="AO84" s="68"/>
      <c r="AP84" s="76"/>
      <c r="AQ84" s="67"/>
      <c r="AR84" s="68"/>
      <c r="AS84" s="69"/>
      <c r="AT84" s="69"/>
      <c r="AU84" s="69"/>
      <c r="AV84" s="69"/>
      <c r="AW84" s="69"/>
      <c r="AX84" s="68"/>
      <c r="AY84" s="69"/>
      <c r="AZ84" s="67"/>
      <c r="BA84" s="69"/>
      <c r="BB84" s="76"/>
      <c r="BC84" s="67"/>
      <c r="BD84" s="68"/>
      <c r="BE84" s="69"/>
      <c r="BF84" s="69"/>
      <c r="BG84" s="69"/>
      <c r="BH84" s="69"/>
      <c r="BI84" s="69"/>
      <c r="BJ84" s="68"/>
      <c r="BK84" s="69"/>
      <c r="BL84" s="67"/>
      <c r="BM84" s="67"/>
      <c r="BN84" s="56"/>
      <c r="BO84" s="56"/>
      <c r="BT84" s="63"/>
      <c r="BW84" s="56"/>
      <c r="BX84" s="56"/>
      <c r="BY84" s="56"/>
      <c r="BZ84" s="56"/>
      <c r="CA84" s="56"/>
      <c r="CF84" s="63"/>
      <c r="CI84" s="56"/>
      <c r="CJ84" s="56"/>
      <c r="CK84" s="56"/>
      <c r="CL84" s="56"/>
      <c r="CM84" s="56"/>
    </row>
    <row r="85" spans="18:93" ht="39.950000000000003" customHeight="1">
      <c r="R85" s="63"/>
      <c r="V85" s="170"/>
      <c r="W85" s="56"/>
      <c r="X85" s="56"/>
      <c r="Y85" s="56"/>
      <c r="AD85" s="63"/>
      <c r="AG85" s="56"/>
      <c r="AH85" s="56"/>
      <c r="AI85" s="56"/>
      <c r="AJ85" s="56"/>
      <c r="AK85" s="56"/>
      <c r="AO85" s="68"/>
      <c r="AP85" s="76"/>
      <c r="AQ85" s="67"/>
      <c r="AR85" s="68"/>
      <c r="AS85" s="69"/>
      <c r="AT85" s="69"/>
      <c r="AU85" s="69"/>
      <c r="AV85" s="69"/>
      <c r="AW85" s="69"/>
      <c r="AX85" s="68"/>
      <c r="AY85" s="69"/>
      <c r="AZ85" s="67"/>
      <c r="BA85" s="69"/>
      <c r="BB85" s="76"/>
      <c r="BC85" s="67"/>
      <c r="BD85" s="68"/>
      <c r="BE85" s="69"/>
      <c r="BF85" s="69"/>
      <c r="BG85" s="69"/>
      <c r="BH85" s="69"/>
      <c r="BI85" s="69"/>
      <c r="BJ85" s="68"/>
      <c r="BK85" s="69"/>
      <c r="BL85" s="67"/>
      <c r="BM85" s="67"/>
      <c r="BN85" s="56"/>
      <c r="BO85" s="56"/>
      <c r="BT85" s="63"/>
      <c r="BW85" s="56"/>
      <c r="BX85" s="56"/>
      <c r="BY85" s="56"/>
      <c r="BZ85" s="56"/>
      <c r="CA85" s="56"/>
      <c r="CF85" s="63"/>
      <c r="CI85" s="56"/>
      <c r="CJ85" s="56"/>
      <c r="CK85" s="56"/>
      <c r="CL85" s="56"/>
      <c r="CM85" s="56"/>
    </row>
    <row r="86" spans="18:93" ht="39.950000000000003" customHeight="1">
      <c r="R86" s="63"/>
      <c r="V86" s="170"/>
      <c r="W86" s="56"/>
      <c r="X86" s="56"/>
      <c r="Y86" s="56"/>
      <c r="AD86" s="63"/>
      <c r="AG86" s="56"/>
      <c r="AH86" s="56"/>
      <c r="AI86" s="56"/>
      <c r="AJ86" s="56"/>
      <c r="AK86" s="56"/>
      <c r="AO86" s="68"/>
      <c r="AP86" s="76"/>
      <c r="AQ86" s="67"/>
      <c r="AR86" s="68"/>
      <c r="AS86" s="69"/>
      <c r="AT86" s="69"/>
      <c r="AU86" s="69"/>
      <c r="AV86" s="69"/>
      <c r="AW86" s="69"/>
      <c r="AX86" s="68"/>
      <c r="AY86" s="69"/>
      <c r="AZ86" s="67"/>
      <c r="BA86" s="69"/>
      <c r="BB86" s="76"/>
      <c r="BC86" s="67"/>
      <c r="BD86" s="68"/>
      <c r="BE86" s="69"/>
      <c r="BF86" s="69"/>
      <c r="BG86" s="69"/>
      <c r="BH86" s="69"/>
      <c r="BI86" s="69"/>
      <c r="BJ86" s="68"/>
      <c r="BK86" s="69"/>
      <c r="BL86" s="67"/>
      <c r="BM86" s="67"/>
      <c r="BN86" s="56"/>
      <c r="BO86" s="56"/>
      <c r="BT86" s="63"/>
      <c r="BW86" s="56"/>
      <c r="BX86" s="56"/>
      <c r="BY86" s="56"/>
      <c r="BZ86" s="56"/>
      <c r="CA86" s="56"/>
      <c r="CF86" s="63"/>
      <c r="CI86" s="56"/>
      <c r="CJ86" s="56"/>
      <c r="CK86" s="56"/>
      <c r="CL86" s="56"/>
      <c r="CM86" s="56"/>
    </row>
    <row r="87" spans="18:93" ht="39.950000000000003" customHeight="1">
      <c r="R87" s="63"/>
      <c r="V87" s="170"/>
      <c r="W87" s="56"/>
      <c r="X87" s="56"/>
      <c r="Y87" s="56"/>
      <c r="AD87" s="63"/>
      <c r="AG87" s="56"/>
      <c r="AH87" s="56"/>
      <c r="AI87" s="56"/>
      <c r="AJ87" s="56"/>
      <c r="AK87" s="56"/>
      <c r="AO87" s="68"/>
      <c r="AP87" s="76"/>
      <c r="AQ87" s="67"/>
      <c r="AR87" s="68"/>
      <c r="AS87" s="69"/>
      <c r="AT87" s="69"/>
      <c r="AU87" s="69"/>
      <c r="AV87" s="69"/>
      <c r="AW87" s="69"/>
      <c r="AX87" s="68"/>
      <c r="AY87" s="69"/>
      <c r="AZ87" s="67"/>
      <c r="BA87" s="69"/>
      <c r="BB87" s="76"/>
      <c r="BC87" s="67"/>
      <c r="BD87" s="68"/>
      <c r="BE87" s="69"/>
      <c r="BF87" s="69"/>
      <c r="BG87" s="69"/>
      <c r="BH87" s="69"/>
      <c r="BI87" s="69"/>
      <c r="BJ87" s="68"/>
      <c r="BK87" s="69"/>
      <c r="BL87" s="67"/>
      <c r="BM87" s="67"/>
      <c r="BN87" s="56"/>
      <c r="BO87" s="56"/>
      <c r="BT87" s="63"/>
      <c r="BW87" s="56"/>
      <c r="BX87" s="56"/>
      <c r="BY87" s="56"/>
      <c r="BZ87" s="56"/>
      <c r="CA87" s="56"/>
      <c r="CF87" s="63"/>
      <c r="CI87" s="56"/>
      <c r="CJ87" s="56"/>
      <c r="CK87" s="56"/>
      <c r="CL87" s="56"/>
      <c r="CM87" s="56"/>
    </row>
    <row r="88" spans="18:93" ht="39.950000000000003" customHeight="1">
      <c r="AO88" s="68"/>
      <c r="AP88" s="67"/>
      <c r="AQ88" s="67"/>
      <c r="AR88" s="68"/>
      <c r="AS88" s="68"/>
      <c r="AT88" s="68"/>
      <c r="AU88" s="68"/>
      <c r="AV88" s="68"/>
      <c r="AW88" s="68"/>
      <c r="AX88" s="68"/>
      <c r="AY88" s="69"/>
      <c r="AZ88" s="67"/>
      <c r="BA88" s="68"/>
      <c r="BB88" s="67"/>
      <c r="BC88" s="67"/>
      <c r="BD88" s="68"/>
      <c r="BE88" s="68"/>
      <c r="BF88" s="68"/>
      <c r="BG88" s="68"/>
      <c r="BH88" s="68"/>
      <c r="BI88" s="68"/>
      <c r="BJ88" s="68"/>
      <c r="BK88" s="69"/>
      <c r="BL88" s="67"/>
      <c r="BM88" s="67"/>
    </row>
    <row r="89" spans="18:93" ht="39.950000000000003" customHeight="1">
      <c r="R89" s="63"/>
      <c r="S89" s="64"/>
      <c r="Y89" s="531"/>
      <c r="Z89" s="531"/>
      <c r="AA89" s="531"/>
      <c r="AD89" s="63"/>
      <c r="AE89" s="64"/>
      <c r="AK89" s="531"/>
      <c r="AL89" s="531"/>
      <c r="AM89" s="531"/>
      <c r="AO89" s="68"/>
      <c r="AP89" s="76"/>
      <c r="AQ89" s="77"/>
      <c r="AR89" s="68"/>
      <c r="AS89" s="68"/>
      <c r="AT89" s="68"/>
      <c r="AU89" s="68"/>
      <c r="AV89" s="68"/>
      <c r="AW89" s="533"/>
      <c r="AX89" s="533"/>
      <c r="AY89" s="533"/>
      <c r="AZ89" s="67"/>
      <c r="BA89" s="68"/>
      <c r="BB89" s="76"/>
      <c r="BC89" s="77"/>
      <c r="BD89" s="68"/>
      <c r="BE89" s="68"/>
      <c r="BF89" s="68"/>
      <c r="BG89" s="68"/>
      <c r="BH89" s="68"/>
      <c r="BI89" s="533"/>
      <c r="BJ89" s="533"/>
      <c r="BK89" s="533"/>
      <c r="BL89" s="67"/>
      <c r="BM89" s="67"/>
      <c r="BO89" s="531"/>
      <c r="BP89" s="531"/>
      <c r="BQ89" s="531"/>
      <c r="BT89" s="63"/>
      <c r="BU89" s="64"/>
      <c r="CA89" s="531"/>
      <c r="CB89" s="531"/>
      <c r="CC89" s="531"/>
      <c r="CF89" s="63"/>
      <c r="CG89" s="64"/>
      <c r="CM89" s="531"/>
      <c r="CN89" s="531"/>
      <c r="CO89" s="531"/>
    </row>
    <row r="90" spans="18:93" ht="39.950000000000003" customHeight="1">
      <c r="R90" s="63"/>
      <c r="V90" s="170"/>
      <c r="W90" s="56"/>
      <c r="X90" s="56"/>
      <c r="Y90" s="56"/>
      <c r="AD90" s="63"/>
      <c r="AG90" s="56"/>
      <c r="AH90" s="56"/>
      <c r="AI90" s="56"/>
      <c r="AJ90" s="56"/>
      <c r="AK90" s="56"/>
      <c r="AO90" s="68"/>
      <c r="AP90" s="76"/>
      <c r="AQ90" s="67"/>
      <c r="AR90" s="68"/>
      <c r="AS90" s="69"/>
      <c r="AT90" s="69"/>
      <c r="AU90" s="69"/>
      <c r="AV90" s="69"/>
      <c r="AW90" s="69"/>
      <c r="AX90" s="68"/>
      <c r="AY90" s="69"/>
      <c r="AZ90" s="67"/>
      <c r="BA90" s="69"/>
      <c r="BB90" s="76"/>
      <c r="BC90" s="67"/>
      <c r="BD90" s="68"/>
      <c r="BE90" s="69"/>
      <c r="BF90" s="69"/>
      <c r="BG90" s="69"/>
      <c r="BH90" s="69"/>
      <c r="BI90" s="69"/>
      <c r="BJ90" s="68"/>
      <c r="BK90" s="69"/>
      <c r="BL90" s="67"/>
      <c r="BM90" s="67"/>
      <c r="BN90" s="56"/>
      <c r="BO90" s="56"/>
      <c r="BT90" s="63"/>
      <c r="BW90" s="56"/>
      <c r="BX90" s="56"/>
      <c r="BY90" s="56"/>
      <c r="BZ90" s="56"/>
      <c r="CA90" s="56"/>
      <c r="CF90" s="63"/>
      <c r="CI90" s="56"/>
      <c r="CJ90" s="56"/>
      <c r="CK90" s="56"/>
      <c r="CL90" s="56"/>
      <c r="CM90" s="56"/>
    </row>
    <row r="91" spans="18:93" ht="39.950000000000003" customHeight="1">
      <c r="R91" s="63"/>
      <c r="V91" s="170"/>
      <c r="W91" s="56"/>
      <c r="X91" s="56"/>
      <c r="Y91" s="56"/>
      <c r="AD91" s="63"/>
      <c r="AG91" s="56"/>
      <c r="AH91" s="56"/>
      <c r="AI91" s="56"/>
      <c r="AJ91" s="56"/>
      <c r="AK91" s="56"/>
      <c r="AO91" s="68"/>
      <c r="AP91" s="76"/>
      <c r="AQ91" s="67"/>
      <c r="AR91" s="68"/>
      <c r="AS91" s="69"/>
      <c r="AT91" s="69"/>
      <c r="AU91" s="69"/>
      <c r="AV91" s="69"/>
      <c r="AW91" s="69"/>
      <c r="AX91" s="68"/>
      <c r="AY91" s="69"/>
      <c r="AZ91" s="67"/>
      <c r="BA91" s="69"/>
      <c r="BB91" s="76"/>
      <c r="BC91" s="67"/>
      <c r="BD91" s="68"/>
      <c r="BE91" s="69"/>
      <c r="BF91" s="69"/>
      <c r="BG91" s="69"/>
      <c r="BH91" s="69"/>
      <c r="BI91" s="69"/>
      <c r="BJ91" s="68"/>
      <c r="BK91" s="69"/>
      <c r="BL91" s="67"/>
      <c r="BM91" s="67"/>
      <c r="BN91" s="56"/>
      <c r="BO91" s="56"/>
      <c r="BT91" s="63"/>
      <c r="BW91" s="56"/>
      <c r="BX91" s="56"/>
      <c r="BY91" s="56"/>
      <c r="BZ91" s="56"/>
      <c r="CA91" s="56"/>
      <c r="CF91" s="63"/>
      <c r="CI91" s="56"/>
      <c r="CJ91" s="56"/>
      <c r="CK91" s="56"/>
      <c r="CL91" s="56"/>
      <c r="CM91" s="56"/>
    </row>
    <row r="92" spans="18:93" ht="39.950000000000003" customHeight="1">
      <c r="R92" s="63"/>
      <c r="V92" s="170"/>
      <c r="W92" s="56"/>
      <c r="X92" s="56"/>
      <c r="Y92" s="56"/>
      <c r="AD92" s="63"/>
      <c r="AG92" s="56"/>
      <c r="AH92" s="56"/>
      <c r="AI92" s="56"/>
      <c r="AJ92" s="56"/>
      <c r="AK92" s="56"/>
      <c r="AO92" s="68"/>
      <c r="AP92" s="76"/>
      <c r="AQ92" s="67"/>
      <c r="AR92" s="68"/>
      <c r="AS92" s="69"/>
      <c r="AT92" s="69"/>
      <c r="AU92" s="69"/>
      <c r="AV92" s="69"/>
      <c r="AW92" s="69"/>
      <c r="AX92" s="68"/>
      <c r="AY92" s="69"/>
      <c r="AZ92" s="67"/>
      <c r="BA92" s="69"/>
      <c r="BB92" s="76"/>
      <c r="BC92" s="67"/>
      <c r="BD92" s="68"/>
      <c r="BE92" s="69"/>
      <c r="BF92" s="69"/>
      <c r="BG92" s="69"/>
      <c r="BH92" s="69"/>
      <c r="BI92" s="69"/>
      <c r="BJ92" s="68"/>
      <c r="BK92" s="69"/>
      <c r="BL92" s="67"/>
      <c r="BM92" s="67"/>
      <c r="BN92" s="56"/>
      <c r="BO92" s="56"/>
      <c r="BT92" s="63"/>
      <c r="BW92" s="56"/>
      <c r="BX92" s="56"/>
      <c r="BY92" s="56"/>
      <c r="BZ92" s="56"/>
      <c r="CA92" s="56"/>
      <c r="CF92" s="63"/>
      <c r="CI92" s="56"/>
      <c r="CJ92" s="56"/>
      <c r="CK92" s="56"/>
      <c r="CL92" s="56"/>
      <c r="CM92" s="56"/>
    </row>
    <row r="93" spans="18:93" ht="39.950000000000003" customHeight="1">
      <c r="R93" s="63"/>
      <c r="V93" s="170"/>
      <c r="W93" s="56"/>
      <c r="X93" s="56"/>
      <c r="Y93" s="56"/>
      <c r="AD93" s="63"/>
      <c r="AG93" s="56"/>
      <c r="AH93" s="56"/>
      <c r="AI93" s="56"/>
      <c r="AJ93" s="56"/>
      <c r="AK93" s="56"/>
      <c r="AO93" s="68"/>
      <c r="AP93" s="76"/>
      <c r="AQ93" s="67"/>
      <c r="AR93" s="68"/>
      <c r="AS93" s="69"/>
      <c r="AT93" s="69"/>
      <c r="AU93" s="69"/>
      <c r="AV93" s="69"/>
      <c r="AW93" s="69"/>
      <c r="AX93" s="68"/>
      <c r="AY93" s="69"/>
      <c r="AZ93" s="67"/>
      <c r="BA93" s="69"/>
      <c r="BB93" s="76"/>
      <c r="BC93" s="67"/>
      <c r="BD93" s="68"/>
      <c r="BE93" s="69"/>
      <c r="BF93" s="69"/>
      <c r="BG93" s="69"/>
      <c r="BH93" s="69"/>
      <c r="BI93" s="69"/>
      <c r="BJ93" s="68"/>
      <c r="BK93" s="69"/>
      <c r="BL93" s="67"/>
      <c r="BM93" s="67"/>
      <c r="BN93" s="56"/>
      <c r="BO93" s="56"/>
      <c r="BT93" s="63"/>
      <c r="BW93" s="56"/>
      <c r="BX93" s="56"/>
      <c r="BY93" s="56"/>
      <c r="BZ93" s="56"/>
      <c r="CA93" s="56"/>
      <c r="CF93" s="63"/>
      <c r="CI93" s="56"/>
      <c r="CJ93" s="56"/>
      <c r="CK93" s="56"/>
      <c r="CL93" s="56"/>
      <c r="CM93" s="56"/>
    </row>
    <row r="94" spans="18:93" ht="39.950000000000003" customHeight="1">
      <c r="AO94" s="68"/>
      <c r="AP94" s="67"/>
      <c r="AQ94" s="67"/>
      <c r="AR94" s="68"/>
      <c r="AS94" s="68"/>
      <c r="AT94" s="68"/>
      <c r="AU94" s="68"/>
      <c r="AV94" s="68"/>
      <c r="AW94" s="68"/>
      <c r="AX94" s="68"/>
      <c r="AY94" s="69"/>
      <c r="AZ94" s="67"/>
      <c r="BA94" s="68"/>
      <c r="BB94" s="67"/>
      <c r="BC94" s="67"/>
      <c r="BD94" s="68"/>
      <c r="BE94" s="68"/>
      <c r="BF94" s="68"/>
      <c r="BG94" s="68"/>
      <c r="BH94" s="68"/>
      <c r="BI94" s="68"/>
      <c r="BJ94" s="68"/>
      <c r="BK94" s="69"/>
      <c r="BL94" s="67"/>
      <c r="BM94" s="67"/>
    </row>
    <row r="95" spans="18:93" ht="39.950000000000003" customHeight="1">
      <c r="R95" s="63"/>
      <c r="S95" s="64"/>
      <c r="Y95" s="531"/>
      <c r="Z95" s="531"/>
      <c r="AA95" s="531"/>
      <c r="AD95" s="63"/>
      <c r="AE95" s="64"/>
      <c r="AK95" s="531"/>
      <c r="AL95" s="531"/>
      <c r="AM95" s="531"/>
      <c r="AO95" s="68"/>
      <c r="AP95" s="76"/>
      <c r="AQ95" s="77"/>
      <c r="AR95" s="68"/>
      <c r="AS95" s="68"/>
      <c r="AT95" s="68"/>
      <c r="AU95" s="68"/>
      <c r="AV95" s="68"/>
      <c r="AW95" s="533"/>
      <c r="AX95" s="533"/>
      <c r="AY95" s="533"/>
      <c r="AZ95" s="67"/>
      <c r="BA95" s="68"/>
      <c r="BB95" s="76"/>
      <c r="BC95" s="77"/>
      <c r="BD95" s="68"/>
      <c r="BE95" s="68"/>
      <c r="BF95" s="68"/>
      <c r="BG95" s="68"/>
      <c r="BH95" s="68"/>
      <c r="BI95" s="533"/>
      <c r="BJ95" s="533"/>
      <c r="BK95" s="533"/>
      <c r="BL95" s="67"/>
      <c r="BM95" s="67"/>
      <c r="BO95" s="531"/>
      <c r="BP95" s="531"/>
      <c r="BQ95" s="531"/>
      <c r="BT95" s="63"/>
      <c r="BU95" s="64"/>
      <c r="CA95" s="531"/>
      <c r="CB95" s="531"/>
      <c r="CC95" s="531"/>
      <c r="CF95" s="63"/>
      <c r="CG95" s="64"/>
      <c r="CM95" s="531"/>
      <c r="CN95" s="531"/>
      <c r="CO95" s="531"/>
    </row>
    <row r="96" spans="18:93" ht="39.950000000000003" customHeight="1">
      <c r="R96" s="63"/>
      <c r="V96" s="170"/>
      <c r="W96" s="56"/>
      <c r="X96" s="56"/>
      <c r="Y96" s="56"/>
      <c r="AD96" s="63"/>
      <c r="AG96" s="56"/>
      <c r="AH96" s="56"/>
      <c r="AI96" s="56"/>
      <c r="AJ96" s="56"/>
      <c r="AK96" s="56"/>
      <c r="AO96" s="68"/>
      <c r="AP96" s="76"/>
      <c r="AQ96" s="67"/>
      <c r="AR96" s="68"/>
      <c r="AS96" s="69"/>
      <c r="AT96" s="69"/>
      <c r="AU96" s="69"/>
      <c r="AV96" s="69"/>
      <c r="AW96" s="69"/>
      <c r="AX96" s="68"/>
      <c r="AY96" s="69"/>
      <c r="AZ96" s="67"/>
      <c r="BA96" s="69"/>
      <c r="BB96" s="76"/>
      <c r="BC96" s="67"/>
      <c r="BD96" s="68"/>
      <c r="BE96" s="69"/>
      <c r="BF96" s="69"/>
      <c r="BG96" s="69"/>
      <c r="BH96" s="69"/>
      <c r="BI96" s="69"/>
      <c r="BJ96" s="68"/>
      <c r="BK96" s="69"/>
      <c r="BL96" s="67"/>
      <c r="BM96" s="67"/>
      <c r="BN96" s="56"/>
      <c r="BO96" s="56"/>
      <c r="BT96" s="63"/>
      <c r="BW96" s="56"/>
      <c r="BX96" s="56"/>
      <c r="BY96" s="56"/>
      <c r="BZ96" s="56"/>
      <c r="CA96" s="56"/>
      <c r="CF96" s="63"/>
      <c r="CI96" s="56"/>
      <c r="CJ96" s="56"/>
      <c r="CK96" s="56"/>
      <c r="CL96" s="56"/>
      <c r="CM96" s="56"/>
    </row>
    <row r="97" spans="18:93" ht="39.950000000000003" customHeight="1">
      <c r="R97" s="63"/>
      <c r="V97" s="170"/>
      <c r="W97" s="56"/>
      <c r="X97" s="56"/>
      <c r="Y97" s="56"/>
      <c r="AD97" s="63"/>
      <c r="AG97" s="56"/>
      <c r="AH97" s="56"/>
      <c r="AI97" s="56"/>
      <c r="AJ97" s="56"/>
      <c r="AK97" s="56"/>
      <c r="AO97" s="68"/>
      <c r="AP97" s="76"/>
      <c r="AQ97" s="67"/>
      <c r="AR97" s="68"/>
      <c r="AS97" s="69"/>
      <c r="AT97" s="69"/>
      <c r="AU97" s="69"/>
      <c r="AV97" s="69"/>
      <c r="AW97" s="69"/>
      <c r="AX97" s="68"/>
      <c r="AY97" s="69"/>
      <c r="AZ97" s="67"/>
      <c r="BA97" s="69"/>
      <c r="BB97" s="76"/>
      <c r="BC97" s="67"/>
      <c r="BD97" s="68"/>
      <c r="BE97" s="69"/>
      <c r="BF97" s="69"/>
      <c r="BG97" s="69"/>
      <c r="BH97" s="69"/>
      <c r="BI97" s="69"/>
      <c r="BJ97" s="68"/>
      <c r="BK97" s="69"/>
      <c r="BL97" s="67"/>
      <c r="BM97" s="67"/>
      <c r="BN97" s="56"/>
      <c r="BO97" s="56"/>
      <c r="BT97" s="63"/>
      <c r="BW97" s="56"/>
      <c r="BX97" s="56"/>
      <c r="BY97" s="56"/>
      <c r="BZ97" s="56"/>
      <c r="CA97" s="56"/>
      <c r="CF97" s="63"/>
      <c r="CI97" s="56"/>
      <c r="CJ97" s="56"/>
      <c r="CK97" s="56"/>
      <c r="CL97" s="56"/>
      <c r="CM97" s="56"/>
    </row>
    <row r="98" spans="18:93" ht="39.950000000000003" customHeight="1">
      <c r="R98" s="63"/>
      <c r="V98" s="170"/>
      <c r="W98" s="56"/>
      <c r="X98" s="56"/>
      <c r="Y98" s="56"/>
      <c r="AD98" s="63"/>
      <c r="AG98" s="56"/>
      <c r="AH98" s="56"/>
      <c r="AI98" s="56"/>
      <c r="AJ98" s="56"/>
      <c r="AK98" s="56"/>
      <c r="AO98" s="68"/>
      <c r="AP98" s="76"/>
      <c r="AQ98" s="67"/>
      <c r="AR98" s="68"/>
      <c r="AS98" s="69"/>
      <c r="AT98" s="69"/>
      <c r="AU98" s="69"/>
      <c r="AV98" s="69"/>
      <c r="AW98" s="69"/>
      <c r="AX98" s="68"/>
      <c r="AY98" s="69"/>
      <c r="AZ98" s="67"/>
      <c r="BA98" s="69"/>
      <c r="BB98" s="76"/>
      <c r="BC98" s="67"/>
      <c r="BD98" s="68"/>
      <c r="BE98" s="69"/>
      <c r="BF98" s="69"/>
      <c r="BG98" s="69"/>
      <c r="BH98" s="69"/>
      <c r="BI98" s="69"/>
      <c r="BJ98" s="68"/>
      <c r="BK98" s="69"/>
      <c r="BL98" s="67"/>
      <c r="BM98" s="67"/>
      <c r="BN98" s="56"/>
      <c r="BO98" s="56"/>
      <c r="BT98" s="63"/>
      <c r="BW98" s="56"/>
      <c r="BX98" s="56"/>
      <c r="BY98" s="56"/>
      <c r="BZ98" s="56"/>
      <c r="CA98" s="56"/>
      <c r="CF98" s="63"/>
      <c r="CI98" s="56"/>
      <c r="CJ98" s="56"/>
      <c r="CK98" s="56"/>
      <c r="CL98" s="56"/>
      <c r="CM98" s="56"/>
    </row>
    <row r="99" spans="18:93" ht="39.950000000000003" customHeight="1">
      <c r="R99" s="63"/>
      <c r="V99" s="170"/>
      <c r="W99" s="56"/>
      <c r="X99" s="56"/>
      <c r="Y99" s="56"/>
      <c r="AD99" s="63"/>
      <c r="AG99" s="56"/>
      <c r="AH99" s="56"/>
      <c r="AI99" s="56"/>
      <c r="AJ99" s="56"/>
      <c r="AK99" s="56"/>
      <c r="AO99" s="68"/>
      <c r="AP99" s="76"/>
      <c r="AQ99" s="67"/>
      <c r="AR99" s="68"/>
      <c r="AS99" s="69"/>
      <c r="AT99" s="69"/>
      <c r="AU99" s="69"/>
      <c r="AV99" s="69"/>
      <c r="AW99" s="69"/>
      <c r="AX99" s="68"/>
      <c r="AY99" s="69"/>
      <c r="AZ99" s="67"/>
      <c r="BA99" s="69"/>
      <c r="BB99" s="76"/>
      <c r="BC99" s="67"/>
      <c r="BD99" s="68"/>
      <c r="BE99" s="69"/>
      <c r="BF99" s="69"/>
      <c r="BG99" s="69"/>
      <c r="BH99" s="69"/>
      <c r="BI99" s="69"/>
      <c r="BJ99" s="68"/>
      <c r="BK99" s="69"/>
      <c r="BL99" s="67"/>
      <c r="BM99" s="67"/>
      <c r="BN99" s="56"/>
      <c r="BO99" s="56"/>
      <c r="BT99" s="63"/>
      <c r="BW99" s="56"/>
      <c r="BX99" s="56"/>
      <c r="BY99" s="56"/>
      <c r="BZ99" s="56"/>
      <c r="CA99" s="56"/>
      <c r="CF99" s="63"/>
      <c r="CI99" s="56"/>
      <c r="CJ99" s="56"/>
      <c r="CK99" s="56"/>
      <c r="CL99" s="56"/>
      <c r="CM99" s="56"/>
    </row>
    <row r="100" spans="18:93" ht="39.950000000000003" customHeight="1">
      <c r="AO100" s="68"/>
      <c r="AP100" s="67"/>
      <c r="AQ100" s="67"/>
      <c r="AR100" s="68"/>
      <c r="AS100" s="68"/>
      <c r="AT100" s="68"/>
      <c r="AU100" s="68"/>
      <c r="AV100" s="68"/>
      <c r="AW100" s="68"/>
      <c r="AX100" s="68"/>
      <c r="AY100" s="69"/>
      <c r="AZ100" s="67"/>
      <c r="BA100" s="68"/>
      <c r="BB100" s="67"/>
      <c r="BC100" s="67"/>
      <c r="BD100" s="68"/>
      <c r="BE100" s="68"/>
      <c r="BF100" s="68"/>
      <c r="BG100" s="68"/>
      <c r="BH100" s="68"/>
      <c r="BI100" s="68"/>
      <c r="BJ100" s="68"/>
      <c r="BK100" s="69"/>
      <c r="BL100" s="67"/>
      <c r="BM100" s="67"/>
    </row>
    <row r="101" spans="18:93" ht="39.950000000000003" customHeight="1">
      <c r="R101" s="63"/>
      <c r="S101" s="64"/>
      <c r="Y101" s="531"/>
      <c r="Z101" s="531"/>
      <c r="AA101" s="531"/>
      <c r="AD101" s="63"/>
      <c r="AE101" s="64"/>
      <c r="AK101" s="531"/>
      <c r="AL101" s="531"/>
      <c r="AM101" s="531"/>
      <c r="AO101" s="68"/>
      <c r="AP101" s="76"/>
      <c r="AQ101" s="77"/>
      <c r="AR101" s="68"/>
      <c r="AS101" s="68"/>
      <c r="AT101" s="68"/>
      <c r="AU101" s="68"/>
      <c r="AV101" s="68"/>
      <c r="AW101" s="533"/>
      <c r="AX101" s="533"/>
      <c r="AY101" s="533"/>
      <c r="AZ101" s="67"/>
      <c r="BA101" s="68"/>
      <c r="BB101" s="76"/>
      <c r="BC101" s="77"/>
      <c r="BD101" s="68"/>
      <c r="BE101" s="68"/>
      <c r="BF101" s="68"/>
      <c r="BG101" s="68"/>
      <c r="BH101" s="68"/>
      <c r="BI101" s="533"/>
      <c r="BJ101" s="533"/>
      <c r="BK101" s="533"/>
      <c r="BL101" s="67"/>
      <c r="BM101" s="67"/>
      <c r="BO101" s="531"/>
      <c r="BP101" s="531"/>
      <c r="BQ101" s="531"/>
      <c r="BT101" s="63"/>
      <c r="BU101" s="64"/>
      <c r="CA101" s="531"/>
      <c r="CB101" s="531"/>
      <c r="CC101" s="531"/>
      <c r="CF101" s="63"/>
      <c r="CG101" s="64"/>
      <c r="CM101" s="531"/>
      <c r="CN101" s="531"/>
      <c r="CO101" s="531"/>
    </row>
    <row r="102" spans="18:93" ht="39.950000000000003" customHeight="1">
      <c r="R102" s="63"/>
      <c r="V102" s="170"/>
      <c r="W102" s="56"/>
      <c r="X102" s="56"/>
      <c r="Y102" s="56"/>
      <c r="AD102" s="63"/>
      <c r="AG102" s="56"/>
      <c r="AH102" s="56"/>
      <c r="AI102" s="56"/>
      <c r="AJ102" s="56"/>
      <c r="AK102" s="56"/>
      <c r="AO102" s="68"/>
      <c r="AP102" s="76"/>
      <c r="AQ102" s="67"/>
      <c r="AR102" s="68"/>
      <c r="AS102" s="69"/>
      <c r="AT102" s="69"/>
      <c r="AU102" s="69"/>
      <c r="AV102" s="69"/>
      <c r="AW102" s="69"/>
      <c r="AX102" s="68"/>
      <c r="AY102" s="69"/>
      <c r="AZ102" s="67"/>
      <c r="BA102" s="69"/>
      <c r="BB102" s="76"/>
      <c r="BC102" s="67"/>
      <c r="BD102" s="68"/>
      <c r="BE102" s="69"/>
      <c r="BF102" s="69"/>
      <c r="BG102" s="69"/>
      <c r="BH102" s="69"/>
      <c r="BI102" s="69"/>
      <c r="BJ102" s="68"/>
      <c r="BK102" s="69"/>
      <c r="BL102" s="67"/>
      <c r="BM102" s="67"/>
      <c r="BN102" s="56"/>
      <c r="BO102" s="56"/>
      <c r="BT102" s="63"/>
      <c r="BW102" s="56"/>
      <c r="BX102" s="56"/>
      <c r="BY102" s="56"/>
      <c r="BZ102" s="56"/>
      <c r="CA102" s="56"/>
      <c r="CF102" s="63"/>
      <c r="CI102" s="56"/>
      <c r="CJ102" s="56"/>
      <c r="CK102" s="56"/>
      <c r="CL102" s="56"/>
      <c r="CM102" s="56"/>
    </row>
    <row r="103" spans="18:93" ht="39.950000000000003" customHeight="1">
      <c r="R103" s="63"/>
      <c r="V103" s="170"/>
      <c r="W103" s="56"/>
      <c r="X103" s="56"/>
      <c r="Y103" s="56"/>
      <c r="AD103" s="63"/>
      <c r="AG103" s="56"/>
      <c r="AH103" s="56"/>
      <c r="AI103" s="56"/>
      <c r="AJ103" s="56"/>
      <c r="AK103" s="56"/>
      <c r="AO103" s="68"/>
      <c r="AP103" s="76"/>
      <c r="AQ103" s="67"/>
      <c r="AR103" s="68"/>
      <c r="AS103" s="69"/>
      <c r="AT103" s="69"/>
      <c r="AU103" s="69"/>
      <c r="AV103" s="69"/>
      <c r="AW103" s="69"/>
      <c r="AX103" s="68"/>
      <c r="AY103" s="69"/>
      <c r="AZ103" s="67"/>
      <c r="BA103" s="69"/>
      <c r="BB103" s="76"/>
      <c r="BC103" s="67"/>
      <c r="BD103" s="68"/>
      <c r="BE103" s="69"/>
      <c r="BF103" s="69"/>
      <c r="BG103" s="69"/>
      <c r="BH103" s="69"/>
      <c r="BI103" s="69"/>
      <c r="BJ103" s="68"/>
      <c r="BK103" s="69"/>
      <c r="BL103" s="67"/>
      <c r="BM103" s="67"/>
      <c r="BN103" s="56"/>
      <c r="BO103" s="56"/>
      <c r="BT103" s="63"/>
      <c r="BW103" s="56"/>
      <c r="BX103" s="56"/>
      <c r="BY103" s="56"/>
      <c r="BZ103" s="56"/>
      <c r="CA103" s="56"/>
      <c r="CF103" s="63"/>
      <c r="CI103" s="56"/>
      <c r="CJ103" s="56"/>
      <c r="CK103" s="56"/>
      <c r="CL103" s="56"/>
      <c r="CM103" s="56"/>
    </row>
    <row r="104" spans="18:93" ht="39.950000000000003" customHeight="1">
      <c r="R104" s="63"/>
      <c r="V104" s="170"/>
      <c r="W104" s="56"/>
      <c r="X104" s="56"/>
      <c r="Y104" s="56"/>
      <c r="AD104" s="63"/>
      <c r="AG104" s="56"/>
      <c r="AH104" s="56"/>
      <c r="AI104" s="56"/>
      <c r="AJ104" s="56"/>
      <c r="AK104" s="56"/>
      <c r="AO104" s="68"/>
      <c r="AP104" s="76"/>
      <c r="AQ104" s="67"/>
      <c r="AR104" s="68"/>
      <c r="AS104" s="69"/>
      <c r="AT104" s="69"/>
      <c r="AU104" s="69"/>
      <c r="AV104" s="69"/>
      <c r="AW104" s="69"/>
      <c r="AX104" s="68"/>
      <c r="AY104" s="69"/>
      <c r="AZ104" s="67"/>
      <c r="BA104" s="69"/>
      <c r="BB104" s="76"/>
      <c r="BC104" s="67"/>
      <c r="BD104" s="68"/>
      <c r="BE104" s="69"/>
      <c r="BF104" s="69"/>
      <c r="BG104" s="69"/>
      <c r="BH104" s="69"/>
      <c r="BI104" s="69"/>
      <c r="BJ104" s="68"/>
      <c r="BK104" s="69"/>
      <c r="BL104" s="67"/>
      <c r="BM104" s="67"/>
      <c r="BN104" s="56"/>
      <c r="BO104" s="56"/>
      <c r="BT104" s="63"/>
      <c r="BW104" s="56"/>
      <c r="BX104" s="56"/>
      <c r="BY104" s="56"/>
      <c r="BZ104" s="56"/>
      <c r="CA104" s="56"/>
      <c r="CF104" s="63"/>
      <c r="CI104" s="56"/>
      <c r="CJ104" s="56"/>
      <c r="CK104" s="56"/>
      <c r="CL104" s="56"/>
      <c r="CM104" s="56"/>
    </row>
    <row r="105" spans="18:93" ht="39.950000000000003" customHeight="1">
      <c r="R105" s="63"/>
      <c r="V105" s="170"/>
      <c r="W105" s="56"/>
      <c r="X105" s="56"/>
      <c r="Y105" s="56"/>
      <c r="AD105" s="63"/>
      <c r="AG105" s="56"/>
      <c r="AH105" s="56"/>
      <c r="AI105" s="56"/>
      <c r="AJ105" s="56"/>
      <c r="AK105" s="56"/>
      <c r="AO105" s="68"/>
      <c r="AP105" s="76"/>
      <c r="AQ105" s="67"/>
      <c r="AR105" s="68"/>
      <c r="AS105" s="69"/>
      <c r="AT105" s="69"/>
      <c r="AU105" s="69"/>
      <c r="AV105" s="69"/>
      <c r="AW105" s="69"/>
      <c r="AX105" s="68"/>
      <c r="AY105" s="69"/>
      <c r="AZ105" s="67"/>
      <c r="BA105" s="69"/>
      <c r="BB105" s="76"/>
      <c r="BC105" s="67"/>
      <c r="BD105" s="68"/>
      <c r="BE105" s="69"/>
      <c r="BF105" s="69"/>
      <c r="BG105" s="69"/>
      <c r="BH105" s="69"/>
      <c r="BI105" s="69"/>
      <c r="BJ105" s="68"/>
      <c r="BK105" s="69"/>
      <c r="BL105" s="67"/>
      <c r="BM105" s="67"/>
      <c r="BN105" s="56"/>
      <c r="BO105" s="56"/>
      <c r="BT105" s="63"/>
      <c r="BW105" s="56"/>
      <c r="BX105" s="56"/>
      <c r="BY105" s="56"/>
      <c r="BZ105" s="56"/>
      <c r="CA105" s="56"/>
      <c r="CF105" s="63"/>
      <c r="CI105" s="56"/>
      <c r="CJ105" s="56"/>
      <c r="CK105" s="56"/>
      <c r="CL105" s="56"/>
      <c r="CM105" s="56"/>
    </row>
    <row r="106" spans="18:93" ht="39.950000000000003" customHeight="1">
      <c r="AO106" s="68"/>
      <c r="AP106" s="67"/>
      <c r="AQ106" s="67"/>
      <c r="AR106" s="68"/>
      <c r="AS106" s="68"/>
      <c r="AT106" s="68"/>
      <c r="AU106" s="68"/>
      <c r="AV106" s="68"/>
      <c r="AW106" s="68"/>
      <c r="AX106" s="68"/>
      <c r="AY106" s="69"/>
      <c r="AZ106" s="67"/>
      <c r="BA106" s="68"/>
      <c r="BB106" s="67"/>
      <c r="BC106" s="67"/>
      <c r="BD106" s="68"/>
      <c r="BE106" s="68"/>
      <c r="BF106" s="68"/>
      <c r="BG106" s="68"/>
      <c r="BH106" s="68"/>
      <c r="BI106" s="68"/>
      <c r="BJ106" s="68"/>
      <c r="BK106" s="69"/>
      <c r="BL106" s="67"/>
      <c r="BM106" s="67"/>
    </row>
    <row r="107" spans="18:93" ht="39.950000000000003" customHeight="1">
      <c r="R107" s="63"/>
      <c r="S107" s="64"/>
      <c r="Y107" s="531"/>
      <c r="Z107" s="531"/>
      <c r="AA107" s="531"/>
      <c r="AD107" s="63"/>
      <c r="AE107" s="64"/>
      <c r="AK107" s="531"/>
      <c r="AL107" s="531"/>
      <c r="AM107" s="531"/>
      <c r="AO107" s="68"/>
      <c r="AP107" s="76"/>
      <c r="AQ107" s="77"/>
      <c r="AR107" s="68"/>
      <c r="AS107" s="68"/>
      <c r="AT107" s="68"/>
      <c r="AU107" s="68"/>
      <c r="AV107" s="68"/>
      <c r="AW107" s="533"/>
      <c r="AX107" s="533"/>
      <c r="AY107" s="533"/>
      <c r="AZ107" s="67"/>
      <c r="BA107" s="68"/>
      <c r="BB107" s="76"/>
      <c r="BC107" s="77"/>
      <c r="BD107" s="68"/>
      <c r="BE107" s="68"/>
      <c r="BF107" s="68"/>
      <c r="BG107" s="68"/>
      <c r="BH107" s="68"/>
      <c r="BI107" s="533"/>
      <c r="BJ107" s="533"/>
      <c r="BK107" s="533"/>
      <c r="BL107" s="67"/>
      <c r="BM107" s="67"/>
      <c r="BO107" s="531"/>
      <c r="BP107" s="531"/>
      <c r="BQ107" s="531"/>
      <c r="BT107" s="63"/>
      <c r="BU107" s="64"/>
      <c r="CA107" s="531"/>
      <c r="CB107" s="531"/>
      <c r="CC107" s="531"/>
      <c r="CF107" s="63"/>
      <c r="CG107" s="64"/>
      <c r="CM107" s="531"/>
      <c r="CN107" s="531"/>
      <c r="CO107" s="531"/>
    </row>
    <row r="108" spans="18:93" ht="39.950000000000003" customHeight="1">
      <c r="R108" s="63"/>
      <c r="V108" s="170"/>
      <c r="W108" s="56"/>
      <c r="X108" s="56"/>
      <c r="Y108" s="56"/>
      <c r="AD108" s="63"/>
      <c r="AG108" s="56"/>
      <c r="AH108" s="56"/>
      <c r="AI108" s="56"/>
      <c r="AJ108" s="56"/>
      <c r="AK108" s="56"/>
      <c r="AO108" s="68"/>
      <c r="AP108" s="76"/>
      <c r="AQ108" s="67"/>
      <c r="AR108" s="68"/>
      <c r="AS108" s="69"/>
      <c r="AT108" s="69"/>
      <c r="AU108" s="69"/>
      <c r="AV108" s="69"/>
      <c r="AW108" s="69"/>
      <c r="AX108" s="68"/>
      <c r="AY108" s="69"/>
      <c r="AZ108" s="67"/>
      <c r="BA108" s="69"/>
      <c r="BB108" s="76"/>
      <c r="BC108" s="67"/>
      <c r="BD108" s="68"/>
      <c r="BE108" s="69"/>
      <c r="BF108" s="69"/>
      <c r="BG108" s="69"/>
      <c r="BH108" s="69"/>
      <c r="BI108" s="69"/>
      <c r="BJ108" s="68"/>
      <c r="BK108" s="69"/>
      <c r="BL108" s="67"/>
      <c r="BM108" s="67"/>
      <c r="BN108" s="56"/>
      <c r="BO108" s="56"/>
      <c r="BT108" s="63"/>
      <c r="BW108" s="56"/>
      <c r="BX108" s="56"/>
      <c r="BY108" s="56"/>
      <c r="BZ108" s="56"/>
      <c r="CA108" s="56"/>
      <c r="CF108" s="63"/>
      <c r="CI108" s="56"/>
      <c r="CJ108" s="56"/>
      <c r="CK108" s="56"/>
      <c r="CL108" s="56"/>
      <c r="CM108" s="56"/>
    </row>
    <row r="109" spans="18:93" ht="39.950000000000003" customHeight="1">
      <c r="R109" s="63"/>
      <c r="V109" s="170"/>
      <c r="W109" s="56"/>
      <c r="X109" s="56"/>
      <c r="Y109" s="56"/>
      <c r="AD109" s="63"/>
      <c r="AG109" s="56"/>
      <c r="AH109" s="56"/>
      <c r="AI109" s="56"/>
      <c r="AJ109" s="56"/>
      <c r="AK109" s="56"/>
      <c r="AO109" s="68"/>
      <c r="AP109" s="76"/>
      <c r="AQ109" s="67"/>
      <c r="AR109" s="68"/>
      <c r="AS109" s="69"/>
      <c r="AT109" s="69"/>
      <c r="AU109" s="69"/>
      <c r="AV109" s="69"/>
      <c r="AW109" s="69"/>
      <c r="AX109" s="68"/>
      <c r="AY109" s="69"/>
      <c r="AZ109" s="67"/>
      <c r="BA109" s="69"/>
      <c r="BB109" s="76"/>
      <c r="BC109" s="67"/>
      <c r="BD109" s="68"/>
      <c r="BE109" s="69"/>
      <c r="BF109" s="69"/>
      <c r="BG109" s="69"/>
      <c r="BH109" s="69"/>
      <c r="BI109" s="69"/>
      <c r="BJ109" s="68"/>
      <c r="BK109" s="69"/>
      <c r="BL109" s="67"/>
      <c r="BM109" s="67"/>
      <c r="BN109" s="56"/>
      <c r="BO109" s="56"/>
      <c r="BT109" s="63"/>
      <c r="BW109" s="56"/>
      <c r="BX109" s="56"/>
      <c r="BY109" s="56"/>
      <c r="BZ109" s="56"/>
      <c r="CA109" s="56"/>
      <c r="CF109" s="63"/>
      <c r="CI109" s="56"/>
      <c r="CJ109" s="56"/>
      <c r="CK109" s="56"/>
      <c r="CL109" s="56"/>
      <c r="CM109" s="56"/>
    </row>
    <row r="110" spans="18:93" ht="39.950000000000003" customHeight="1">
      <c r="R110" s="63"/>
      <c r="V110" s="170"/>
      <c r="W110" s="56"/>
      <c r="X110" s="56"/>
      <c r="Y110" s="56"/>
      <c r="AD110" s="63"/>
      <c r="AG110" s="56"/>
      <c r="AH110" s="56"/>
      <c r="AI110" s="56"/>
      <c r="AJ110" s="56"/>
      <c r="AK110" s="56"/>
      <c r="AO110" s="68"/>
      <c r="AP110" s="76"/>
      <c r="AQ110" s="67"/>
      <c r="AR110" s="68"/>
      <c r="AS110" s="69"/>
      <c r="AT110" s="69"/>
      <c r="AU110" s="69"/>
      <c r="AV110" s="69"/>
      <c r="AW110" s="69"/>
      <c r="AX110" s="68"/>
      <c r="AY110" s="69"/>
      <c r="AZ110" s="67"/>
      <c r="BA110" s="69"/>
      <c r="BB110" s="76"/>
      <c r="BC110" s="67"/>
      <c r="BD110" s="68"/>
      <c r="BE110" s="69"/>
      <c r="BF110" s="69"/>
      <c r="BG110" s="69"/>
      <c r="BH110" s="69"/>
      <c r="BI110" s="69"/>
      <c r="BJ110" s="68"/>
      <c r="BK110" s="69"/>
      <c r="BL110" s="67"/>
      <c r="BM110" s="67"/>
      <c r="BN110" s="56"/>
      <c r="BO110" s="56"/>
      <c r="BT110" s="63"/>
      <c r="BW110" s="56"/>
      <c r="BX110" s="56"/>
      <c r="BY110" s="56"/>
      <c r="BZ110" s="56"/>
      <c r="CA110" s="56"/>
      <c r="CF110" s="63"/>
      <c r="CI110" s="56"/>
      <c r="CJ110" s="56"/>
      <c r="CK110" s="56"/>
      <c r="CL110" s="56"/>
      <c r="CM110" s="56"/>
    </row>
    <row r="111" spans="18:93" ht="39.950000000000003" customHeight="1">
      <c r="R111" s="63"/>
      <c r="V111" s="170"/>
      <c r="W111" s="56"/>
      <c r="X111" s="56"/>
      <c r="Y111" s="56"/>
      <c r="AD111" s="63"/>
      <c r="AG111" s="56"/>
      <c r="AH111" s="56"/>
      <c r="AI111" s="56"/>
      <c r="AJ111" s="56"/>
      <c r="AK111" s="56"/>
      <c r="AO111" s="68"/>
      <c r="AP111" s="76"/>
      <c r="AQ111" s="67"/>
      <c r="AR111" s="68"/>
      <c r="AS111" s="69"/>
      <c r="AT111" s="69"/>
      <c r="AU111" s="69"/>
      <c r="AV111" s="69"/>
      <c r="AW111" s="69"/>
      <c r="AX111" s="68"/>
      <c r="AY111" s="69"/>
      <c r="AZ111" s="67"/>
      <c r="BA111" s="69"/>
      <c r="BB111" s="76"/>
      <c r="BC111" s="67"/>
      <c r="BD111" s="68"/>
      <c r="BE111" s="69"/>
      <c r="BF111" s="69"/>
      <c r="BG111" s="69"/>
      <c r="BH111" s="69"/>
      <c r="BI111" s="69"/>
      <c r="BJ111" s="68"/>
      <c r="BK111" s="69"/>
      <c r="BL111" s="67"/>
      <c r="BM111" s="67"/>
      <c r="BN111" s="56"/>
      <c r="BO111" s="56"/>
      <c r="BT111" s="63"/>
      <c r="BW111" s="56"/>
      <c r="BX111" s="56"/>
      <c r="BY111" s="56"/>
      <c r="BZ111" s="56"/>
      <c r="CA111" s="56"/>
      <c r="CF111" s="63"/>
      <c r="CI111" s="56"/>
      <c r="CJ111" s="56"/>
      <c r="CK111" s="56"/>
      <c r="CL111" s="56"/>
      <c r="CM111" s="56"/>
    </row>
    <row r="112" spans="18:93" ht="39.950000000000003" customHeight="1">
      <c r="AO112" s="68"/>
      <c r="AP112" s="67"/>
      <c r="AQ112" s="67"/>
      <c r="AR112" s="68"/>
      <c r="AS112" s="68"/>
      <c r="AT112" s="68"/>
      <c r="AU112" s="68"/>
      <c r="AV112" s="68"/>
      <c r="AW112" s="68"/>
      <c r="AX112" s="68"/>
      <c r="AY112" s="69"/>
      <c r="AZ112" s="67"/>
      <c r="BA112" s="68"/>
      <c r="BB112" s="67"/>
      <c r="BC112" s="67"/>
      <c r="BD112" s="68"/>
      <c r="BE112" s="68"/>
      <c r="BF112" s="68"/>
      <c r="BG112" s="68"/>
      <c r="BH112" s="68"/>
      <c r="BI112" s="68"/>
      <c r="BJ112" s="68"/>
      <c r="BK112" s="69"/>
      <c r="BL112" s="67"/>
      <c r="BM112" s="67"/>
    </row>
    <row r="113" spans="18:93" ht="39.950000000000003" customHeight="1">
      <c r="R113" s="63"/>
      <c r="S113" s="64"/>
      <c r="Y113" s="531"/>
      <c r="Z113" s="531"/>
      <c r="AA113" s="531"/>
      <c r="AD113" s="63"/>
      <c r="AE113" s="64"/>
      <c r="AK113" s="531"/>
      <c r="AL113" s="531"/>
      <c r="AM113" s="531"/>
      <c r="AO113" s="68"/>
      <c r="AP113" s="76"/>
      <c r="AQ113" s="77"/>
      <c r="AR113" s="68"/>
      <c r="AS113" s="68"/>
      <c r="AT113" s="68"/>
      <c r="AU113" s="68"/>
      <c r="AV113" s="68"/>
      <c r="AW113" s="533"/>
      <c r="AX113" s="533"/>
      <c r="AY113" s="533"/>
      <c r="AZ113" s="67"/>
      <c r="BA113" s="68"/>
      <c r="BB113" s="76"/>
      <c r="BC113" s="77"/>
      <c r="BD113" s="68"/>
      <c r="BE113" s="68"/>
      <c r="BF113" s="68"/>
      <c r="BG113" s="68"/>
      <c r="BH113" s="68"/>
      <c r="BI113" s="533"/>
      <c r="BJ113" s="533"/>
      <c r="BK113" s="533"/>
      <c r="BL113" s="67"/>
      <c r="BM113" s="67"/>
      <c r="BO113" s="531"/>
      <c r="BP113" s="531"/>
      <c r="BQ113" s="531"/>
      <c r="BT113" s="63"/>
      <c r="BU113" s="64"/>
      <c r="CA113" s="531"/>
      <c r="CB113" s="531"/>
      <c r="CC113" s="531"/>
      <c r="CF113" s="63"/>
      <c r="CG113" s="64"/>
      <c r="CM113" s="531"/>
      <c r="CN113" s="531"/>
      <c r="CO113" s="531"/>
    </row>
    <row r="114" spans="18:93" ht="39.950000000000003" customHeight="1">
      <c r="R114" s="63"/>
      <c r="V114" s="170"/>
      <c r="W114" s="56"/>
      <c r="X114" s="56"/>
      <c r="Y114" s="56"/>
      <c r="AD114" s="63"/>
      <c r="AG114" s="56"/>
      <c r="AH114" s="56"/>
      <c r="AI114" s="56"/>
      <c r="AJ114" s="56"/>
      <c r="AK114" s="56"/>
      <c r="AO114" s="68"/>
      <c r="AP114" s="76"/>
      <c r="AQ114" s="67"/>
      <c r="AR114" s="68"/>
      <c r="AS114" s="69"/>
      <c r="AT114" s="69"/>
      <c r="AU114" s="69"/>
      <c r="AV114" s="69"/>
      <c r="AW114" s="69"/>
      <c r="AX114" s="68"/>
      <c r="AY114" s="69"/>
      <c r="AZ114" s="67"/>
      <c r="BA114" s="69"/>
      <c r="BB114" s="76"/>
      <c r="BC114" s="67"/>
      <c r="BD114" s="68"/>
      <c r="BE114" s="69"/>
      <c r="BF114" s="69"/>
      <c r="BG114" s="69"/>
      <c r="BH114" s="69"/>
      <c r="BI114" s="69"/>
      <c r="BJ114" s="68"/>
      <c r="BK114" s="69"/>
      <c r="BL114" s="67"/>
      <c r="BM114" s="67"/>
      <c r="BN114" s="56"/>
      <c r="BO114" s="56"/>
      <c r="BT114" s="63"/>
      <c r="BW114" s="56"/>
      <c r="BX114" s="56"/>
      <c r="BY114" s="56"/>
      <c r="BZ114" s="56"/>
      <c r="CA114" s="56"/>
      <c r="CF114" s="63"/>
      <c r="CI114" s="56"/>
      <c r="CJ114" s="56"/>
      <c r="CK114" s="56"/>
      <c r="CL114" s="56"/>
      <c r="CM114" s="56"/>
    </row>
    <row r="115" spans="18:93" ht="39.950000000000003" customHeight="1">
      <c r="R115" s="63"/>
      <c r="V115" s="170"/>
      <c r="W115" s="56"/>
      <c r="X115" s="56"/>
      <c r="Y115" s="56"/>
      <c r="AD115" s="63"/>
      <c r="AG115" s="56"/>
      <c r="AH115" s="56"/>
      <c r="AI115" s="56"/>
      <c r="AJ115" s="56"/>
      <c r="AK115" s="56"/>
      <c r="AO115" s="68"/>
      <c r="AP115" s="76"/>
      <c r="AQ115" s="67"/>
      <c r="AR115" s="68"/>
      <c r="AS115" s="69"/>
      <c r="AT115" s="69"/>
      <c r="AU115" s="69"/>
      <c r="AV115" s="69"/>
      <c r="AW115" s="69"/>
      <c r="AX115" s="68"/>
      <c r="AY115" s="69"/>
      <c r="AZ115" s="67"/>
      <c r="BA115" s="69"/>
      <c r="BB115" s="76"/>
      <c r="BC115" s="67"/>
      <c r="BD115" s="68"/>
      <c r="BE115" s="69"/>
      <c r="BF115" s="69"/>
      <c r="BG115" s="69"/>
      <c r="BH115" s="69"/>
      <c r="BI115" s="69"/>
      <c r="BJ115" s="68"/>
      <c r="BK115" s="69"/>
      <c r="BL115" s="67"/>
      <c r="BM115" s="67"/>
      <c r="BN115" s="56"/>
      <c r="BO115" s="56"/>
      <c r="BT115" s="63"/>
      <c r="BW115" s="56"/>
      <c r="BX115" s="56"/>
      <c r="BY115" s="56"/>
      <c r="BZ115" s="56"/>
      <c r="CA115" s="56"/>
      <c r="CF115" s="63"/>
      <c r="CI115" s="56"/>
      <c r="CJ115" s="56"/>
      <c r="CK115" s="56"/>
      <c r="CL115" s="56"/>
      <c r="CM115" s="56"/>
    </row>
    <row r="116" spans="18:93" ht="39.950000000000003" customHeight="1">
      <c r="R116" s="63"/>
      <c r="V116" s="170"/>
      <c r="W116" s="56"/>
      <c r="X116" s="56"/>
      <c r="Y116" s="56"/>
      <c r="AD116" s="63"/>
      <c r="AG116" s="56"/>
      <c r="AH116" s="56"/>
      <c r="AI116" s="56"/>
      <c r="AJ116" s="56"/>
      <c r="AK116" s="56"/>
      <c r="AO116" s="68"/>
      <c r="AP116" s="76"/>
      <c r="AQ116" s="67"/>
      <c r="AR116" s="68"/>
      <c r="AS116" s="69"/>
      <c r="AT116" s="69"/>
      <c r="AU116" s="69"/>
      <c r="AV116" s="69"/>
      <c r="AW116" s="69"/>
      <c r="AX116" s="68"/>
      <c r="AY116" s="69"/>
      <c r="AZ116" s="67"/>
      <c r="BA116" s="69"/>
      <c r="BB116" s="76"/>
      <c r="BC116" s="67"/>
      <c r="BD116" s="68"/>
      <c r="BE116" s="69"/>
      <c r="BF116" s="69"/>
      <c r="BG116" s="69"/>
      <c r="BH116" s="69"/>
      <c r="BI116" s="69"/>
      <c r="BJ116" s="68"/>
      <c r="BK116" s="69"/>
      <c r="BL116" s="67"/>
      <c r="BM116" s="67"/>
      <c r="BN116" s="56"/>
      <c r="BO116" s="56"/>
      <c r="BT116" s="63"/>
      <c r="BW116" s="56"/>
      <c r="BX116" s="56"/>
      <c r="BY116" s="56"/>
      <c r="BZ116" s="56"/>
      <c r="CA116" s="56"/>
      <c r="CF116" s="63"/>
      <c r="CI116" s="56"/>
      <c r="CJ116" s="56"/>
      <c r="CK116" s="56"/>
      <c r="CL116" s="56"/>
      <c r="CM116" s="56"/>
    </row>
    <row r="117" spans="18:93" ht="39.950000000000003" customHeight="1">
      <c r="R117" s="63"/>
      <c r="V117" s="170"/>
      <c r="W117" s="56"/>
      <c r="X117" s="56"/>
      <c r="Y117" s="56"/>
      <c r="AD117" s="63"/>
      <c r="AG117" s="56"/>
      <c r="AH117" s="56"/>
      <c r="AI117" s="56"/>
      <c r="AJ117" s="56"/>
      <c r="AK117" s="56"/>
      <c r="AO117" s="68"/>
      <c r="AP117" s="76"/>
      <c r="AQ117" s="67"/>
      <c r="AR117" s="68"/>
      <c r="AS117" s="69"/>
      <c r="AT117" s="69"/>
      <c r="AU117" s="69"/>
      <c r="AV117" s="69"/>
      <c r="AW117" s="69"/>
      <c r="AX117" s="68"/>
      <c r="AY117" s="69"/>
      <c r="AZ117" s="67"/>
      <c r="BA117" s="69"/>
      <c r="BB117" s="76"/>
      <c r="BC117" s="67"/>
      <c r="BD117" s="68"/>
      <c r="BE117" s="69"/>
      <c r="BF117" s="69"/>
      <c r="BG117" s="69"/>
      <c r="BH117" s="69"/>
      <c r="BI117" s="69"/>
      <c r="BJ117" s="68"/>
      <c r="BK117" s="69"/>
      <c r="BL117" s="67"/>
      <c r="BM117" s="67"/>
      <c r="BN117" s="56"/>
      <c r="BO117" s="56"/>
      <c r="BT117" s="63"/>
      <c r="BW117" s="56"/>
      <c r="BX117" s="56"/>
      <c r="BY117" s="56"/>
      <c r="BZ117" s="56"/>
      <c r="CA117" s="56"/>
      <c r="CF117" s="63"/>
      <c r="CI117" s="56"/>
      <c r="CJ117" s="56"/>
      <c r="CK117" s="56"/>
      <c r="CL117" s="56"/>
      <c r="CM117" s="56"/>
    </row>
    <row r="118" spans="18:93" ht="39.950000000000003" customHeight="1">
      <c r="AO118" s="68"/>
      <c r="AP118" s="67"/>
      <c r="AQ118" s="67"/>
      <c r="AR118" s="68"/>
      <c r="AS118" s="68"/>
      <c r="AT118" s="68"/>
      <c r="AU118" s="68"/>
      <c r="AV118" s="68"/>
      <c r="AW118" s="68"/>
      <c r="AX118" s="68"/>
      <c r="AY118" s="69"/>
      <c r="AZ118" s="67"/>
      <c r="BA118" s="68"/>
      <c r="BB118" s="67"/>
      <c r="BC118" s="67"/>
      <c r="BD118" s="68"/>
      <c r="BE118" s="68"/>
      <c r="BF118" s="68"/>
      <c r="BG118" s="68"/>
      <c r="BH118" s="68"/>
      <c r="BI118" s="68"/>
      <c r="BJ118" s="68"/>
      <c r="BK118" s="69"/>
      <c r="BL118" s="67"/>
      <c r="BM118" s="67"/>
    </row>
    <row r="119" spans="18:93" ht="39.950000000000003" customHeight="1">
      <c r="R119" s="63"/>
      <c r="S119" s="64"/>
      <c r="Y119" s="531"/>
      <c r="Z119" s="531"/>
      <c r="AA119" s="531"/>
      <c r="AD119" s="63"/>
      <c r="AE119" s="64"/>
      <c r="AK119" s="531"/>
      <c r="AL119" s="531"/>
      <c r="AM119" s="531"/>
      <c r="AO119" s="68"/>
      <c r="AP119" s="76"/>
      <c r="AQ119" s="77"/>
      <c r="AR119" s="68"/>
      <c r="AS119" s="68"/>
      <c r="AT119" s="68"/>
      <c r="AU119" s="68"/>
      <c r="AV119" s="68"/>
      <c r="AW119" s="533"/>
      <c r="AX119" s="533"/>
      <c r="AY119" s="533"/>
      <c r="AZ119" s="67"/>
      <c r="BA119" s="68"/>
      <c r="BB119" s="76"/>
      <c r="BC119" s="77"/>
      <c r="BD119" s="68"/>
      <c r="BE119" s="68"/>
      <c r="BF119" s="68"/>
      <c r="BG119" s="68"/>
      <c r="BH119" s="68"/>
      <c r="BI119" s="533"/>
      <c r="BJ119" s="533"/>
      <c r="BK119" s="533"/>
      <c r="BL119" s="67"/>
      <c r="BM119" s="67"/>
      <c r="BO119" s="531"/>
      <c r="BP119" s="531"/>
      <c r="BQ119" s="531"/>
      <c r="BT119" s="63"/>
      <c r="BU119" s="64"/>
      <c r="CA119" s="531"/>
      <c r="CB119" s="531"/>
      <c r="CC119" s="531"/>
      <c r="CF119" s="63"/>
      <c r="CG119" s="64"/>
      <c r="CM119" s="531"/>
      <c r="CN119" s="531"/>
      <c r="CO119" s="531"/>
    </row>
    <row r="120" spans="18:93" ht="39.950000000000003" customHeight="1">
      <c r="R120" s="63"/>
      <c r="V120" s="170"/>
      <c r="W120" s="56"/>
      <c r="X120" s="56"/>
      <c r="Y120" s="56"/>
      <c r="AD120" s="63"/>
      <c r="AG120" s="56"/>
      <c r="AH120" s="56"/>
      <c r="AI120" s="56"/>
      <c r="AJ120" s="56"/>
      <c r="AK120" s="56"/>
      <c r="AO120" s="68"/>
      <c r="AP120" s="76"/>
      <c r="AQ120" s="67"/>
      <c r="AR120" s="68"/>
      <c r="AS120" s="69"/>
      <c r="AT120" s="69"/>
      <c r="AU120" s="69"/>
      <c r="AV120" s="69"/>
      <c r="AW120" s="69"/>
      <c r="AX120" s="68"/>
      <c r="AY120" s="69"/>
      <c r="AZ120" s="67"/>
      <c r="BA120" s="69"/>
      <c r="BB120" s="76"/>
      <c r="BC120" s="67"/>
      <c r="BD120" s="68"/>
      <c r="BE120" s="69"/>
      <c r="BF120" s="69"/>
      <c r="BG120" s="69"/>
      <c r="BH120" s="69"/>
      <c r="BI120" s="69"/>
      <c r="BJ120" s="68"/>
      <c r="BK120" s="69"/>
      <c r="BL120" s="67"/>
      <c r="BM120" s="67"/>
      <c r="BN120" s="56"/>
      <c r="BO120" s="56"/>
      <c r="BT120" s="63"/>
      <c r="BW120" s="56"/>
      <c r="BX120" s="56"/>
      <c r="BY120" s="56"/>
      <c r="BZ120" s="56"/>
      <c r="CA120" s="56"/>
      <c r="CF120" s="63"/>
      <c r="CI120" s="56"/>
      <c r="CJ120" s="56"/>
      <c r="CK120" s="56"/>
      <c r="CL120" s="56"/>
      <c r="CM120" s="56"/>
    </row>
    <row r="121" spans="18:93" ht="39.950000000000003" customHeight="1">
      <c r="R121" s="63"/>
      <c r="V121" s="170"/>
      <c r="W121" s="56"/>
      <c r="X121" s="56"/>
      <c r="Y121" s="56"/>
      <c r="AD121" s="63"/>
      <c r="AG121" s="56"/>
      <c r="AH121" s="56"/>
      <c r="AI121" s="56"/>
      <c r="AJ121" s="56"/>
      <c r="AK121" s="56"/>
      <c r="AO121" s="68"/>
      <c r="AP121" s="76"/>
      <c r="AQ121" s="67"/>
      <c r="AR121" s="68"/>
      <c r="AS121" s="69"/>
      <c r="AT121" s="69"/>
      <c r="AU121" s="69"/>
      <c r="AV121" s="69"/>
      <c r="AW121" s="69"/>
      <c r="AX121" s="68"/>
      <c r="AY121" s="69"/>
      <c r="AZ121" s="67"/>
      <c r="BA121" s="69"/>
      <c r="BB121" s="76"/>
      <c r="BC121" s="67"/>
      <c r="BD121" s="68"/>
      <c r="BE121" s="69"/>
      <c r="BF121" s="69"/>
      <c r="BG121" s="69"/>
      <c r="BH121" s="69"/>
      <c r="BI121" s="69"/>
      <c r="BJ121" s="68"/>
      <c r="BK121" s="69"/>
      <c r="BL121" s="67"/>
      <c r="BM121" s="67"/>
      <c r="BN121" s="56"/>
      <c r="BO121" s="56"/>
      <c r="BT121" s="63"/>
      <c r="BW121" s="56"/>
      <c r="BX121" s="56"/>
      <c r="BY121" s="56"/>
      <c r="BZ121" s="56"/>
      <c r="CA121" s="56"/>
      <c r="CF121" s="63"/>
      <c r="CI121" s="56"/>
      <c r="CJ121" s="56"/>
      <c r="CK121" s="56"/>
      <c r="CL121" s="56"/>
      <c r="CM121" s="56"/>
    </row>
    <row r="122" spans="18:93" ht="39.950000000000003" customHeight="1">
      <c r="R122" s="63"/>
      <c r="V122" s="170"/>
      <c r="W122" s="56"/>
      <c r="X122" s="56"/>
      <c r="Y122" s="56"/>
      <c r="AD122" s="63"/>
      <c r="AG122" s="56"/>
      <c r="AH122" s="56"/>
      <c r="AI122" s="56"/>
      <c r="AJ122" s="56"/>
      <c r="AK122" s="56"/>
      <c r="AO122" s="68"/>
      <c r="AP122" s="76"/>
      <c r="AQ122" s="67"/>
      <c r="AR122" s="68"/>
      <c r="AS122" s="69"/>
      <c r="AT122" s="69"/>
      <c r="AU122" s="69"/>
      <c r="AV122" s="69"/>
      <c r="AW122" s="69"/>
      <c r="AX122" s="68"/>
      <c r="AY122" s="69"/>
      <c r="AZ122" s="67"/>
      <c r="BA122" s="69"/>
      <c r="BB122" s="76"/>
      <c r="BC122" s="67"/>
      <c r="BD122" s="68"/>
      <c r="BE122" s="69"/>
      <c r="BF122" s="69"/>
      <c r="BG122" s="69"/>
      <c r="BH122" s="69"/>
      <c r="BI122" s="69"/>
      <c r="BJ122" s="68"/>
      <c r="BK122" s="69"/>
      <c r="BL122" s="67"/>
      <c r="BM122" s="67"/>
      <c r="BN122" s="56"/>
      <c r="BO122" s="56"/>
      <c r="BT122" s="63"/>
      <c r="BW122" s="56"/>
      <c r="BX122" s="56"/>
      <c r="BY122" s="56"/>
      <c r="BZ122" s="56"/>
      <c r="CA122" s="56"/>
      <c r="CF122" s="63"/>
      <c r="CI122" s="56"/>
      <c r="CJ122" s="56"/>
      <c r="CK122" s="56"/>
      <c r="CL122" s="56"/>
      <c r="CM122" s="56"/>
    </row>
    <row r="123" spans="18:93" ht="39.950000000000003" customHeight="1">
      <c r="R123" s="63"/>
      <c r="V123" s="170"/>
      <c r="W123" s="56"/>
      <c r="X123" s="56"/>
      <c r="Y123" s="56"/>
      <c r="AD123" s="63"/>
      <c r="AG123" s="56"/>
      <c r="AH123" s="56"/>
      <c r="AI123" s="56"/>
      <c r="AJ123" s="56"/>
      <c r="AK123" s="56"/>
      <c r="AO123" s="68"/>
      <c r="AP123" s="76"/>
      <c r="AQ123" s="67"/>
      <c r="AR123" s="68"/>
      <c r="AS123" s="69"/>
      <c r="AT123" s="69"/>
      <c r="AU123" s="69"/>
      <c r="AV123" s="69"/>
      <c r="AW123" s="69"/>
      <c r="AX123" s="68"/>
      <c r="AY123" s="69"/>
      <c r="AZ123" s="67"/>
      <c r="BA123" s="69"/>
      <c r="BB123" s="76"/>
      <c r="BC123" s="67"/>
      <c r="BD123" s="68"/>
      <c r="BE123" s="69"/>
      <c r="BF123" s="69"/>
      <c r="BG123" s="69"/>
      <c r="BH123" s="69"/>
      <c r="BI123" s="69"/>
      <c r="BJ123" s="68"/>
      <c r="BK123" s="69"/>
      <c r="BL123" s="67"/>
      <c r="BM123" s="67"/>
      <c r="BN123" s="56"/>
      <c r="BO123" s="56"/>
      <c r="BT123" s="63"/>
      <c r="BW123" s="56"/>
      <c r="BX123" s="56"/>
      <c r="BY123" s="56"/>
      <c r="BZ123" s="56"/>
      <c r="CA123" s="56"/>
      <c r="CF123" s="63"/>
      <c r="CI123" s="56"/>
      <c r="CJ123" s="56"/>
      <c r="CK123" s="56"/>
      <c r="CL123" s="56"/>
      <c r="CM123" s="56"/>
    </row>
    <row r="124" spans="18:93" ht="39.950000000000003" customHeight="1">
      <c r="AO124" s="68"/>
      <c r="AP124" s="67"/>
      <c r="AQ124" s="67"/>
      <c r="AR124" s="68"/>
      <c r="AS124" s="68"/>
      <c r="AT124" s="68"/>
      <c r="AU124" s="68"/>
      <c r="AV124" s="68"/>
      <c r="AW124" s="68"/>
      <c r="AX124" s="68"/>
      <c r="AY124" s="69"/>
      <c r="AZ124" s="67"/>
      <c r="BA124" s="68"/>
      <c r="BB124" s="67"/>
      <c r="BC124" s="67"/>
      <c r="BD124" s="68"/>
      <c r="BE124" s="68"/>
      <c r="BF124" s="68"/>
      <c r="BG124" s="68"/>
      <c r="BH124" s="68"/>
      <c r="BI124" s="68"/>
      <c r="BJ124" s="68"/>
      <c r="BK124" s="69"/>
      <c r="BL124" s="67"/>
      <c r="BM124" s="67"/>
    </row>
    <row r="125" spans="18:93" ht="39.950000000000003" customHeight="1">
      <c r="R125" s="63"/>
      <c r="S125" s="64"/>
      <c r="Y125" s="531"/>
      <c r="Z125" s="531"/>
      <c r="AA125" s="531"/>
      <c r="AD125" s="63"/>
      <c r="AE125" s="64"/>
      <c r="AK125" s="531"/>
      <c r="AL125" s="531"/>
      <c r="AM125" s="531"/>
      <c r="AO125" s="68"/>
      <c r="AP125" s="76"/>
      <c r="AQ125" s="77"/>
      <c r="AR125" s="68"/>
      <c r="AS125" s="68"/>
      <c r="AT125" s="68"/>
      <c r="AU125" s="68"/>
      <c r="AV125" s="68"/>
      <c r="AW125" s="533"/>
      <c r="AX125" s="533"/>
      <c r="AY125" s="533"/>
      <c r="AZ125" s="67"/>
      <c r="BA125" s="68"/>
      <c r="BB125" s="76"/>
      <c r="BC125" s="77"/>
      <c r="BD125" s="68"/>
      <c r="BE125" s="68"/>
      <c r="BF125" s="68"/>
      <c r="BG125" s="68"/>
      <c r="BH125" s="68"/>
      <c r="BI125" s="533"/>
      <c r="BJ125" s="533"/>
      <c r="BK125" s="533"/>
      <c r="BL125" s="67"/>
      <c r="BM125" s="67"/>
      <c r="BO125" s="531"/>
      <c r="BP125" s="531"/>
      <c r="BQ125" s="531"/>
      <c r="BT125" s="63"/>
      <c r="BU125" s="64"/>
      <c r="CA125" s="531"/>
      <c r="CB125" s="531"/>
      <c r="CC125" s="531"/>
      <c r="CF125" s="63"/>
      <c r="CG125" s="64"/>
      <c r="CM125" s="531"/>
      <c r="CN125" s="531"/>
      <c r="CO125" s="531"/>
    </row>
    <row r="126" spans="18:93" ht="39.950000000000003" customHeight="1">
      <c r="R126" s="63"/>
      <c r="V126" s="170"/>
      <c r="W126" s="56"/>
      <c r="X126" s="56"/>
      <c r="Y126" s="56"/>
      <c r="AD126" s="63"/>
      <c r="AG126" s="56"/>
      <c r="AH126" s="56"/>
      <c r="AI126" s="56"/>
      <c r="AJ126" s="56"/>
      <c r="AK126" s="56"/>
      <c r="AO126" s="68"/>
      <c r="AP126" s="76"/>
      <c r="AQ126" s="67"/>
      <c r="AR126" s="68"/>
      <c r="AS126" s="69"/>
      <c r="AT126" s="69"/>
      <c r="AU126" s="69"/>
      <c r="AV126" s="69"/>
      <c r="AW126" s="69"/>
      <c r="AX126" s="68"/>
      <c r="AY126" s="69"/>
      <c r="AZ126" s="67"/>
      <c r="BA126" s="69"/>
      <c r="BB126" s="76"/>
      <c r="BC126" s="67"/>
      <c r="BD126" s="68"/>
      <c r="BE126" s="69"/>
      <c r="BF126" s="69"/>
      <c r="BG126" s="69"/>
      <c r="BH126" s="69"/>
      <c r="BI126" s="69"/>
      <c r="BJ126" s="68"/>
      <c r="BK126" s="69"/>
      <c r="BL126" s="67"/>
      <c r="BM126" s="67"/>
      <c r="BN126" s="56"/>
      <c r="BO126" s="56"/>
      <c r="BT126" s="63"/>
      <c r="BW126" s="56"/>
      <c r="BX126" s="56"/>
      <c r="BY126" s="56"/>
      <c r="BZ126" s="56"/>
      <c r="CA126" s="56"/>
      <c r="CF126" s="63"/>
      <c r="CI126" s="56"/>
      <c r="CJ126" s="56"/>
      <c r="CK126" s="56"/>
      <c r="CL126" s="56"/>
      <c r="CM126" s="56"/>
    </row>
    <row r="127" spans="18:93" ht="39.950000000000003" customHeight="1">
      <c r="R127" s="63"/>
      <c r="V127" s="170"/>
      <c r="W127" s="56"/>
      <c r="X127" s="56"/>
      <c r="Y127" s="56"/>
      <c r="AD127" s="63"/>
      <c r="AG127" s="56"/>
      <c r="AH127" s="56"/>
      <c r="AI127" s="56"/>
      <c r="AJ127" s="56"/>
      <c r="AK127" s="56"/>
      <c r="AO127" s="68"/>
      <c r="AP127" s="76"/>
      <c r="AQ127" s="67"/>
      <c r="AR127" s="68"/>
      <c r="AS127" s="69"/>
      <c r="AT127" s="69"/>
      <c r="AU127" s="69"/>
      <c r="AV127" s="69"/>
      <c r="AW127" s="69"/>
      <c r="AX127" s="68"/>
      <c r="AY127" s="69"/>
      <c r="AZ127" s="67"/>
      <c r="BA127" s="69"/>
      <c r="BB127" s="76"/>
      <c r="BC127" s="67"/>
      <c r="BD127" s="68"/>
      <c r="BE127" s="69"/>
      <c r="BF127" s="69"/>
      <c r="BG127" s="69"/>
      <c r="BH127" s="69"/>
      <c r="BI127" s="69"/>
      <c r="BJ127" s="68"/>
      <c r="BK127" s="69"/>
      <c r="BL127" s="67"/>
      <c r="BM127" s="67"/>
      <c r="BN127" s="56"/>
      <c r="BO127" s="56"/>
      <c r="BT127" s="63"/>
      <c r="BW127" s="56"/>
      <c r="BX127" s="56"/>
      <c r="BY127" s="56"/>
      <c r="BZ127" s="56"/>
      <c r="CA127" s="56"/>
      <c r="CF127" s="63"/>
      <c r="CI127" s="56"/>
      <c r="CJ127" s="56"/>
      <c r="CK127" s="56"/>
      <c r="CL127" s="56"/>
      <c r="CM127" s="56"/>
    </row>
    <row r="128" spans="18:93" ht="39.950000000000003" customHeight="1">
      <c r="R128" s="63"/>
      <c r="V128" s="170"/>
      <c r="W128" s="56"/>
      <c r="X128" s="56"/>
      <c r="Y128" s="56"/>
      <c r="AD128" s="63"/>
      <c r="AG128" s="56"/>
      <c r="AH128" s="56"/>
      <c r="AI128" s="56"/>
      <c r="AJ128" s="56"/>
      <c r="AK128" s="56"/>
      <c r="AO128" s="68"/>
      <c r="AP128" s="76"/>
      <c r="AQ128" s="67"/>
      <c r="AR128" s="68"/>
      <c r="AS128" s="69"/>
      <c r="AT128" s="69"/>
      <c r="AU128" s="69"/>
      <c r="AV128" s="69"/>
      <c r="AW128" s="69"/>
      <c r="AX128" s="68"/>
      <c r="AY128" s="69"/>
      <c r="AZ128" s="67"/>
      <c r="BA128" s="69"/>
      <c r="BB128" s="76"/>
      <c r="BC128" s="67"/>
      <c r="BD128" s="68"/>
      <c r="BE128" s="69"/>
      <c r="BF128" s="69"/>
      <c r="BG128" s="69"/>
      <c r="BH128" s="69"/>
      <c r="BI128" s="69"/>
      <c r="BJ128" s="68"/>
      <c r="BK128" s="69"/>
      <c r="BL128" s="67"/>
      <c r="BM128" s="67"/>
      <c r="BN128" s="56"/>
      <c r="BO128" s="56"/>
      <c r="BT128" s="63"/>
      <c r="BW128" s="56"/>
      <c r="BX128" s="56"/>
      <c r="BY128" s="56"/>
      <c r="BZ128" s="56"/>
      <c r="CA128" s="56"/>
      <c r="CF128" s="63"/>
      <c r="CI128" s="56"/>
      <c r="CJ128" s="56"/>
      <c r="CK128" s="56"/>
      <c r="CL128" s="56"/>
      <c r="CM128" s="56"/>
    </row>
    <row r="129" spans="18:93" ht="39.950000000000003" customHeight="1">
      <c r="R129" s="63"/>
      <c r="V129" s="170"/>
      <c r="W129" s="56"/>
      <c r="X129" s="56"/>
      <c r="Y129" s="56"/>
      <c r="AD129" s="63"/>
      <c r="AG129" s="56"/>
      <c r="AH129" s="56"/>
      <c r="AI129" s="56"/>
      <c r="AJ129" s="56"/>
      <c r="AK129" s="56"/>
      <c r="AO129" s="68"/>
      <c r="AP129" s="76"/>
      <c r="AQ129" s="67"/>
      <c r="AR129" s="68"/>
      <c r="AS129" s="69"/>
      <c r="AT129" s="69"/>
      <c r="AU129" s="69"/>
      <c r="AV129" s="69"/>
      <c r="AW129" s="69"/>
      <c r="AX129" s="68"/>
      <c r="AY129" s="69"/>
      <c r="AZ129" s="67"/>
      <c r="BA129" s="69"/>
      <c r="BB129" s="76"/>
      <c r="BC129" s="67"/>
      <c r="BD129" s="68"/>
      <c r="BE129" s="69"/>
      <c r="BF129" s="69"/>
      <c r="BG129" s="69"/>
      <c r="BH129" s="69"/>
      <c r="BI129" s="69"/>
      <c r="BJ129" s="68"/>
      <c r="BK129" s="69"/>
      <c r="BL129" s="67"/>
      <c r="BM129" s="67"/>
      <c r="BN129" s="56"/>
      <c r="BO129" s="56"/>
      <c r="BT129" s="63"/>
      <c r="BW129" s="56"/>
      <c r="BX129" s="56"/>
      <c r="BY129" s="56"/>
      <c r="BZ129" s="56"/>
      <c r="CA129" s="56"/>
      <c r="CF129" s="63"/>
      <c r="CI129" s="56"/>
      <c r="CJ129" s="56"/>
      <c r="CK129" s="56"/>
      <c r="CL129" s="56"/>
      <c r="CM129" s="56"/>
    </row>
    <row r="130" spans="18:93" ht="39.950000000000003" customHeight="1">
      <c r="AO130" s="68"/>
      <c r="AP130" s="67"/>
      <c r="AQ130" s="67"/>
      <c r="AR130" s="68"/>
      <c r="AS130" s="68"/>
      <c r="AT130" s="68"/>
      <c r="AU130" s="68"/>
      <c r="AV130" s="68"/>
      <c r="AW130" s="68"/>
      <c r="AX130" s="68"/>
      <c r="AY130" s="69"/>
      <c r="AZ130" s="67"/>
      <c r="BA130" s="68"/>
      <c r="BB130" s="67"/>
      <c r="BC130" s="67"/>
      <c r="BD130" s="68"/>
      <c r="BE130" s="68"/>
      <c r="BF130" s="68"/>
      <c r="BG130" s="68"/>
      <c r="BH130" s="68"/>
      <c r="BI130" s="68"/>
      <c r="BJ130" s="68"/>
      <c r="BK130" s="69"/>
      <c r="BL130" s="67"/>
      <c r="BM130" s="67"/>
    </row>
    <row r="131" spans="18:93" ht="39.950000000000003" customHeight="1">
      <c r="R131" s="63"/>
      <c r="S131" s="64"/>
      <c r="Y131" s="531"/>
      <c r="Z131" s="531"/>
      <c r="AA131" s="531"/>
      <c r="AD131" s="63"/>
      <c r="AE131" s="64"/>
      <c r="AK131" s="531"/>
      <c r="AL131" s="531"/>
      <c r="AM131" s="531"/>
      <c r="AO131" s="68"/>
      <c r="AP131" s="76"/>
      <c r="AQ131" s="77"/>
      <c r="AR131" s="68"/>
      <c r="AS131" s="68"/>
      <c r="AT131" s="68"/>
      <c r="AU131" s="68"/>
      <c r="AV131" s="68"/>
      <c r="AW131" s="533"/>
      <c r="AX131" s="533"/>
      <c r="AY131" s="533"/>
      <c r="AZ131" s="67"/>
      <c r="BA131" s="68"/>
      <c r="BB131" s="76"/>
      <c r="BC131" s="77"/>
      <c r="BD131" s="68"/>
      <c r="BE131" s="68"/>
      <c r="BF131" s="68"/>
      <c r="BG131" s="68"/>
      <c r="BH131" s="68"/>
      <c r="BI131" s="533"/>
      <c r="BJ131" s="533"/>
      <c r="BK131" s="533"/>
      <c r="BL131" s="67"/>
      <c r="BM131" s="67"/>
      <c r="BO131" s="531"/>
      <c r="BP131" s="531"/>
      <c r="BQ131" s="531"/>
      <c r="BT131" s="63"/>
      <c r="BU131" s="64"/>
      <c r="CA131" s="531"/>
      <c r="CB131" s="531"/>
      <c r="CC131" s="531"/>
      <c r="CF131" s="63"/>
      <c r="CG131" s="64"/>
      <c r="CM131" s="531"/>
      <c r="CN131" s="531"/>
      <c r="CO131" s="531"/>
    </row>
    <row r="132" spans="18:93" ht="39.950000000000003" customHeight="1">
      <c r="R132" s="63"/>
      <c r="V132" s="170"/>
      <c r="W132" s="56"/>
      <c r="X132" s="56"/>
      <c r="Y132" s="56"/>
      <c r="AD132" s="63"/>
      <c r="AG132" s="56"/>
      <c r="AH132" s="56"/>
      <c r="AI132" s="56"/>
      <c r="AJ132" s="56"/>
      <c r="AK132" s="56"/>
      <c r="AO132" s="68"/>
      <c r="AP132" s="76"/>
      <c r="AQ132" s="67"/>
      <c r="AR132" s="68"/>
      <c r="AS132" s="69"/>
      <c r="AT132" s="69"/>
      <c r="AU132" s="69"/>
      <c r="AV132" s="69"/>
      <c r="AW132" s="69"/>
      <c r="AX132" s="68"/>
      <c r="AY132" s="69"/>
      <c r="AZ132" s="67"/>
      <c r="BA132" s="69"/>
      <c r="BB132" s="76"/>
      <c r="BC132" s="67"/>
      <c r="BD132" s="68"/>
      <c r="BE132" s="69"/>
      <c r="BF132" s="69"/>
      <c r="BG132" s="69"/>
      <c r="BH132" s="69"/>
      <c r="BI132" s="69"/>
      <c r="BJ132" s="68"/>
      <c r="BK132" s="69"/>
      <c r="BL132" s="67"/>
      <c r="BM132" s="67"/>
      <c r="BN132" s="56"/>
      <c r="BO132" s="56"/>
      <c r="BT132" s="63"/>
      <c r="BW132" s="56"/>
      <c r="BX132" s="56"/>
      <c r="BY132" s="56"/>
      <c r="BZ132" s="56"/>
      <c r="CA132" s="56"/>
      <c r="CF132" s="63"/>
      <c r="CI132" s="56"/>
      <c r="CJ132" s="56"/>
      <c r="CK132" s="56"/>
      <c r="CL132" s="56"/>
      <c r="CM132" s="56"/>
    </row>
    <row r="133" spans="18:93" ht="39.950000000000003" customHeight="1">
      <c r="R133" s="63"/>
      <c r="V133" s="170"/>
      <c r="W133" s="56"/>
      <c r="X133" s="56"/>
      <c r="Y133" s="56"/>
      <c r="AD133" s="63"/>
      <c r="AG133" s="56"/>
      <c r="AH133" s="56"/>
      <c r="AI133" s="56"/>
      <c r="AJ133" s="56"/>
      <c r="AK133" s="56"/>
      <c r="AO133" s="68"/>
      <c r="AP133" s="76"/>
      <c r="AQ133" s="67"/>
      <c r="AR133" s="68"/>
      <c r="AS133" s="69"/>
      <c r="AT133" s="69"/>
      <c r="AU133" s="69"/>
      <c r="AV133" s="69"/>
      <c r="AW133" s="69"/>
      <c r="AX133" s="68"/>
      <c r="AY133" s="69"/>
      <c r="AZ133" s="67"/>
      <c r="BA133" s="69"/>
      <c r="BB133" s="76"/>
      <c r="BC133" s="67"/>
      <c r="BD133" s="68"/>
      <c r="BE133" s="69"/>
      <c r="BF133" s="69"/>
      <c r="BG133" s="69"/>
      <c r="BH133" s="69"/>
      <c r="BI133" s="69"/>
      <c r="BJ133" s="68"/>
      <c r="BK133" s="69"/>
      <c r="BL133" s="67"/>
      <c r="BM133" s="67"/>
      <c r="BN133" s="56"/>
      <c r="BO133" s="56"/>
      <c r="BT133" s="63"/>
      <c r="BW133" s="56"/>
      <c r="BX133" s="56"/>
      <c r="BY133" s="56"/>
      <c r="BZ133" s="56"/>
      <c r="CA133" s="56"/>
      <c r="CF133" s="63"/>
      <c r="CI133" s="56"/>
      <c r="CJ133" s="56"/>
      <c r="CK133" s="56"/>
      <c r="CL133" s="56"/>
      <c r="CM133" s="56"/>
    </row>
    <row r="134" spans="18:93" ht="39.950000000000003" customHeight="1">
      <c r="R134" s="63"/>
      <c r="V134" s="170"/>
      <c r="W134" s="56"/>
      <c r="X134" s="56"/>
      <c r="Y134" s="56"/>
      <c r="AD134" s="63"/>
      <c r="AG134" s="56"/>
      <c r="AH134" s="56"/>
      <c r="AI134" s="56"/>
      <c r="AJ134" s="56"/>
      <c r="AK134" s="56"/>
      <c r="AO134" s="68"/>
      <c r="AP134" s="76"/>
      <c r="AQ134" s="67"/>
      <c r="AR134" s="68"/>
      <c r="AS134" s="69"/>
      <c r="AT134" s="69"/>
      <c r="AU134" s="69"/>
      <c r="AV134" s="69"/>
      <c r="AW134" s="69"/>
      <c r="AX134" s="68"/>
      <c r="AY134" s="69"/>
      <c r="AZ134" s="67"/>
      <c r="BA134" s="69"/>
      <c r="BB134" s="76"/>
      <c r="BC134" s="67"/>
      <c r="BD134" s="68"/>
      <c r="BE134" s="69"/>
      <c r="BF134" s="69"/>
      <c r="BG134" s="69"/>
      <c r="BH134" s="69"/>
      <c r="BI134" s="69"/>
      <c r="BJ134" s="68"/>
      <c r="BK134" s="69"/>
      <c r="BL134" s="67"/>
      <c r="BM134" s="67"/>
      <c r="BN134" s="56"/>
      <c r="BO134" s="56"/>
      <c r="BT134" s="63"/>
      <c r="BW134" s="56"/>
      <c r="BX134" s="56"/>
      <c r="BY134" s="56"/>
      <c r="BZ134" s="56"/>
      <c r="CA134" s="56"/>
      <c r="CF134" s="63"/>
      <c r="CI134" s="56"/>
      <c r="CJ134" s="56"/>
      <c r="CK134" s="56"/>
      <c r="CL134" s="56"/>
      <c r="CM134" s="56"/>
    </row>
    <row r="135" spans="18:93" ht="39.950000000000003" customHeight="1">
      <c r="R135" s="63"/>
      <c r="V135" s="170"/>
      <c r="W135" s="56"/>
      <c r="X135" s="56"/>
      <c r="Y135" s="56"/>
      <c r="AD135" s="63"/>
      <c r="AG135" s="56"/>
      <c r="AH135" s="56"/>
      <c r="AI135" s="56"/>
      <c r="AJ135" s="56"/>
      <c r="AK135" s="56"/>
      <c r="AO135" s="68"/>
      <c r="AP135" s="76"/>
      <c r="AQ135" s="67"/>
      <c r="AR135" s="68"/>
      <c r="AS135" s="69"/>
      <c r="AT135" s="69"/>
      <c r="AU135" s="69"/>
      <c r="AV135" s="69"/>
      <c r="AW135" s="69"/>
      <c r="AX135" s="68"/>
      <c r="AY135" s="69"/>
      <c r="AZ135" s="67"/>
      <c r="BA135" s="69"/>
      <c r="BB135" s="76"/>
      <c r="BC135" s="67"/>
      <c r="BD135" s="68"/>
      <c r="BE135" s="69"/>
      <c r="BF135" s="69"/>
      <c r="BG135" s="69"/>
      <c r="BH135" s="69"/>
      <c r="BI135" s="69"/>
      <c r="BJ135" s="68"/>
      <c r="BK135" s="69"/>
      <c r="BL135" s="67"/>
      <c r="BM135" s="67"/>
      <c r="BN135" s="56"/>
      <c r="BO135" s="56"/>
      <c r="BT135" s="63"/>
      <c r="BW135" s="56"/>
      <c r="BX135" s="56"/>
      <c r="BY135" s="56"/>
      <c r="BZ135" s="56"/>
      <c r="CA135" s="56"/>
      <c r="CF135" s="63"/>
      <c r="CI135" s="56"/>
      <c r="CJ135" s="56"/>
      <c r="CK135" s="56"/>
      <c r="CL135" s="56"/>
      <c r="CM135" s="56"/>
    </row>
    <row r="136" spans="18:93" ht="39.950000000000003" customHeight="1">
      <c r="AO136" s="68"/>
      <c r="AP136" s="67"/>
      <c r="AQ136" s="67"/>
      <c r="AR136" s="68"/>
      <c r="AS136" s="68"/>
      <c r="AT136" s="68"/>
      <c r="AU136" s="68"/>
      <c r="AV136" s="68"/>
      <c r="AW136" s="68"/>
      <c r="AX136" s="68"/>
      <c r="AY136" s="69"/>
      <c r="AZ136" s="67"/>
      <c r="BA136" s="68"/>
      <c r="BB136" s="67"/>
      <c r="BC136" s="67"/>
      <c r="BD136" s="68"/>
      <c r="BE136" s="68"/>
      <c r="BF136" s="68"/>
      <c r="BG136" s="68"/>
      <c r="BH136" s="68"/>
      <c r="BI136" s="68"/>
      <c r="BJ136" s="68"/>
      <c r="BK136" s="69"/>
      <c r="BL136" s="67"/>
      <c r="BM136" s="67"/>
    </row>
    <row r="137" spans="18:93" ht="39.950000000000003" customHeight="1">
      <c r="R137" s="63"/>
      <c r="S137" s="64"/>
      <c r="Y137" s="531"/>
      <c r="Z137" s="531"/>
      <c r="AA137" s="531"/>
      <c r="AD137" s="63"/>
      <c r="AE137" s="64"/>
      <c r="AK137" s="531"/>
      <c r="AL137" s="531"/>
      <c r="AM137" s="531"/>
      <c r="AO137" s="68"/>
      <c r="AP137" s="76"/>
      <c r="AQ137" s="77"/>
      <c r="AR137" s="68"/>
      <c r="AS137" s="68"/>
      <c r="AT137" s="68"/>
      <c r="AU137" s="68"/>
      <c r="AV137" s="68"/>
      <c r="AW137" s="533"/>
      <c r="AX137" s="533"/>
      <c r="AY137" s="533"/>
      <c r="AZ137" s="67"/>
      <c r="BA137" s="68"/>
      <c r="BB137" s="76"/>
      <c r="BC137" s="77"/>
      <c r="BD137" s="68"/>
      <c r="BE137" s="68"/>
      <c r="BF137" s="68"/>
      <c r="BG137" s="68"/>
      <c r="BH137" s="68"/>
      <c r="BI137" s="533"/>
      <c r="BJ137" s="533"/>
      <c r="BK137" s="533"/>
      <c r="BL137" s="67"/>
      <c r="BM137" s="67"/>
      <c r="BO137" s="531"/>
      <c r="BP137" s="531"/>
      <c r="BQ137" s="531"/>
      <c r="BT137" s="63"/>
      <c r="BU137" s="64"/>
      <c r="CA137" s="531"/>
      <c r="CB137" s="531"/>
      <c r="CC137" s="531"/>
      <c r="CF137" s="63"/>
      <c r="CG137" s="64"/>
      <c r="CM137" s="531"/>
      <c r="CN137" s="531"/>
      <c r="CO137" s="531"/>
    </row>
    <row r="138" spans="18:93" ht="39.950000000000003" customHeight="1">
      <c r="R138" s="63"/>
      <c r="V138" s="170"/>
      <c r="W138" s="56"/>
      <c r="X138" s="56"/>
      <c r="Y138" s="56"/>
      <c r="AD138" s="63"/>
      <c r="AG138" s="56"/>
      <c r="AH138" s="56"/>
      <c r="AI138" s="56"/>
      <c r="AJ138" s="56"/>
      <c r="AK138" s="56"/>
      <c r="AO138" s="68"/>
      <c r="AP138" s="76"/>
      <c r="AQ138" s="67"/>
      <c r="AR138" s="68"/>
      <c r="AS138" s="69"/>
      <c r="AT138" s="69"/>
      <c r="AU138" s="69"/>
      <c r="AV138" s="69"/>
      <c r="AW138" s="69"/>
      <c r="AX138" s="68"/>
      <c r="AY138" s="69"/>
      <c r="AZ138" s="67"/>
      <c r="BA138" s="69"/>
      <c r="BB138" s="76"/>
      <c r="BC138" s="67"/>
      <c r="BD138" s="68"/>
      <c r="BE138" s="69"/>
      <c r="BF138" s="69"/>
      <c r="BG138" s="69"/>
      <c r="BH138" s="69"/>
      <c r="BI138" s="69"/>
      <c r="BJ138" s="68"/>
      <c r="BK138" s="69"/>
      <c r="BL138" s="67"/>
      <c r="BM138" s="67"/>
      <c r="BN138" s="56"/>
      <c r="BO138" s="56"/>
      <c r="BT138" s="63"/>
      <c r="BW138" s="56"/>
      <c r="BX138" s="56"/>
      <c r="BY138" s="56"/>
      <c r="BZ138" s="56"/>
      <c r="CA138" s="56"/>
      <c r="CF138" s="63"/>
      <c r="CI138" s="56"/>
      <c r="CJ138" s="56"/>
      <c r="CK138" s="56"/>
      <c r="CL138" s="56"/>
      <c r="CM138" s="56"/>
    </row>
    <row r="139" spans="18:93" ht="39.950000000000003" customHeight="1">
      <c r="R139" s="63"/>
      <c r="V139" s="170"/>
      <c r="W139" s="56"/>
      <c r="X139" s="56"/>
      <c r="Y139" s="56"/>
      <c r="AD139" s="63"/>
      <c r="AG139" s="56"/>
      <c r="AH139" s="56"/>
      <c r="AI139" s="56"/>
      <c r="AJ139" s="56"/>
      <c r="AK139" s="56"/>
      <c r="AO139" s="68"/>
      <c r="AP139" s="76"/>
      <c r="AQ139" s="67"/>
      <c r="AR139" s="68"/>
      <c r="AS139" s="69"/>
      <c r="AT139" s="69"/>
      <c r="AU139" s="69"/>
      <c r="AV139" s="69"/>
      <c r="AW139" s="69"/>
      <c r="AX139" s="68"/>
      <c r="AY139" s="69"/>
      <c r="AZ139" s="67"/>
      <c r="BA139" s="69"/>
      <c r="BB139" s="76"/>
      <c r="BC139" s="67"/>
      <c r="BD139" s="68"/>
      <c r="BE139" s="69"/>
      <c r="BF139" s="69"/>
      <c r="BG139" s="69"/>
      <c r="BH139" s="69"/>
      <c r="BI139" s="69"/>
      <c r="BJ139" s="68"/>
      <c r="BK139" s="69"/>
      <c r="BL139" s="67"/>
      <c r="BM139" s="67"/>
      <c r="BN139" s="56"/>
      <c r="BO139" s="56"/>
      <c r="BT139" s="63"/>
      <c r="BW139" s="56"/>
      <c r="BX139" s="56"/>
      <c r="BY139" s="56"/>
      <c r="BZ139" s="56"/>
      <c r="CA139" s="56"/>
      <c r="CF139" s="63"/>
      <c r="CI139" s="56"/>
      <c r="CJ139" s="56"/>
      <c r="CK139" s="56"/>
      <c r="CL139" s="56"/>
      <c r="CM139" s="56"/>
    </row>
    <row r="140" spans="18:93" ht="39.950000000000003" customHeight="1">
      <c r="R140" s="63"/>
      <c r="V140" s="170"/>
      <c r="W140" s="56"/>
      <c r="X140" s="56"/>
      <c r="Y140" s="56"/>
      <c r="AD140" s="63"/>
      <c r="AG140" s="56"/>
      <c r="AH140" s="56"/>
      <c r="AI140" s="56"/>
      <c r="AJ140" s="56"/>
      <c r="AK140" s="56"/>
      <c r="AO140" s="68"/>
      <c r="AP140" s="76"/>
      <c r="AQ140" s="67"/>
      <c r="AR140" s="68"/>
      <c r="AS140" s="69"/>
      <c r="AT140" s="69"/>
      <c r="AU140" s="69"/>
      <c r="AV140" s="69"/>
      <c r="AW140" s="69"/>
      <c r="AX140" s="68"/>
      <c r="AY140" s="69"/>
      <c r="AZ140" s="67"/>
      <c r="BA140" s="69"/>
      <c r="BB140" s="76"/>
      <c r="BC140" s="67"/>
      <c r="BD140" s="68"/>
      <c r="BE140" s="69"/>
      <c r="BF140" s="69"/>
      <c r="BG140" s="69"/>
      <c r="BH140" s="69"/>
      <c r="BI140" s="69"/>
      <c r="BJ140" s="68"/>
      <c r="BK140" s="69"/>
      <c r="BL140" s="67"/>
      <c r="BM140" s="67"/>
      <c r="BN140" s="56"/>
      <c r="BO140" s="56"/>
      <c r="BT140" s="63"/>
      <c r="BW140" s="56"/>
      <c r="BX140" s="56"/>
      <c r="BY140" s="56"/>
      <c r="BZ140" s="56"/>
      <c r="CA140" s="56"/>
      <c r="CF140" s="63"/>
      <c r="CI140" s="56"/>
      <c r="CJ140" s="56"/>
      <c r="CK140" s="56"/>
      <c r="CL140" s="56"/>
      <c r="CM140" s="56"/>
    </row>
    <row r="141" spans="18:93" ht="39.950000000000003" customHeight="1">
      <c r="R141" s="63"/>
      <c r="V141" s="170"/>
      <c r="W141" s="56"/>
      <c r="X141" s="56"/>
      <c r="Y141" s="56"/>
      <c r="AD141" s="63"/>
      <c r="AG141" s="56"/>
      <c r="AH141" s="56"/>
      <c r="AI141" s="56"/>
      <c r="AJ141" s="56"/>
      <c r="AK141" s="56"/>
      <c r="AO141" s="68"/>
      <c r="AP141" s="76"/>
      <c r="AQ141" s="67"/>
      <c r="AR141" s="68"/>
      <c r="AS141" s="69"/>
      <c r="AT141" s="69"/>
      <c r="AU141" s="69"/>
      <c r="AV141" s="69"/>
      <c r="AW141" s="69"/>
      <c r="AX141" s="68"/>
      <c r="AY141" s="69"/>
      <c r="AZ141" s="67"/>
      <c r="BA141" s="69"/>
      <c r="BB141" s="76"/>
      <c r="BC141" s="67"/>
      <c r="BD141" s="68"/>
      <c r="BE141" s="69"/>
      <c r="BF141" s="69"/>
      <c r="BG141" s="69"/>
      <c r="BH141" s="69"/>
      <c r="BI141" s="69"/>
      <c r="BJ141" s="68"/>
      <c r="BK141" s="69"/>
      <c r="BL141" s="67"/>
      <c r="BM141" s="67"/>
      <c r="BN141" s="56"/>
      <c r="BO141" s="56"/>
      <c r="BT141" s="63"/>
      <c r="BW141" s="56"/>
      <c r="BX141" s="56"/>
      <c r="BY141" s="56"/>
      <c r="BZ141" s="56"/>
      <c r="CA141" s="56"/>
      <c r="CF141" s="63"/>
      <c r="CI141" s="56"/>
      <c r="CJ141" s="56"/>
      <c r="CK141" s="56"/>
      <c r="CL141" s="56"/>
      <c r="CM141" s="56"/>
    </row>
    <row r="142" spans="18:93" ht="39.950000000000003" customHeight="1">
      <c r="AO142" s="68"/>
      <c r="AP142" s="67"/>
      <c r="AQ142" s="67"/>
      <c r="AR142" s="68"/>
      <c r="AS142" s="68"/>
      <c r="AT142" s="68"/>
      <c r="AU142" s="68"/>
      <c r="AV142" s="68"/>
      <c r="AW142" s="68"/>
      <c r="AX142" s="68"/>
      <c r="AY142" s="69"/>
      <c r="AZ142" s="67"/>
      <c r="BA142" s="68"/>
      <c r="BB142" s="67"/>
      <c r="BC142" s="67"/>
      <c r="BD142" s="68"/>
      <c r="BE142" s="68"/>
      <c r="BF142" s="68"/>
      <c r="BG142" s="68"/>
      <c r="BH142" s="68"/>
      <c r="BI142" s="68"/>
      <c r="BJ142" s="68"/>
      <c r="BK142" s="69"/>
      <c r="BL142" s="67"/>
      <c r="BM142" s="67"/>
    </row>
    <row r="143" spans="18:93" ht="39.950000000000003" customHeight="1">
      <c r="R143" s="63"/>
      <c r="S143" s="64"/>
      <c r="Y143" s="531"/>
      <c r="Z143" s="531"/>
      <c r="AA143" s="531"/>
      <c r="AD143" s="63"/>
      <c r="AE143" s="64"/>
      <c r="AK143" s="531"/>
      <c r="AL143" s="531"/>
      <c r="AM143" s="531"/>
      <c r="AO143" s="68"/>
      <c r="AP143" s="76"/>
      <c r="AQ143" s="77"/>
      <c r="AR143" s="68"/>
      <c r="AS143" s="68"/>
      <c r="AT143" s="68"/>
      <c r="AU143" s="68"/>
      <c r="AV143" s="68"/>
      <c r="AW143" s="533"/>
      <c r="AX143" s="533"/>
      <c r="AY143" s="533"/>
      <c r="AZ143" s="67"/>
      <c r="BA143" s="68"/>
      <c r="BB143" s="76"/>
      <c r="BC143" s="77"/>
      <c r="BD143" s="68"/>
      <c r="BE143" s="68"/>
      <c r="BF143" s="68"/>
      <c r="BG143" s="68"/>
      <c r="BH143" s="68"/>
      <c r="BI143" s="533"/>
      <c r="BJ143" s="533"/>
      <c r="BK143" s="533"/>
      <c r="BL143" s="67"/>
      <c r="BM143" s="67"/>
      <c r="BO143" s="531"/>
      <c r="BP143" s="531"/>
      <c r="BQ143" s="531"/>
      <c r="BT143" s="63"/>
      <c r="BU143" s="64"/>
      <c r="CA143" s="531"/>
      <c r="CB143" s="531"/>
      <c r="CC143" s="531"/>
      <c r="CF143" s="63"/>
      <c r="CG143" s="64"/>
      <c r="CM143" s="531"/>
      <c r="CN143" s="531"/>
      <c r="CO143" s="531"/>
    </row>
    <row r="144" spans="18:93" ht="39.950000000000003" customHeight="1">
      <c r="R144" s="63"/>
      <c r="V144" s="170"/>
      <c r="W144" s="56"/>
      <c r="X144" s="56"/>
      <c r="Y144" s="56"/>
      <c r="AD144" s="63"/>
      <c r="AG144" s="56"/>
      <c r="AH144" s="56"/>
      <c r="AI144" s="56"/>
      <c r="AJ144" s="56"/>
      <c r="AK144" s="56"/>
      <c r="AO144" s="68"/>
      <c r="AP144" s="76"/>
      <c r="AQ144" s="67"/>
      <c r="AR144" s="68"/>
      <c r="AS144" s="69"/>
      <c r="AT144" s="69"/>
      <c r="AU144" s="69"/>
      <c r="AV144" s="69"/>
      <c r="AW144" s="69"/>
      <c r="AX144" s="68"/>
      <c r="AY144" s="69"/>
      <c r="AZ144" s="67"/>
      <c r="BA144" s="69"/>
      <c r="BB144" s="76"/>
      <c r="BC144" s="67"/>
      <c r="BD144" s="68"/>
      <c r="BE144" s="69"/>
      <c r="BF144" s="69"/>
      <c r="BG144" s="69"/>
      <c r="BH144" s="69"/>
      <c r="BI144" s="69"/>
      <c r="BJ144" s="68"/>
      <c r="BK144" s="69"/>
      <c r="BL144" s="67"/>
      <c r="BM144" s="67"/>
      <c r="BN144" s="56"/>
      <c r="BO144" s="56"/>
      <c r="BT144" s="63"/>
      <c r="BW144" s="56"/>
      <c r="BX144" s="56"/>
      <c r="BY144" s="56"/>
      <c r="BZ144" s="56"/>
      <c r="CA144" s="56"/>
      <c r="CF144" s="63"/>
      <c r="CI144" s="56"/>
      <c r="CJ144" s="56"/>
      <c r="CK144" s="56"/>
      <c r="CL144" s="56"/>
      <c r="CM144" s="56"/>
    </row>
    <row r="145" spans="18:93" ht="39.950000000000003" customHeight="1">
      <c r="R145" s="63"/>
      <c r="V145" s="170"/>
      <c r="W145" s="56"/>
      <c r="X145" s="56"/>
      <c r="Y145" s="56"/>
      <c r="AD145" s="63"/>
      <c r="AG145" s="56"/>
      <c r="AH145" s="56"/>
      <c r="AI145" s="56"/>
      <c r="AJ145" s="56"/>
      <c r="AK145" s="56"/>
      <c r="AO145" s="68"/>
      <c r="AP145" s="76"/>
      <c r="AQ145" s="67"/>
      <c r="AR145" s="68"/>
      <c r="AS145" s="69"/>
      <c r="AT145" s="69"/>
      <c r="AU145" s="69"/>
      <c r="AV145" s="69"/>
      <c r="AW145" s="69"/>
      <c r="AX145" s="68"/>
      <c r="AY145" s="69"/>
      <c r="AZ145" s="67"/>
      <c r="BA145" s="69"/>
      <c r="BB145" s="76"/>
      <c r="BC145" s="67"/>
      <c r="BD145" s="68"/>
      <c r="BE145" s="69"/>
      <c r="BF145" s="69"/>
      <c r="BG145" s="69"/>
      <c r="BH145" s="69"/>
      <c r="BI145" s="69"/>
      <c r="BJ145" s="68"/>
      <c r="BK145" s="69"/>
      <c r="BL145" s="67"/>
      <c r="BM145" s="67"/>
      <c r="BN145" s="56"/>
      <c r="BO145" s="56"/>
      <c r="BT145" s="63"/>
      <c r="BW145" s="56"/>
      <c r="BX145" s="56"/>
      <c r="BY145" s="56"/>
      <c r="BZ145" s="56"/>
      <c r="CA145" s="56"/>
      <c r="CF145" s="63"/>
      <c r="CI145" s="56"/>
      <c r="CJ145" s="56"/>
      <c r="CK145" s="56"/>
      <c r="CL145" s="56"/>
      <c r="CM145" s="56"/>
    </row>
    <row r="146" spans="18:93" ht="39.950000000000003" customHeight="1">
      <c r="R146" s="63"/>
      <c r="V146" s="170"/>
      <c r="W146" s="56"/>
      <c r="X146" s="56"/>
      <c r="Y146" s="56"/>
      <c r="AD146" s="63"/>
      <c r="AG146" s="56"/>
      <c r="AH146" s="56"/>
      <c r="AI146" s="56"/>
      <c r="AJ146" s="56"/>
      <c r="AK146" s="56"/>
      <c r="AO146" s="68"/>
      <c r="AP146" s="76"/>
      <c r="AQ146" s="67"/>
      <c r="AR146" s="68"/>
      <c r="AS146" s="69"/>
      <c r="AT146" s="69"/>
      <c r="AU146" s="69"/>
      <c r="AV146" s="69"/>
      <c r="AW146" s="69"/>
      <c r="AX146" s="68"/>
      <c r="AY146" s="69"/>
      <c r="AZ146" s="67"/>
      <c r="BA146" s="69"/>
      <c r="BB146" s="76"/>
      <c r="BC146" s="67"/>
      <c r="BD146" s="68"/>
      <c r="BE146" s="69"/>
      <c r="BF146" s="69"/>
      <c r="BG146" s="69"/>
      <c r="BH146" s="69"/>
      <c r="BI146" s="69"/>
      <c r="BJ146" s="68"/>
      <c r="BK146" s="69"/>
      <c r="BL146" s="67"/>
      <c r="BM146" s="67"/>
      <c r="BN146" s="56"/>
      <c r="BO146" s="56"/>
      <c r="BT146" s="63"/>
      <c r="BW146" s="56"/>
      <c r="BX146" s="56"/>
      <c r="BY146" s="56"/>
      <c r="BZ146" s="56"/>
      <c r="CA146" s="56"/>
      <c r="CF146" s="63"/>
      <c r="CI146" s="56"/>
      <c r="CJ146" s="56"/>
      <c r="CK146" s="56"/>
      <c r="CL146" s="56"/>
      <c r="CM146" s="56"/>
    </row>
    <row r="147" spans="18:93" ht="39.950000000000003" customHeight="1">
      <c r="R147" s="63"/>
      <c r="V147" s="170"/>
      <c r="W147" s="56"/>
      <c r="X147" s="56"/>
      <c r="Y147" s="56"/>
      <c r="AD147" s="63"/>
      <c r="AG147" s="56"/>
      <c r="AH147" s="56"/>
      <c r="AI147" s="56"/>
      <c r="AJ147" s="56"/>
      <c r="AK147" s="56"/>
      <c r="AO147" s="68"/>
      <c r="AP147" s="76"/>
      <c r="AQ147" s="67"/>
      <c r="AR147" s="68"/>
      <c r="AS147" s="69"/>
      <c r="AT147" s="69"/>
      <c r="AU147" s="69"/>
      <c r="AV147" s="69"/>
      <c r="AW147" s="69"/>
      <c r="AX147" s="68"/>
      <c r="AY147" s="69"/>
      <c r="AZ147" s="67"/>
      <c r="BA147" s="69"/>
      <c r="BB147" s="76"/>
      <c r="BC147" s="67"/>
      <c r="BD147" s="68"/>
      <c r="BE147" s="69"/>
      <c r="BF147" s="69"/>
      <c r="BG147" s="69"/>
      <c r="BH147" s="69"/>
      <c r="BI147" s="69"/>
      <c r="BJ147" s="68"/>
      <c r="BK147" s="69"/>
      <c r="BL147" s="67"/>
      <c r="BM147" s="67"/>
      <c r="BN147" s="56"/>
      <c r="BO147" s="56"/>
      <c r="BT147" s="63"/>
      <c r="BW147" s="56"/>
      <c r="BX147" s="56"/>
      <c r="BY147" s="56"/>
      <c r="BZ147" s="56"/>
      <c r="CA147" s="56"/>
      <c r="CF147" s="63"/>
      <c r="CI147" s="56"/>
      <c r="CJ147" s="56"/>
      <c r="CK147" s="56"/>
      <c r="CL147" s="56"/>
      <c r="CM147" s="56"/>
    </row>
    <row r="148" spans="18:93" ht="39.950000000000003" customHeight="1">
      <c r="AO148" s="68"/>
      <c r="AP148" s="67"/>
      <c r="AQ148" s="67"/>
      <c r="AR148" s="68"/>
      <c r="AS148" s="68"/>
      <c r="AT148" s="68"/>
      <c r="AU148" s="68"/>
      <c r="AV148" s="68"/>
      <c r="AW148" s="68"/>
      <c r="AX148" s="68"/>
      <c r="AY148" s="69"/>
      <c r="AZ148" s="67"/>
      <c r="BA148" s="68"/>
      <c r="BB148" s="67"/>
      <c r="BC148" s="67"/>
      <c r="BD148" s="68"/>
      <c r="BE148" s="68"/>
      <c r="BF148" s="68"/>
      <c r="BG148" s="68"/>
      <c r="BH148" s="68"/>
      <c r="BI148" s="68"/>
      <c r="BJ148" s="68"/>
      <c r="BK148" s="69"/>
      <c r="BL148" s="67"/>
      <c r="BM148" s="67"/>
    </row>
    <row r="149" spans="18:93" ht="39.950000000000003" customHeight="1">
      <c r="R149" s="63"/>
      <c r="S149" s="64"/>
      <c r="Y149" s="531"/>
      <c r="Z149" s="531"/>
      <c r="AA149" s="531"/>
      <c r="AD149" s="63"/>
      <c r="AE149" s="64"/>
      <c r="AK149" s="531"/>
      <c r="AL149" s="531"/>
      <c r="AM149" s="531"/>
      <c r="AO149" s="68"/>
      <c r="AP149" s="76"/>
      <c r="AQ149" s="77"/>
      <c r="AR149" s="68"/>
      <c r="AS149" s="68"/>
      <c r="AT149" s="68"/>
      <c r="AU149" s="68"/>
      <c r="AV149" s="68"/>
      <c r="AW149" s="533"/>
      <c r="AX149" s="533"/>
      <c r="AY149" s="533"/>
      <c r="AZ149" s="67"/>
      <c r="BA149" s="68"/>
      <c r="BB149" s="76"/>
      <c r="BC149" s="77"/>
      <c r="BD149" s="68"/>
      <c r="BE149" s="68"/>
      <c r="BF149" s="68"/>
      <c r="BG149" s="68"/>
      <c r="BH149" s="68"/>
      <c r="BI149" s="533"/>
      <c r="BJ149" s="533"/>
      <c r="BK149" s="533"/>
      <c r="BL149" s="67"/>
      <c r="BM149" s="67"/>
      <c r="BO149" s="531"/>
      <c r="BP149" s="531"/>
      <c r="BQ149" s="531"/>
      <c r="BT149" s="63"/>
      <c r="BU149" s="64"/>
      <c r="CA149" s="531"/>
      <c r="CB149" s="531"/>
      <c r="CC149" s="531"/>
      <c r="CF149" s="63"/>
      <c r="CG149" s="64"/>
      <c r="CM149" s="531"/>
      <c r="CN149" s="531"/>
      <c r="CO149" s="531"/>
    </row>
    <row r="150" spans="18:93" ht="39.950000000000003" customHeight="1">
      <c r="R150" s="63"/>
      <c r="V150" s="170"/>
      <c r="W150" s="56"/>
      <c r="X150" s="56"/>
      <c r="Y150" s="56"/>
      <c r="AD150" s="63"/>
      <c r="AG150" s="56"/>
      <c r="AH150" s="56"/>
      <c r="AI150" s="56"/>
      <c r="AJ150" s="56"/>
      <c r="AK150" s="56"/>
      <c r="AO150" s="68"/>
      <c r="AP150" s="76"/>
      <c r="AQ150" s="67"/>
      <c r="AR150" s="68"/>
      <c r="AS150" s="69"/>
      <c r="AT150" s="69"/>
      <c r="AU150" s="69"/>
      <c r="AV150" s="69"/>
      <c r="AW150" s="69"/>
      <c r="AX150" s="68"/>
      <c r="AY150" s="69"/>
      <c r="AZ150" s="67"/>
      <c r="BA150" s="69"/>
      <c r="BB150" s="76"/>
      <c r="BC150" s="67"/>
      <c r="BD150" s="68"/>
      <c r="BE150" s="69"/>
      <c r="BF150" s="69"/>
      <c r="BG150" s="69"/>
      <c r="BH150" s="69"/>
      <c r="BI150" s="69"/>
      <c r="BJ150" s="68"/>
      <c r="BK150" s="69"/>
      <c r="BL150" s="67"/>
      <c r="BM150" s="67"/>
      <c r="BN150" s="56"/>
      <c r="BO150" s="56"/>
      <c r="BT150" s="63"/>
      <c r="BW150" s="56"/>
      <c r="BX150" s="56"/>
      <c r="BY150" s="56"/>
      <c r="BZ150" s="56"/>
      <c r="CA150" s="56"/>
      <c r="CF150" s="63"/>
      <c r="CI150" s="56"/>
      <c r="CJ150" s="56"/>
      <c r="CK150" s="56"/>
      <c r="CL150" s="56"/>
      <c r="CM150" s="56"/>
    </row>
    <row r="151" spans="18:93" ht="39.950000000000003" customHeight="1">
      <c r="R151" s="63"/>
      <c r="V151" s="170"/>
      <c r="W151" s="56"/>
      <c r="X151" s="56"/>
      <c r="Y151" s="56"/>
      <c r="AD151" s="63"/>
      <c r="AG151" s="56"/>
      <c r="AH151" s="56"/>
      <c r="AI151" s="56"/>
      <c r="AJ151" s="56"/>
      <c r="AK151" s="56"/>
      <c r="AO151" s="68"/>
      <c r="AP151" s="76"/>
      <c r="AQ151" s="67"/>
      <c r="AR151" s="68"/>
      <c r="AS151" s="69"/>
      <c r="AT151" s="69"/>
      <c r="AU151" s="69"/>
      <c r="AV151" s="69"/>
      <c r="AW151" s="69"/>
      <c r="AX151" s="68"/>
      <c r="AY151" s="69"/>
      <c r="AZ151" s="67"/>
      <c r="BA151" s="69"/>
      <c r="BB151" s="76"/>
      <c r="BC151" s="67"/>
      <c r="BD151" s="68"/>
      <c r="BE151" s="69"/>
      <c r="BF151" s="69"/>
      <c r="BG151" s="69"/>
      <c r="BH151" s="69"/>
      <c r="BI151" s="69"/>
      <c r="BJ151" s="68"/>
      <c r="BK151" s="69"/>
      <c r="BL151" s="67"/>
      <c r="BM151" s="67"/>
      <c r="BN151" s="56"/>
      <c r="BO151" s="56"/>
      <c r="BT151" s="63"/>
      <c r="BW151" s="56"/>
      <c r="BX151" s="56"/>
      <c r="BY151" s="56"/>
      <c r="BZ151" s="56"/>
      <c r="CA151" s="56"/>
      <c r="CF151" s="63"/>
      <c r="CI151" s="56"/>
      <c r="CJ151" s="56"/>
      <c r="CK151" s="56"/>
      <c r="CL151" s="56"/>
      <c r="CM151" s="56"/>
    </row>
    <row r="152" spans="18:93" ht="39.950000000000003" customHeight="1">
      <c r="R152" s="63"/>
      <c r="V152" s="170"/>
      <c r="W152" s="56"/>
      <c r="X152" s="56"/>
      <c r="Y152" s="56"/>
      <c r="AD152" s="63"/>
      <c r="AG152" s="56"/>
      <c r="AH152" s="56"/>
      <c r="AI152" s="56"/>
      <c r="AJ152" s="56"/>
      <c r="AK152" s="56"/>
      <c r="AO152" s="68"/>
      <c r="AP152" s="76"/>
      <c r="AQ152" s="67"/>
      <c r="AR152" s="68"/>
      <c r="AS152" s="69"/>
      <c r="AT152" s="69"/>
      <c r="AU152" s="69"/>
      <c r="AV152" s="69"/>
      <c r="AW152" s="69"/>
      <c r="AX152" s="68"/>
      <c r="AY152" s="69"/>
      <c r="AZ152" s="67"/>
      <c r="BA152" s="69"/>
      <c r="BB152" s="76"/>
      <c r="BC152" s="67"/>
      <c r="BD152" s="68"/>
      <c r="BE152" s="69"/>
      <c r="BF152" s="69"/>
      <c r="BG152" s="69"/>
      <c r="BH152" s="69"/>
      <c r="BI152" s="69"/>
      <c r="BJ152" s="68"/>
      <c r="BK152" s="69"/>
      <c r="BL152" s="67"/>
      <c r="BM152" s="67"/>
      <c r="BN152" s="56"/>
      <c r="BO152" s="56"/>
      <c r="BT152" s="63"/>
      <c r="BW152" s="56"/>
      <c r="BX152" s="56"/>
      <c r="BY152" s="56"/>
      <c r="BZ152" s="56"/>
      <c r="CA152" s="56"/>
      <c r="CF152" s="63"/>
      <c r="CI152" s="56"/>
      <c r="CJ152" s="56"/>
      <c r="CK152" s="56"/>
      <c r="CL152" s="56"/>
      <c r="CM152" s="56"/>
    </row>
    <row r="153" spans="18:93" ht="39.950000000000003" customHeight="1">
      <c r="R153" s="63"/>
      <c r="V153" s="170"/>
      <c r="W153" s="56"/>
      <c r="X153" s="56"/>
      <c r="Y153" s="56"/>
      <c r="AD153" s="63"/>
      <c r="AG153" s="56"/>
      <c r="AH153" s="56"/>
      <c r="AI153" s="56"/>
      <c r="AJ153" s="56"/>
      <c r="AK153" s="56"/>
      <c r="AO153" s="68"/>
      <c r="AP153" s="76"/>
      <c r="AQ153" s="67"/>
      <c r="AR153" s="68"/>
      <c r="AS153" s="69"/>
      <c r="AT153" s="69"/>
      <c r="AU153" s="69"/>
      <c r="AV153" s="69"/>
      <c r="AW153" s="69"/>
      <c r="AX153" s="68"/>
      <c r="AY153" s="69"/>
      <c r="AZ153" s="67"/>
      <c r="BA153" s="69"/>
      <c r="BB153" s="76"/>
      <c r="BC153" s="67"/>
      <c r="BD153" s="68"/>
      <c r="BE153" s="69"/>
      <c r="BF153" s="69"/>
      <c r="BG153" s="69"/>
      <c r="BH153" s="69"/>
      <c r="BI153" s="69"/>
      <c r="BJ153" s="68"/>
      <c r="BK153" s="69"/>
      <c r="BL153" s="67"/>
      <c r="BM153" s="67"/>
      <c r="BN153" s="56"/>
      <c r="BO153" s="56"/>
      <c r="BT153" s="63"/>
      <c r="BW153" s="56"/>
      <c r="BX153" s="56"/>
      <c r="BY153" s="56"/>
      <c r="BZ153" s="56"/>
      <c r="CA153" s="56"/>
      <c r="CF153" s="63"/>
      <c r="CI153" s="56"/>
      <c r="CJ153" s="56"/>
      <c r="CK153" s="56"/>
      <c r="CL153" s="56"/>
      <c r="CM153" s="56"/>
    </row>
    <row r="154" spans="18:93" ht="39.950000000000003" customHeight="1">
      <c r="AO154" s="68"/>
      <c r="AP154" s="67"/>
      <c r="AQ154" s="67"/>
      <c r="AR154" s="68"/>
      <c r="AS154" s="68"/>
      <c r="AT154" s="68"/>
      <c r="AU154" s="68"/>
      <c r="AV154" s="68"/>
      <c r="AW154" s="68"/>
      <c r="AX154" s="68"/>
      <c r="AY154" s="69"/>
      <c r="AZ154" s="67"/>
      <c r="BA154" s="68"/>
      <c r="BB154" s="67"/>
      <c r="BC154" s="67"/>
      <c r="BD154" s="68"/>
      <c r="BE154" s="68"/>
      <c r="BF154" s="68"/>
      <c r="BG154" s="68"/>
      <c r="BH154" s="68"/>
      <c r="BI154" s="68"/>
      <c r="BJ154" s="68"/>
      <c r="BK154" s="69"/>
      <c r="BL154" s="67"/>
      <c r="BM154" s="67"/>
    </row>
    <row r="155" spans="18:93" ht="39.950000000000003" customHeight="1">
      <c r="R155" s="63"/>
      <c r="S155" s="64"/>
      <c r="Y155" s="531"/>
      <c r="Z155" s="531"/>
      <c r="AA155" s="531"/>
      <c r="AD155" s="63"/>
      <c r="AE155" s="64"/>
      <c r="AK155" s="531"/>
      <c r="AL155" s="531"/>
      <c r="AM155" s="531"/>
      <c r="AO155" s="68"/>
      <c r="AP155" s="76"/>
      <c r="AQ155" s="77"/>
      <c r="AR155" s="68"/>
      <c r="AS155" s="68"/>
      <c r="AT155" s="68"/>
      <c r="AU155" s="68"/>
      <c r="AV155" s="68"/>
      <c r="AW155" s="533"/>
      <c r="AX155" s="533"/>
      <c r="AY155" s="533"/>
      <c r="AZ155" s="67"/>
      <c r="BA155" s="68"/>
      <c r="BB155" s="76"/>
      <c r="BC155" s="77"/>
      <c r="BD155" s="68"/>
      <c r="BE155" s="68"/>
      <c r="BF155" s="68"/>
      <c r="BG155" s="68"/>
      <c r="BH155" s="68"/>
      <c r="BI155" s="533"/>
      <c r="BJ155" s="533"/>
      <c r="BK155" s="533"/>
      <c r="BL155" s="67"/>
      <c r="BM155" s="67"/>
      <c r="BO155" s="531"/>
      <c r="BP155" s="531"/>
      <c r="BQ155" s="531"/>
      <c r="BT155" s="63"/>
      <c r="BU155" s="64"/>
      <c r="CA155" s="531"/>
      <c r="CB155" s="531"/>
      <c r="CC155" s="531"/>
      <c r="CF155" s="63"/>
      <c r="CG155" s="64"/>
      <c r="CM155" s="531"/>
      <c r="CN155" s="531"/>
      <c r="CO155" s="531"/>
    </row>
    <row r="156" spans="18:93" ht="39.950000000000003" customHeight="1">
      <c r="R156" s="63"/>
      <c r="V156" s="170"/>
      <c r="W156" s="56"/>
      <c r="X156" s="56"/>
      <c r="Y156" s="56"/>
      <c r="AD156" s="63"/>
      <c r="AG156" s="56"/>
      <c r="AH156" s="56"/>
      <c r="AI156" s="56"/>
      <c r="AJ156" s="56"/>
      <c r="AK156" s="56"/>
      <c r="AO156" s="68"/>
      <c r="AP156" s="76"/>
      <c r="AQ156" s="67"/>
      <c r="AR156" s="68"/>
      <c r="AS156" s="69"/>
      <c r="AT156" s="69"/>
      <c r="AU156" s="69"/>
      <c r="AV156" s="69"/>
      <c r="AW156" s="69"/>
      <c r="AX156" s="68"/>
      <c r="AY156" s="69"/>
      <c r="AZ156" s="67"/>
      <c r="BA156" s="69"/>
      <c r="BB156" s="76"/>
      <c r="BC156" s="67"/>
      <c r="BD156" s="68"/>
      <c r="BE156" s="69"/>
      <c r="BF156" s="69"/>
      <c r="BG156" s="69"/>
      <c r="BH156" s="69"/>
      <c r="BI156" s="69"/>
      <c r="BJ156" s="68"/>
      <c r="BK156" s="69"/>
      <c r="BL156" s="67"/>
      <c r="BM156" s="67"/>
      <c r="BN156" s="56"/>
      <c r="BO156" s="56"/>
      <c r="BT156" s="63"/>
      <c r="BW156" s="56"/>
      <c r="BX156" s="56"/>
      <c r="BY156" s="56"/>
      <c r="BZ156" s="56"/>
      <c r="CA156" s="56"/>
      <c r="CF156" s="63"/>
      <c r="CI156" s="56"/>
      <c r="CJ156" s="56"/>
      <c r="CK156" s="56"/>
      <c r="CL156" s="56"/>
      <c r="CM156" s="56"/>
    </row>
    <row r="157" spans="18:93" ht="39.950000000000003" customHeight="1">
      <c r="R157" s="63"/>
      <c r="V157" s="170"/>
      <c r="W157" s="56"/>
      <c r="X157" s="56"/>
      <c r="Y157" s="56"/>
      <c r="AD157" s="63"/>
      <c r="AG157" s="56"/>
      <c r="AH157" s="56"/>
      <c r="AI157" s="56"/>
      <c r="AJ157" s="56"/>
      <c r="AK157" s="56"/>
      <c r="AO157" s="68"/>
      <c r="AP157" s="76"/>
      <c r="AQ157" s="67"/>
      <c r="AR157" s="68"/>
      <c r="AS157" s="69"/>
      <c r="AT157" s="69"/>
      <c r="AU157" s="69"/>
      <c r="AV157" s="69"/>
      <c r="AW157" s="69"/>
      <c r="AX157" s="68"/>
      <c r="AY157" s="69"/>
      <c r="AZ157" s="67"/>
      <c r="BA157" s="69"/>
      <c r="BB157" s="76"/>
      <c r="BC157" s="67"/>
      <c r="BD157" s="68"/>
      <c r="BE157" s="69"/>
      <c r="BF157" s="69"/>
      <c r="BG157" s="69"/>
      <c r="BH157" s="69"/>
      <c r="BI157" s="69"/>
      <c r="BJ157" s="68"/>
      <c r="BK157" s="69"/>
      <c r="BL157" s="67"/>
      <c r="BM157" s="67"/>
      <c r="BN157" s="56"/>
      <c r="BO157" s="56"/>
      <c r="BT157" s="63"/>
      <c r="BW157" s="56"/>
      <c r="BX157" s="56"/>
      <c r="BY157" s="56"/>
      <c r="BZ157" s="56"/>
      <c r="CA157" s="56"/>
      <c r="CF157" s="63"/>
      <c r="CI157" s="56"/>
      <c r="CJ157" s="56"/>
      <c r="CK157" s="56"/>
      <c r="CL157" s="56"/>
      <c r="CM157" s="56"/>
    </row>
    <row r="158" spans="18:93" ht="39.950000000000003" customHeight="1">
      <c r="R158" s="63"/>
      <c r="V158" s="170"/>
      <c r="W158" s="56"/>
      <c r="X158" s="56"/>
      <c r="Y158" s="56"/>
      <c r="AD158" s="63"/>
      <c r="AG158" s="56"/>
      <c r="AH158" s="56"/>
      <c r="AI158" s="56"/>
      <c r="AJ158" s="56"/>
      <c r="AK158" s="56"/>
      <c r="AO158" s="68"/>
      <c r="AP158" s="76"/>
      <c r="AQ158" s="67"/>
      <c r="AR158" s="68"/>
      <c r="AS158" s="69"/>
      <c r="AT158" s="69"/>
      <c r="AU158" s="69"/>
      <c r="AV158" s="69"/>
      <c r="AW158" s="69"/>
      <c r="AX158" s="68"/>
      <c r="AY158" s="69"/>
      <c r="AZ158" s="67"/>
      <c r="BA158" s="69"/>
      <c r="BB158" s="76"/>
      <c r="BC158" s="67"/>
      <c r="BD158" s="68"/>
      <c r="BE158" s="69"/>
      <c r="BF158" s="69"/>
      <c r="BG158" s="69"/>
      <c r="BH158" s="69"/>
      <c r="BI158" s="69"/>
      <c r="BJ158" s="68"/>
      <c r="BK158" s="69"/>
      <c r="BL158" s="67"/>
      <c r="BM158" s="67"/>
      <c r="BN158" s="56"/>
      <c r="BO158" s="56"/>
      <c r="BT158" s="63"/>
      <c r="BW158" s="56"/>
      <c r="BX158" s="56"/>
      <c r="BY158" s="56"/>
      <c r="BZ158" s="56"/>
      <c r="CA158" s="56"/>
      <c r="CF158" s="63"/>
      <c r="CI158" s="56"/>
      <c r="CJ158" s="56"/>
      <c r="CK158" s="56"/>
      <c r="CL158" s="56"/>
      <c r="CM158" s="56"/>
    </row>
    <row r="159" spans="18:93" ht="39.950000000000003" customHeight="1">
      <c r="R159" s="63"/>
      <c r="V159" s="170"/>
      <c r="W159" s="56"/>
      <c r="X159" s="56"/>
      <c r="Y159" s="56"/>
      <c r="AD159" s="63"/>
      <c r="AG159" s="56"/>
      <c r="AH159" s="56"/>
      <c r="AI159" s="56"/>
      <c r="AJ159" s="56"/>
      <c r="AK159" s="56"/>
      <c r="AO159" s="68"/>
      <c r="AP159" s="76"/>
      <c r="AQ159" s="67"/>
      <c r="AR159" s="68"/>
      <c r="AS159" s="69"/>
      <c r="AT159" s="69"/>
      <c r="AU159" s="69"/>
      <c r="AV159" s="69"/>
      <c r="AW159" s="69"/>
      <c r="AX159" s="68"/>
      <c r="AY159" s="69"/>
      <c r="AZ159" s="67"/>
      <c r="BA159" s="69"/>
      <c r="BB159" s="76"/>
      <c r="BC159" s="67"/>
      <c r="BD159" s="68"/>
      <c r="BE159" s="69"/>
      <c r="BF159" s="69"/>
      <c r="BG159" s="69"/>
      <c r="BH159" s="69"/>
      <c r="BI159" s="69"/>
      <c r="BJ159" s="68"/>
      <c r="BK159" s="69"/>
      <c r="BL159" s="67"/>
      <c r="BM159" s="67"/>
      <c r="BN159" s="56"/>
      <c r="BO159" s="56"/>
      <c r="BT159" s="63"/>
      <c r="BW159" s="56"/>
      <c r="BX159" s="56"/>
      <c r="BY159" s="56"/>
      <c r="BZ159" s="56"/>
      <c r="CA159" s="56"/>
      <c r="CF159" s="63"/>
      <c r="CI159" s="56"/>
      <c r="CJ159" s="56"/>
      <c r="CK159" s="56"/>
      <c r="CL159" s="56"/>
      <c r="CM159" s="56"/>
    </row>
    <row r="160" spans="18:93" ht="39.950000000000003" customHeight="1">
      <c r="AO160" s="68"/>
      <c r="AP160" s="67"/>
      <c r="AQ160" s="67"/>
      <c r="AR160" s="68"/>
      <c r="AS160" s="68"/>
      <c r="AT160" s="68"/>
      <c r="AU160" s="68"/>
      <c r="AV160" s="68"/>
      <c r="AW160" s="68"/>
      <c r="AX160" s="68"/>
      <c r="AY160" s="69"/>
      <c r="AZ160" s="67"/>
      <c r="BA160" s="68"/>
      <c r="BB160" s="67"/>
      <c r="BC160" s="67"/>
      <c r="BD160" s="68"/>
      <c r="BE160" s="68"/>
      <c r="BF160" s="68"/>
      <c r="BG160" s="68"/>
      <c r="BH160" s="68"/>
      <c r="BI160" s="68"/>
      <c r="BJ160" s="68"/>
      <c r="BK160" s="69"/>
      <c r="BL160" s="67"/>
      <c r="BM160" s="67"/>
    </row>
    <row r="161" spans="18:93" ht="39.950000000000003" customHeight="1">
      <c r="R161" s="63"/>
      <c r="S161" s="64"/>
      <c r="Y161" s="531"/>
      <c r="Z161" s="531"/>
      <c r="AA161" s="531"/>
      <c r="AD161" s="63"/>
      <c r="AE161" s="64"/>
      <c r="AK161" s="531"/>
      <c r="AL161" s="531"/>
      <c r="AM161" s="531"/>
      <c r="AO161" s="68"/>
      <c r="AP161" s="76"/>
      <c r="AQ161" s="77"/>
      <c r="AR161" s="68"/>
      <c r="AS161" s="68"/>
      <c r="AT161" s="68"/>
      <c r="AU161" s="68"/>
      <c r="AV161" s="68"/>
      <c r="AW161" s="533"/>
      <c r="AX161" s="533"/>
      <c r="AY161" s="533"/>
      <c r="AZ161" s="67"/>
      <c r="BA161" s="68"/>
      <c r="BB161" s="76"/>
      <c r="BC161" s="77"/>
      <c r="BD161" s="68"/>
      <c r="BE161" s="68"/>
      <c r="BF161" s="68"/>
      <c r="BG161" s="68"/>
      <c r="BH161" s="68"/>
      <c r="BI161" s="533"/>
      <c r="BJ161" s="533"/>
      <c r="BK161" s="533"/>
      <c r="BL161" s="67"/>
      <c r="BM161" s="67"/>
      <c r="BO161" s="531"/>
      <c r="BP161" s="531"/>
      <c r="BQ161" s="531"/>
      <c r="BT161" s="63"/>
      <c r="BU161" s="64"/>
      <c r="CA161" s="531"/>
      <c r="CB161" s="531"/>
      <c r="CC161" s="531"/>
      <c r="CF161" s="63"/>
      <c r="CG161" s="64"/>
      <c r="CM161" s="531"/>
      <c r="CN161" s="531"/>
      <c r="CO161" s="531"/>
    </row>
    <row r="162" spans="18:93" ht="39.950000000000003" customHeight="1">
      <c r="R162" s="63"/>
      <c r="V162" s="170"/>
      <c r="W162" s="56"/>
      <c r="X162" s="56"/>
      <c r="Y162" s="56"/>
      <c r="AD162" s="63"/>
      <c r="AG162" s="56"/>
      <c r="AH162" s="56"/>
      <c r="AI162" s="56"/>
      <c r="AJ162" s="56"/>
      <c r="AK162" s="56"/>
      <c r="AO162" s="68"/>
      <c r="AP162" s="76"/>
      <c r="AQ162" s="67"/>
      <c r="AR162" s="68"/>
      <c r="AS162" s="69"/>
      <c r="AT162" s="69"/>
      <c r="AU162" s="69"/>
      <c r="AV162" s="69"/>
      <c r="AW162" s="69"/>
      <c r="AX162" s="68"/>
      <c r="AY162" s="69"/>
      <c r="AZ162" s="67"/>
      <c r="BA162" s="69"/>
      <c r="BB162" s="76"/>
      <c r="BC162" s="67"/>
      <c r="BD162" s="68"/>
      <c r="BE162" s="69"/>
      <c r="BF162" s="69"/>
      <c r="BG162" s="69"/>
      <c r="BH162" s="69"/>
      <c r="BI162" s="69"/>
      <c r="BJ162" s="68"/>
      <c r="BK162" s="69"/>
      <c r="BL162" s="67"/>
      <c r="BM162" s="67"/>
      <c r="BN162" s="56"/>
      <c r="BO162" s="56"/>
      <c r="BT162" s="63"/>
      <c r="BW162" s="56"/>
      <c r="BX162" s="56"/>
      <c r="BY162" s="56"/>
      <c r="BZ162" s="56"/>
      <c r="CA162" s="56"/>
      <c r="CF162" s="63"/>
      <c r="CI162" s="56"/>
      <c r="CJ162" s="56"/>
      <c r="CK162" s="56"/>
      <c r="CL162" s="56"/>
      <c r="CM162" s="56"/>
    </row>
    <row r="163" spans="18:93" ht="39.950000000000003" customHeight="1">
      <c r="R163" s="63"/>
      <c r="V163" s="170"/>
      <c r="W163" s="56"/>
      <c r="X163" s="56"/>
      <c r="Y163" s="56"/>
      <c r="AD163" s="63"/>
      <c r="AG163" s="56"/>
      <c r="AH163" s="56"/>
      <c r="AI163" s="56"/>
      <c r="AJ163" s="56"/>
      <c r="AK163" s="56"/>
      <c r="AO163" s="68"/>
      <c r="AP163" s="76"/>
      <c r="AQ163" s="67"/>
      <c r="AR163" s="68"/>
      <c r="AS163" s="69"/>
      <c r="AT163" s="69"/>
      <c r="AU163" s="69"/>
      <c r="AV163" s="69"/>
      <c r="AW163" s="69"/>
      <c r="AX163" s="68"/>
      <c r="AY163" s="69"/>
      <c r="AZ163" s="67"/>
      <c r="BA163" s="69"/>
      <c r="BB163" s="76"/>
      <c r="BC163" s="67"/>
      <c r="BD163" s="68"/>
      <c r="BE163" s="69"/>
      <c r="BF163" s="69"/>
      <c r="BG163" s="69"/>
      <c r="BH163" s="69"/>
      <c r="BI163" s="69"/>
      <c r="BJ163" s="68"/>
      <c r="BK163" s="69"/>
      <c r="BL163" s="67"/>
      <c r="BM163" s="67"/>
      <c r="BN163" s="56"/>
      <c r="BO163" s="56"/>
      <c r="BT163" s="63"/>
      <c r="BW163" s="56"/>
      <c r="BX163" s="56"/>
      <c r="BY163" s="56"/>
      <c r="BZ163" s="56"/>
      <c r="CA163" s="56"/>
      <c r="CF163" s="63"/>
      <c r="CI163" s="56"/>
      <c r="CJ163" s="56"/>
      <c r="CK163" s="56"/>
      <c r="CL163" s="56"/>
      <c r="CM163" s="56"/>
    </row>
    <row r="164" spans="18:93" ht="39.950000000000003" customHeight="1">
      <c r="R164" s="63"/>
      <c r="V164" s="170"/>
      <c r="W164" s="56"/>
      <c r="X164" s="56"/>
      <c r="Y164" s="56"/>
      <c r="AD164" s="63"/>
      <c r="AG164" s="56"/>
      <c r="AH164" s="56"/>
      <c r="AI164" s="56"/>
      <c r="AJ164" s="56"/>
      <c r="AK164" s="56"/>
      <c r="AO164" s="68"/>
      <c r="AP164" s="76"/>
      <c r="AQ164" s="67"/>
      <c r="AR164" s="68"/>
      <c r="AS164" s="69"/>
      <c r="AT164" s="69"/>
      <c r="AU164" s="69"/>
      <c r="AV164" s="69"/>
      <c r="AW164" s="69"/>
      <c r="AX164" s="68"/>
      <c r="AY164" s="69"/>
      <c r="AZ164" s="67"/>
      <c r="BA164" s="69"/>
      <c r="BB164" s="76"/>
      <c r="BC164" s="67"/>
      <c r="BD164" s="68"/>
      <c r="BE164" s="69"/>
      <c r="BF164" s="69"/>
      <c r="BG164" s="69"/>
      <c r="BH164" s="69"/>
      <c r="BI164" s="69"/>
      <c r="BJ164" s="68"/>
      <c r="BK164" s="69"/>
      <c r="BL164" s="67"/>
      <c r="BM164" s="67"/>
      <c r="BN164" s="56"/>
      <c r="BO164" s="56"/>
      <c r="BT164" s="63"/>
      <c r="BW164" s="56"/>
      <c r="BX164" s="56"/>
      <c r="BY164" s="56"/>
      <c r="BZ164" s="56"/>
      <c r="CA164" s="56"/>
      <c r="CF164" s="63"/>
      <c r="CI164" s="56"/>
      <c r="CJ164" s="56"/>
      <c r="CK164" s="56"/>
      <c r="CL164" s="56"/>
      <c r="CM164" s="56"/>
    </row>
    <row r="165" spans="18:93" ht="39.950000000000003" customHeight="1">
      <c r="R165" s="63"/>
      <c r="V165" s="170"/>
      <c r="W165" s="56"/>
      <c r="X165" s="56"/>
      <c r="Y165" s="56"/>
      <c r="AD165" s="63"/>
      <c r="AG165" s="56"/>
      <c r="AH165" s="56"/>
      <c r="AI165" s="56"/>
      <c r="AJ165" s="56"/>
      <c r="AK165" s="56"/>
      <c r="AO165" s="68"/>
      <c r="AP165" s="76"/>
      <c r="AQ165" s="67"/>
      <c r="AR165" s="68"/>
      <c r="AS165" s="69"/>
      <c r="AT165" s="69"/>
      <c r="AU165" s="69"/>
      <c r="AV165" s="69"/>
      <c r="AW165" s="69"/>
      <c r="AX165" s="68"/>
      <c r="AY165" s="69"/>
      <c r="AZ165" s="67"/>
      <c r="BA165" s="69"/>
      <c r="BB165" s="76"/>
      <c r="BC165" s="67"/>
      <c r="BD165" s="68"/>
      <c r="BE165" s="69"/>
      <c r="BF165" s="69"/>
      <c r="BG165" s="69"/>
      <c r="BH165" s="69"/>
      <c r="BI165" s="69"/>
      <c r="BJ165" s="68"/>
      <c r="BK165" s="69"/>
      <c r="BL165" s="67"/>
      <c r="BM165" s="67"/>
      <c r="BN165" s="56"/>
      <c r="BO165" s="56"/>
      <c r="BT165" s="63"/>
      <c r="BW165" s="56"/>
      <c r="BX165" s="56"/>
      <c r="BY165" s="56"/>
      <c r="BZ165" s="56"/>
      <c r="CA165" s="56"/>
      <c r="CF165" s="63"/>
      <c r="CI165" s="56"/>
      <c r="CJ165" s="56"/>
      <c r="CK165" s="56"/>
      <c r="CL165" s="56"/>
      <c r="CM165" s="56"/>
    </row>
    <row r="166" spans="18:93" ht="39.950000000000003" customHeight="1">
      <c r="AO166" s="68"/>
      <c r="AP166" s="67"/>
      <c r="AQ166" s="67"/>
      <c r="AR166" s="68"/>
      <c r="AS166" s="68"/>
      <c r="AT166" s="68"/>
      <c r="AU166" s="68"/>
      <c r="AV166" s="68"/>
      <c r="AW166" s="68"/>
      <c r="AX166" s="68"/>
      <c r="AY166" s="69"/>
      <c r="AZ166" s="67"/>
      <c r="BA166" s="68"/>
      <c r="BB166" s="67"/>
      <c r="BC166" s="67"/>
      <c r="BD166" s="68"/>
      <c r="BE166" s="68"/>
      <c r="BF166" s="68"/>
      <c r="BG166" s="68"/>
      <c r="BH166" s="68"/>
      <c r="BI166" s="68"/>
      <c r="BJ166" s="68"/>
      <c r="BK166" s="69"/>
      <c r="BL166" s="67"/>
      <c r="BM166" s="67"/>
    </row>
    <row r="167" spans="18:93" ht="39.950000000000003" customHeight="1">
      <c r="R167" s="63"/>
      <c r="S167" s="64"/>
      <c r="Y167" s="531"/>
      <c r="Z167" s="531"/>
      <c r="AA167" s="531"/>
      <c r="AD167" s="63"/>
      <c r="AE167" s="64"/>
      <c r="AK167" s="531"/>
      <c r="AL167" s="531"/>
      <c r="AM167" s="531"/>
      <c r="AO167" s="68"/>
      <c r="AP167" s="76"/>
      <c r="AQ167" s="77"/>
      <c r="AR167" s="68"/>
      <c r="AS167" s="68"/>
      <c r="AT167" s="68"/>
      <c r="AU167" s="68"/>
      <c r="AV167" s="68"/>
      <c r="AW167" s="533"/>
      <c r="AX167" s="533"/>
      <c r="AY167" s="533"/>
      <c r="AZ167" s="67"/>
      <c r="BA167" s="68"/>
      <c r="BB167" s="76"/>
      <c r="BC167" s="77"/>
      <c r="BD167" s="68"/>
      <c r="BE167" s="68"/>
      <c r="BF167" s="68"/>
      <c r="BG167" s="68"/>
      <c r="BH167" s="68"/>
      <c r="BI167" s="533"/>
      <c r="BJ167" s="533"/>
      <c r="BK167" s="533"/>
      <c r="BL167" s="67"/>
      <c r="BM167" s="67"/>
      <c r="BO167" s="531"/>
      <c r="BP167" s="531"/>
      <c r="BQ167" s="531"/>
      <c r="BT167" s="63"/>
      <c r="BU167" s="64"/>
      <c r="CA167" s="531"/>
      <c r="CB167" s="531"/>
      <c r="CC167" s="531"/>
      <c r="CF167" s="63"/>
      <c r="CG167" s="64"/>
      <c r="CM167" s="531"/>
      <c r="CN167" s="531"/>
      <c r="CO167" s="531"/>
    </row>
    <row r="168" spans="18:93" ht="39.950000000000003" customHeight="1">
      <c r="R168" s="63"/>
      <c r="V168" s="170"/>
      <c r="W168" s="56"/>
      <c r="X168" s="56"/>
      <c r="Y168" s="56"/>
      <c r="AD168" s="63"/>
      <c r="AG168" s="56"/>
      <c r="AH168" s="56"/>
      <c r="AI168" s="56"/>
      <c r="AJ168" s="56"/>
      <c r="AK168" s="56"/>
      <c r="AO168" s="68"/>
      <c r="AP168" s="76"/>
      <c r="AQ168" s="67"/>
      <c r="AR168" s="68"/>
      <c r="AS168" s="69"/>
      <c r="AT168" s="69"/>
      <c r="AU168" s="69"/>
      <c r="AV168" s="69"/>
      <c r="AW168" s="69"/>
      <c r="AX168" s="68"/>
      <c r="AY168" s="69"/>
      <c r="AZ168" s="67"/>
      <c r="BA168" s="69"/>
      <c r="BB168" s="76"/>
      <c r="BC168" s="67"/>
      <c r="BD168" s="68"/>
      <c r="BE168" s="69"/>
      <c r="BF168" s="69"/>
      <c r="BG168" s="69"/>
      <c r="BH168" s="69"/>
      <c r="BI168" s="69"/>
      <c r="BJ168" s="68"/>
      <c r="BK168" s="69"/>
      <c r="BL168" s="67"/>
      <c r="BM168" s="67"/>
      <c r="BN168" s="56"/>
      <c r="BO168" s="56"/>
      <c r="BT168" s="63"/>
      <c r="BW168" s="56"/>
      <c r="BX168" s="56"/>
      <c r="BY168" s="56"/>
      <c r="BZ168" s="56"/>
      <c r="CA168" s="56"/>
      <c r="CF168" s="63"/>
      <c r="CI168" s="56"/>
      <c r="CJ168" s="56"/>
      <c r="CK168" s="56"/>
      <c r="CL168" s="56"/>
      <c r="CM168" s="56"/>
    </row>
    <row r="169" spans="18:93" ht="39.950000000000003" customHeight="1">
      <c r="R169" s="63"/>
      <c r="V169" s="170"/>
      <c r="W169" s="56"/>
      <c r="X169" s="56"/>
      <c r="Y169" s="56"/>
      <c r="AD169" s="63"/>
      <c r="AG169" s="56"/>
      <c r="AH169" s="56"/>
      <c r="AI169" s="56"/>
      <c r="AJ169" s="56"/>
      <c r="AK169" s="56"/>
      <c r="AO169" s="68"/>
      <c r="AP169" s="76"/>
      <c r="AQ169" s="67"/>
      <c r="AR169" s="68"/>
      <c r="AS169" s="69"/>
      <c r="AT169" s="69"/>
      <c r="AU169" s="69"/>
      <c r="AV169" s="69"/>
      <c r="AW169" s="69"/>
      <c r="AX169" s="68"/>
      <c r="AY169" s="69"/>
      <c r="AZ169" s="67"/>
      <c r="BA169" s="69"/>
      <c r="BB169" s="76"/>
      <c r="BC169" s="67"/>
      <c r="BD169" s="68"/>
      <c r="BE169" s="69"/>
      <c r="BF169" s="69"/>
      <c r="BG169" s="69"/>
      <c r="BH169" s="69"/>
      <c r="BI169" s="69"/>
      <c r="BJ169" s="68"/>
      <c r="BK169" s="69"/>
      <c r="BL169" s="67"/>
      <c r="BM169" s="67"/>
      <c r="BN169" s="56"/>
      <c r="BO169" s="56"/>
      <c r="BT169" s="63"/>
      <c r="BW169" s="56"/>
      <c r="BX169" s="56"/>
      <c r="BY169" s="56"/>
      <c r="BZ169" s="56"/>
      <c r="CA169" s="56"/>
      <c r="CF169" s="63"/>
      <c r="CI169" s="56"/>
      <c r="CJ169" s="56"/>
      <c r="CK169" s="56"/>
      <c r="CL169" s="56"/>
      <c r="CM169" s="56"/>
    </row>
    <row r="170" spans="18:93" ht="39.950000000000003" customHeight="1">
      <c r="R170" s="63"/>
      <c r="V170" s="170"/>
      <c r="W170" s="56"/>
      <c r="X170" s="56"/>
      <c r="Y170" s="56"/>
      <c r="AD170" s="63"/>
      <c r="AG170" s="56"/>
      <c r="AH170" s="56"/>
      <c r="AI170" s="56"/>
      <c r="AJ170" s="56"/>
      <c r="AK170" s="56"/>
      <c r="AO170" s="68"/>
      <c r="AP170" s="76"/>
      <c r="AQ170" s="67"/>
      <c r="AR170" s="68"/>
      <c r="AS170" s="69"/>
      <c r="AT170" s="69"/>
      <c r="AU170" s="69"/>
      <c r="AV170" s="69"/>
      <c r="AW170" s="69"/>
      <c r="AX170" s="68"/>
      <c r="AY170" s="69"/>
      <c r="AZ170" s="67"/>
      <c r="BA170" s="69"/>
      <c r="BB170" s="76"/>
      <c r="BC170" s="67"/>
      <c r="BD170" s="68"/>
      <c r="BE170" s="69"/>
      <c r="BF170" s="69"/>
      <c r="BG170" s="69"/>
      <c r="BH170" s="69"/>
      <c r="BI170" s="69"/>
      <c r="BJ170" s="68"/>
      <c r="BK170" s="69"/>
      <c r="BL170" s="67"/>
      <c r="BM170" s="67"/>
      <c r="BN170" s="56"/>
      <c r="BO170" s="56"/>
      <c r="BT170" s="63"/>
      <c r="BW170" s="56"/>
      <c r="BX170" s="56"/>
      <c r="BY170" s="56"/>
      <c r="BZ170" s="56"/>
      <c r="CA170" s="56"/>
      <c r="CF170" s="63"/>
      <c r="CI170" s="56"/>
      <c r="CJ170" s="56"/>
      <c r="CK170" s="56"/>
      <c r="CL170" s="56"/>
      <c r="CM170" s="56"/>
    </row>
    <row r="171" spans="18:93" ht="39.950000000000003" customHeight="1">
      <c r="R171" s="63"/>
      <c r="V171" s="170"/>
      <c r="W171" s="56"/>
      <c r="X171" s="56"/>
      <c r="Y171" s="56"/>
      <c r="AD171" s="63"/>
      <c r="AG171" s="56"/>
      <c r="AH171" s="56"/>
      <c r="AI171" s="56"/>
      <c r="AJ171" s="56"/>
      <c r="AK171" s="56"/>
      <c r="AO171" s="68"/>
      <c r="AP171" s="76"/>
      <c r="AQ171" s="67"/>
      <c r="AR171" s="68"/>
      <c r="AS171" s="69"/>
      <c r="AT171" s="69"/>
      <c r="AU171" s="69"/>
      <c r="AV171" s="69"/>
      <c r="AW171" s="69"/>
      <c r="AX171" s="68"/>
      <c r="AY171" s="69"/>
      <c r="AZ171" s="67"/>
      <c r="BA171" s="69"/>
      <c r="BB171" s="76"/>
      <c r="BC171" s="67"/>
      <c r="BD171" s="68"/>
      <c r="BE171" s="69"/>
      <c r="BF171" s="69"/>
      <c r="BG171" s="69"/>
      <c r="BH171" s="69"/>
      <c r="BI171" s="69"/>
      <c r="BJ171" s="68"/>
      <c r="BK171" s="69"/>
      <c r="BL171" s="67"/>
      <c r="BM171" s="67"/>
      <c r="BN171" s="56"/>
      <c r="BO171" s="56"/>
      <c r="BT171" s="63"/>
      <c r="BW171" s="56"/>
      <c r="BX171" s="56"/>
      <c r="BY171" s="56"/>
      <c r="BZ171" s="56"/>
      <c r="CA171" s="56"/>
      <c r="CF171" s="63"/>
      <c r="CI171" s="56"/>
      <c r="CJ171" s="56"/>
      <c r="CK171" s="56"/>
      <c r="CL171" s="56"/>
      <c r="CM171" s="56"/>
    </row>
    <row r="172" spans="18:93" ht="39.950000000000003" customHeight="1">
      <c r="AO172" s="68"/>
      <c r="AP172" s="67"/>
      <c r="AQ172" s="67"/>
      <c r="AR172" s="68"/>
      <c r="AS172" s="68"/>
      <c r="AT172" s="68"/>
      <c r="AU172" s="68"/>
      <c r="AV172" s="68"/>
      <c r="AW172" s="68"/>
      <c r="AX172" s="68"/>
      <c r="AY172" s="69"/>
      <c r="AZ172" s="67"/>
      <c r="BA172" s="68"/>
      <c r="BB172" s="67"/>
      <c r="BC172" s="67"/>
      <c r="BD172" s="68"/>
      <c r="BE172" s="68"/>
      <c r="BF172" s="68"/>
      <c r="BG172" s="68"/>
      <c r="BH172" s="68"/>
      <c r="BI172" s="68"/>
      <c r="BJ172" s="68"/>
      <c r="BK172" s="69"/>
      <c r="BL172" s="67"/>
      <c r="BM172" s="67"/>
    </row>
    <row r="173" spans="18:93" ht="39.950000000000003" customHeight="1">
      <c r="R173" s="63"/>
      <c r="S173" s="64"/>
      <c r="Y173" s="531"/>
      <c r="Z173" s="531"/>
      <c r="AA173" s="531"/>
      <c r="AD173" s="63"/>
      <c r="AE173" s="64"/>
      <c r="AK173" s="531"/>
      <c r="AL173" s="531"/>
      <c r="AM173" s="531"/>
      <c r="AO173" s="68"/>
      <c r="AP173" s="76"/>
      <c r="AQ173" s="77"/>
      <c r="AR173" s="68"/>
      <c r="AS173" s="68"/>
      <c r="AT173" s="68"/>
      <c r="AU173" s="68"/>
      <c r="AV173" s="68"/>
      <c r="AW173" s="533"/>
      <c r="AX173" s="533"/>
      <c r="AY173" s="533"/>
      <c r="AZ173" s="67"/>
      <c r="BA173" s="68"/>
      <c r="BB173" s="76"/>
      <c r="BC173" s="77"/>
      <c r="BD173" s="68"/>
      <c r="BE173" s="68"/>
      <c r="BF173" s="68"/>
      <c r="BG173" s="68"/>
      <c r="BH173" s="68"/>
      <c r="BI173" s="533"/>
      <c r="BJ173" s="533"/>
      <c r="BK173" s="533"/>
      <c r="BL173" s="67"/>
      <c r="BM173" s="67"/>
      <c r="BO173" s="531"/>
      <c r="BP173" s="531"/>
      <c r="BQ173" s="531"/>
      <c r="BT173" s="63"/>
      <c r="BU173" s="64"/>
      <c r="CA173" s="531"/>
      <c r="CB173" s="531"/>
      <c r="CC173" s="531"/>
      <c r="CF173" s="63"/>
      <c r="CG173" s="64"/>
      <c r="CM173" s="531"/>
      <c r="CN173" s="531"/>
      <c r="CO173" s="531"/>
    </row>
    <row r="174" spans="18:93" ht="39.950000000000003" customHeight="1">
      <c r="R174" s="63"/>
      <c r="V174" s="170"/>
      <c r="W174" s="56"/>
      <c r="X174" s="56"/>
      <c r="Y174" s="56"/>
      <c r="AD174" s="63"/>
      <c r="AG174" s="56"/>
      <c r="AH174" s="56"/>
      <c r="AI174" s="56"/>
      <c r="AJ174" s="56"/>
      <c r="AK174" s="56"/>
      <c r="AO174" s="68"/>
      <c r="AP174" s="76"/>
      <c r="AQ174" s="67"/>
      <c r="AR174" s="68"/>
      <c r="AS174" s="69"/>
      <c r="AT174" s="69"/>
      <c r="AU174" s="69"/>
      <c r="AV174" s="69"/>
      <c r="AW174" s="69"/>
      <c r="AX174" s="68"/>
      <c r="AY174" s="69"/>
      <c r="AZ174" s="67"/>
      <c r="BA174" s="69"/>
      <c r="BB174" s="76"/>
      <c r="BC174" s="67"/>
      <c r="BD174" s="68"/>
      <c r="BE174" s="69"/>
      <c r="BF174" s="69"/>
      <c r="BG174" s="69"/>
      <c r="BH174" s="69"/>
      <c r="BI174" s="69"/>
      <c r="BJ174" s="68"/>
      <c r="BK174" s="69"/>
      <c r="BL174" s="67"/>
      <c r="BM174" s="67"/>
      <c r="BN174" s="56"/>
      <c r="BO174" s="56"/>
      <c r="BT174" s="63"/>
      <c r="BW174" s="56"/>
      <c r="BX174" s="56"/>
      <c r="BY174" s="56"/>
      <c r="BZ174" s="56"/>
      <c r="CA174" s="56"/>
      <c r="CF174" s="63"/>
      <c r="CI174" s="56"/>
      <c r="CJ174" s="56"/>
      <c r="CK174" s="56"/>
      <c r="CL174" s="56"/>
      <c r="CM174" s="56"/>
    </row>
    <row r="175" spans="18:93" ht="39.950000000000003" customHeight="1">
      <c r="R175" s="63"/>
      <c r="V175" s="170"/>
      <c r="W175" s="56"/>
      <c r="X175" s="56"/>
      <c r="Y175" s="56"/>
      <c r="AD175" s="63"/>
      <c r="AG175" s="56"/>
      <c r="AH175" s="56"/>
      <c r="AI175" s="56"/>
      <c r="AJ175" s="56"/>
      <c r="AK175" s="56"/>
      <c r="AO175" s="68"/>
      <c r="AP175" s="76"/>
      <c r="AQ175" s="67"/>
      <c r="AR175" s="68"/>
      <c r="AS175" s="69"/>
      <c r="AT175" s="69"/>
      <c r="AU175" s="69"/>
      <c r="AV175" s="69"/>
      <c r="AW175" s="69"/>
      <c r="AX175" s="68"/>
      <c r="AY175" s="69"/>
      <c r="AZ175" s="67"/>
      <c r="BA175" s="69"/>
      <c r="BB175" s="76"/>
      <c r="BC175" s="67"/>
      <c r="BD175" s="68"/>
      <c r="BE175" s="69"/>
      <c r="BF175" s="69"/>
      <c r="BG175" s="69"/>
      <c r="BH175" s="69"/>
      <c r="BI175" s="69"/>
      <c r="BJ175" s="68"/>
      <c r="BK175" s="69"/>
      <c r="BL175" s="67"/>
      <c r="BM175" s="67"/>
      <c r="BN175" s="56"/>
      <c r="BO175" s="56"/>
      <c r="BT175" s="63"/>
      <c r="BW175" s="56"/>
      <c r="BX175" s="56"/>
      <c r="BY175" s="56"/>
      <c r="BZ175" s="56"/>
      <c r="CA175" s="56"/>
      <c r="CF175" s="63"/>
      <c r="CI175" s="56"/>
      <c r="CJ175" s="56"/>
      <c r="CK175" s="56"/>
      <c r="CL175" s="56"/>
      <c r="CM175" s="56"/>
    </row>
    <row r="176" spans="18:93" ht="39.950000000000003" customHeight="1">
      <c r="R176" s="63"/>
      <c r="V176" s="170"/>
      <c r="W176" s="56"/>
      <c r="X176" s="56"/>
      <c r="Y176" s="56"/>
      <c r="AD176" s="63"/>
      <c r="AG176" s="56"/>
      <c r="AH176" s="56"/>
      <c r="AI176" s="56"/>
      <c r="AJ176" s="56"/>
      <c r="AK176" s="56"/>
      <c r="AO176" s="68"/>
      <c r="AP176" s="76"/>
      <c r="AQ176" s="67"/>
      <c r="AR176" s="68"/>
      <c r="AS176" s="69"/>
      <c r="AT176" s="69"/>
      <c r="AU176" s="69"/>
      <c r="AV176" s="69"/>
      <c r="AW176" s="69"/>
      <c r="AX176" s="68"/>
      <c r="AY176" s="69"/>
      <c r="AZ176" s="67"/>
      <c r="BA176" s="69"/>
      <c r="BB176" s="76"/>
      <c r="BC176" s="67"/>
      <c r="BD176" s="68"/>
      <c r="BE176" s="69"/>
      <c r="BF176" s="69"/>
      <c r="BG176" s="69"/>
      <c r="BH176" s="69"/>
      <c r="BI176" s="69"/>
      <c r="BJ176" s="68"/>
      <c r="BK176" s="69"/>
      <c r="BL176" s="67"/>
      <c r="BM176" s="67"/>
      <c r="BN176" s="56"/>
      <c r="BO176" s="56"/>
      <c r="BT176" s="63"/>
      <c r="BW176" s="56"/>
      <c r="BX176" s="56"/>
      <c r="BY176" s="56"/>
      <c r="BZ176" s="56"/>
      <c r="CA176" s="56"/>
      <c r="CF176" s="63"/>
      <c r="CI176" s="56"/>
      <c r="CJ176" s="56"/>
      <c r="CK176" s="56"/>
      <c r="CL176" s="56"/>
      <c r="CM176" s="56"/>
    </row>
    <row r="177" spans="18:93" ht="39.950000000000003" customHeight="1">
      <c r="R177" s="63"/>
      <c r="V177" s="170"/>
      <c r="W177" s="56"/>
      <c r="X177" s="56"/>
      <c r="Y177" s="56"/>
      <c r="AD177" s="63"/>
      <c r="AG177" s="56"/>
      <c r="AH177" s="56"/>
      <c r="AI177" s="56"/>
      <c r="AJ177" s="56"/>
      <c r="AK177" s="56"/>
      <c r="AO177" s="68"/>
      <c r="AP177" s="76"/>
      <c r="AQ177" s="67"/>
      <c r="AR177" s="68"/>
      <c r="AS177" s="69"/>
      <c r="AT177" s="69"/>
      <c r="AU177" s="69"/>
      <c r="AV177" s="69"/>
      <c r="AW177" s="69"/>
      <c r="AX177" s="68"/>
      <c r="AY177" s="69"/>
      <c r="AZ177" s="67"/>
      <c r="BA177" s="69"/>
      <c r="BB177" s="76"/>
      <c r="BC177" s="67"/>
      <c r="BD177" s="68"/>
      <c r="BE177" s="69"/>
      <c r="BF177" s="69"/>
      <c r="BG177" s="69"/>
      <c r="BH177" s="69"/>
      <c r="BI177" s="69"/>
      <c r="BJ177" s="68"/>
      <c r="BK177" s="69"/>
      <c r="BL177" s="67"/>
      <c r="BM177" s="67"/>
      <c r="BN177" s="56"/>
      <c r="BO177" s="56"/>
      <c r="BT177" s="63"/>
      <c r="BW177" s="56"/>
      <c r="BX177" s="56"/>
      <c r="BY177" s="56"/>
      <c r="BZ177" s="56"/>
      <c r="CA177" s="56"/>
      <c r="CF177" s="63"/>
      <c r="CI177" s="56"/>
      <c r="CJ177" s="56"/>
      <c r="CK177" s="56"/>
      <c r="CL177" s="56"/>
      <c r="CM177" s="56"/>
    </row>
    <row r="178" spans="18:93" ht="39.950000000000003" customHeight="1">
      <c r="AO178" s="68"/>
      <c r="AP178" s="67"/>
      <c r="AQ178" s="67"/>
      <c r="AR178" s="68"/>
      <c r="AS178" s="68"/>
      <c r="AT178" s="68"/>
      <c r="AU178" s="68"/>
      <c r="AV178" s="68"/>
      <c r="AW178" s="68"/>
      <c r="AX178" s="68"/>
      <c r="AY178" s="69"/>
      <c r="AZ178" s="67"/>
      <c r="BA178" s="68"/>
      <c r="BB178" s="67"/>
      <c r="BC178" s="67"/>
      <c r="BD178" s="68"/>
      <c r="BE178" s="68"/>
      <c r="BF178" s="68"/>
      <c r="BG178" s="68"/>
      <c r="BH178" s="68"/>
      <c r="BI178" s="68"/>
      <c r="BJ178" s="68"/>
      <c r="BK178" s="69"/>
      <c r="BL178" s="67"/>
      <c r="BM178" s="67"/>
    </row>
    <row r="179" spans="18:93" ht="39.950000000000003" customHeight="1">
      <c r="R179" s="63"/>
      <c r="S179" s="64"/>
      <c r="Y179" s="531"/>
      <c r="Z179" s="531"/>
      <c r="AA179" s="531"/>
      <c r="AD179" s="63"/>
      <c r="AE179" s="64"/>
      <c r="AK179" s="531"/>
      <c r="AL179" s="531"/>
      <c r="AM179" s="531"/>
      <c r="AO179" s="68"/>
      <c r="AP179" s="76"/>
      <c r="AQ179" s="77"/>
      <c r="AR179" s="68"/>
      <c r="AS179" s="68"/>
      <c r="AT179" s="68"/>
      <c r="AU179" s="68"/>
      <c r="AV179" s="68"/>
      <c r="AW179" s="533"/>
      <c r="AX179" s="533"/>
      <c r="AY179" s="533"/>
      <c r="AZ179" s="67"/>
      <c r="BA179" s="68"/>
      <c r="BB179" s="76"/>
      <c r="BC179" s="77"/>
      <c r="BD179" s="68"/>
      <c r="BE179" s="68"/>
      <c r="BF179" s="68"/>
      <c r="BG179" s="68"/>
      <c r="BH179" s="68"/>
      <c r="BI179" s="533"/>
      <c r="BJ179" s="533"/>
      <c r="BK179" s="533"/>
      <c r="BL179" s="67"/>
      <c r="BM179" s="67"/>
      <c r="BO179" s="531"/>
      <c r="BP179" s="531"/>
      <c r="BQ179" s="531"/>
      <c r="BT179" s="63"/>
      <c r="BU179" s="64"/>
      <c r="CA179" s="531"/>
      <c r="CB179" s="531"/>
      <c r="CC179" s="531"/>
      <c r="CF179" s="63"/>
      <c r="CG179" s="64"/>
      <c r="CM179" s="531"/>
      <c r="CN179" s="531"/>
      <c r="CO179" s="531"/>
    </row>
    <row r="180" spans="18:93" ht="39.950000000000003" customHeight="1">
      <c r="R180" s="63"/>
      <c r="V180" s="170"/>
      <c r="W180" s="56"/>
      <c r="X180" s="56"/>
      <c r="Y180" s="56"/>
      <c r="AD180" s="63"/>
      <c r="AG180" s="56"/>
      <c r="AH180" s="56"/>
      <c r="AI180" s="56"/>
      <c r="AJ180" s="56"/>
      <c r="AK180" s="56"/>
      <c r="AO180" s="68"/>
      <c r="AP180" s="76"/>
      <c r="AQ180" s="67"/>
      <c r="AR180" s="68"/>
      <c r="AS180" s="69"/>
      <c r="AT180" s="69"/>
      <c r="AU180" s="69"/>
      <c r="AV180" s="69"/>
      <c r="AW180" s="69"/>
      <c r="AX180" s="68"/>
      <c r="AY180" s="69"/>
      <c r="AZ180" s="67"/>
      <c r="BA180" s="69"/>
      <c r="BB180" s="76"/>
      <c r="BC180" s="67"/>
      <c r="BD180" s="68"/>
      <c r="BE180" s="69"/>
      <c r="BF180" s="69"/>
      <c r="BG180" s="69"/>
      <c r="BH180" s="69"/>
      <c r="BI180" s="69"/>
      <c r="BJ180" s="68"/>
      <c r="BK180" s="69"/>
      <c r="BL180" s="67"/>
      <c r="BM180" s="67"/>
      <c r="BN180" s="56"/>
      <c r="BO180" s="56"/>
      <c r="BT180" s="63"/>
      <c r="BW180" s="56"/>
      <c r="BX180" s="56"/>
      <c r="BY180" s="56"/>
      <c r="BZ180" s="56"/>
      <c r="CA180" s="56"/>
      <c r="CF180" s="63"/>
      <c r="CI180" s="56"/>
      <c r="CJ180" s="56"/>
      <c r="CK180" s="56"/>
      <c r="CL180" s="56"/>
      <c r="CM180" s="56"/>
    </row>
    <row r="181" spans="18:93" ht="39.950000000000003" customHeight="1">
      <c r="R181" s="63"/>
      <c r="V181" s="170"/>
      <c r="W181" s="56"/>
      <c r="X181" s="56"/>
      <c r="Y181" s="56"/>
      <c r="AD181" s="63"/>
      <c r="AG181" s="56"/>
      <c r="AH181" s="56"/>
      <c r="AI181" s="56"/>
      <c r="AJ181" s="56"/>
      <c r="AK181" s="56"/>
      <c r="AO181" s="68"/>
      <c r="AP181" s="76"/>
      <c r="AQ181" s="67"/>
      <c r="AR181" s="68"/>
      <c r="AS181" s="69"/>
      <c r="AT181" s="69"/>
      <c r="AU181" s="69"/>
      <c r="AV181" s="69"/>
      <c r="AW181" s="69"/>
      <c r="AX181" s="68"/>
      <c r="AY181" s="69"/>
      <c r="AZ181" s="67"/>
      <c r="BA181" s="69"/>
      <c r="BB181" s="76"/>
      <c r="BC181" s="67"/>
      <c r="BD181" s="68"/>
      <c r="BE181" s="69"/>
      <c r="BF181" s="69"/>
      <c r="BG181" s="69"/>
      <c r="BH181" s="69"/>
      <c r="BI181" s="69"/>
      <c r="BJ181" s="68"/>
      <c r="BK181" s="69"/>
      <c r="BL181" s="67"/>
      <c r="BM181" s="67"/>
      <c r="BN181" s="56"/>
      <c r="BO181" s="56"/>
      <c r="BT181" s="63"/>
      <c r="BW181" s="56"/>
      <c r="BX181" s="56"/>
      <c r="BY181" s="56"/>
      <c r="BZ181" s="56"/>
      <c r="CA181" s="56"/>
      <c r="CF181" s="63"/>
      <c r="CI181" s="56"/>
      <c r="CJ181" s="56"/>
      <c r="CK181" s="56"/>
      <c r="CL181" s="56"/>
      <c r="CM181" s="56"/>
    </row>
    <row r="182" spans="18:93" ht="39.950000000000003" customHeight="1">
      <c r="R182" s="63"/>
      <c r="V182" s="170"/>
      <c r="W182" s="56"/>
      <c r="X182" s="56"/>
      <c r="Y182" s="56"/>
      <c r="AD182" s="63"/>
      <c r="AG182" s="56"/>
      <c r="AH182" s="56"/>
      <c r="AI182" s="56"/>
      <c r="AJ182" s="56"/>
      <c r="AK182" s="56"/>
      <c r="AO182" s="68"/>
      <c r="AP182" s="76"/>
      <c r="AQ182" s="67"/>
      <c r="AR182" s="68"/>
      <c r="AS182" s="69"/>
      <c r="AT182" s="69"/>
      <c r="AU182" s="69"/>
      <c r="AV182" s="69"/>
      <c r="AW182" s="69"/>
      <c r="AX182" s="68"/>
      <c r="AY182" s="69"/>
      <c r="AZ182" s="67"/>
      <c r="BA182" s="69"/>
      <c r="BB182" s="76"/>
      <c r="BC182" s="67"/>
      <c r="BD182" s="68"/>
      <c r="BE182" s="69"/>
      <c r="BF182" s="69"/>
      <c r="BG182" s="69"/>
      <c r="BH182" s="69"/>
      <c r="BI182" s="69"/>
      <c r="BJ182" s="68"/>
      <c r="BK182" s="69"/>
      <c r="BL182" s="67"/>
      <c r="BM182" s="67"/>
      <c r="BN182" s="56"/>
      <c r="BO182" s="56"/>
      <c r="BT182" s="63"/>
      <c r="BW182" s="56"/>
      <c r="BX182" s="56"/>
      <c r="BY182" s="56"/>
      <c r="BZ182" s="56"/>
      <c r="CA182" s="56"/>
      <c r="CF182" s="63"/>
      <c r="CI182" s="56"/>
      <c r="CJ182" s="56"/>
      <c r="CK182" s="56"/>
      <c r="CL182" s="56"/>
      <c r="CM182" s="56"/>
    </row>
    <row r="183" spans="18:93" ht="39.950000000000003" customHeight="1">
      <c r="R183" s="63"/>
      <c r="V183" s="170"/>
      <c r="W183" s="56"/>
      <c r="X183" s="56"/>
      <c r="Y183" s="56"/>
      <c r="AD183" s="63"/>
      <c r="AG183" s="56"/>
      <c r="AH183" s="56"/>
      <c r="AI183" s="56"/>
      <c r="AJ183" s="56"/>
      <c r="AK183" s="56"/>
      <c r="AO183" s="68"/>
      <c r="AP183" s="76"/>
      <c r="AQ183" s="67"/>
      <c r="AR183" s="68"/>
      <c r="AS183" s="69"/>
      <c r="AT183" s="69"/>
      <c r="AU183" s="69"/>
      <c r="AV183" s="69"/>
      <c r="AW183" s="69"/>
      <c r="AX183" s="68"/>
      <c r="AY183" s="69"/>
      <c r="AZ183" s="67"/>
      <c r="BA183" s="69"/>
      <c r="BB183" s="76"/>
      <c r="BC183" s="67"/>
      <c r="BD183" s="68"/>
      <c r="BE183" s="69"/>
      <c r="BF183" s="69"/>
      <c r="BG183" s="69"/>
      <c r="BH183" s="69"/>
      <c r="BI183" s="69"/>
      <c r="BJ183" s="68"/>
      <c r="BK183" s="69"/>
      <c r="BL183" s="67"/>
      <c r="BM183" s="67"/>
      <c r="BN183" s="56"/>
      <c r="BO183" s="56"/>
      <c r="BT183" s="63"/>
      <c r="BW183" s="56"/>
      <c r="BX183" s="56"/>
      <c r="BY183" s="56"/>
      <c r="BZ183" s="56"/>
      <c r="CA183" s="56"/>
      <c r="CF183" s="63"/>
      <c r="CI183" s="56"/>
      <c r="CJ183" s="56"/>
      <c r="CK183" s="56"/>
      <c r="CL183" s="56"/>
      <c r="CM183" s="56"/>
    </row>
    <row r="184" spans="18:93" ht="39.950000000000003" customHeight="1">
      <c r="AO184" s="68"/>
      <c r="AP184" s="67"/>
      <c r="AQ184" s="67"/>
      <c r="AR184" s="68"/>
      <c r="AS184" s="68"/>
      <c r="AT184" s="68"/>
      <c r="AU184" s="68"/>
      <c r="AV184" s="68"/>
      <c r="AW184" s="68"/>
      <c r="AX184" s="68"/>
      <c r="AY184" s="69"/>
      <c r="AZ184" s="67"/>
      <c r="BA184" s="68"/>
      <c r="BB184" s="67"/>
      <c r="BC184" s="67"/>
      <c r="BD184" s="68"/>
      <c r="BE184" s="68"/>
      <c r="BF184" s="68"/>
      <c r="BG184" s="68"/>
      <c r="BH184" s="68"/>
      <c r="BI184" s="68"/>
      <c r="BJ184" s="68"/>
      <c r="BK184" s="69"/>
      <c r="BL184" s="67"/>
      <c r="BM184" s="67"/>
    </row>
    <row r="185" spans="18:93" ht="39.950000000000003" customHeight="1">
      <c r="R185" s="63"/>
      <c r="S185" s="64"/>
      <c r="Y185" s="531"/>
      <c r="Z185" s="531"/>
      <c r="AA185" s="531"/>
      <c r="AD185" s="63"/>
      <c r="AE185" s="64"/>
      <c r="AK185" s="531"/>
      <c r="AL185" s="531"/>
      <c r="AM185" s="531"/>
      <c r="AO185" s="68"/>
      <c r="AP185" s="76"/>
      <c r="AQ185" s="77"/>
      <c r="AR185" s="68"/>
      <c r="AS185" s="68"/>
      <c r="AT185" s="68"/>
      <c r="AU185" s="68"/>
      <c r="AV185" s="68"/>
      <c r="AW185" s="533"/>
      <c r="AX185" s="533"/>
      <c r="AY185" s="533"/>
      <c r="AZ185" s="67"/>
      <c r="BA185" s="68"/>
      <c r="BB185" s="76"/>
      <c r="BC185" s="77"/>
      <c r="BD185" s="68"/>
      <c r="BE185" s="68"/>
      <c r="BF185" s="68"/>
      <c r="BG185" s="68"/>
      <c r="BH185" s="68"/>
      <c r="BI185" s="533"/>
      <c r="BJ185" s="533"/>
      <c r="BK185" s="533"/>
      <c r="BL185" s="67"/>
      <c r="BM185" s="67"/>
      <c r="BO185" s="531"/>
      <c r="BP185" s="531"/>
      <c r="BQ185" s="531"/>
      <c r="BT185" s="63"/>
      <c r="BU185" s="64"/>
      <c r="CA185" s="531"/>
      <c r="CB185" s="531"/>
      <c r="CC185" s="531"/>
      <c r="CF185" s="63"/>
      <c r="CG185" s="64"/>
      <c r="CM185" s="531"/>
      <c r="CN185" s="531"/>
      <c r="CO185" s="531"/>
    </row>
    <row r="186" spans="18:93" ht="39.950000000000003" customHeight="1">
      <c r="R186" s="63"/>
      <c r="V186" s="170"/>
      <c r="W186" s="56"/>
      <c r="X186" s="56"/>
      <c r="Y186" s="56"/>
      <c r="AD186" s="63"/>
      <c r="AG186" s="56"/>
      <c r="AH186" s="56"/>
      <c r="AI186" s="56"/>
      <c r="AJ186" s="56"/>
      <c r="AK186" s="56"/>
      <c r="AO186" s="68"/>
      <c r="AP186" s="76"/>
      <c r="AQ186" s="67"/>
      <c r="AR186" s="68"/>
      <c r="AS186" s="69"/>
      <c r="AT186" s="69"/>
      <c r="AU186" s="69"/>
      <c r="AV186" s="69"/>
      <c r="AW186" s="69"/>
      <c r="AX186" s="68"/>
      <c r="AY186" s="69"/>
      <c r="AZ186" s="67"/>
      <c r="BA186" s="69"/>
      <c r="BB186" s="76"/>
      <c r="BC186" s="67"/>
      <c r="BD186" s="68"/>
      <c r="BE186" s="69"/>
      <c r="BF186" s="69"/>
      <c r="BG186" s="69"/>
      <c r="BH186" s="69"/>
      <c r="BI186" s="69"/>
      <c r="BJ186" s="68"/>
      <c r="BK186" s="69"/>
      <c r="BL186" s="67"/>
      <c r="BM186" s="67"/>
      <c r="BN186" s="56"/>
      <c r="BO186" s="56"/>
      <c r="BT186" s="63"/>
      <c r="BW186" s="56"/>
      <c r="BX186" s="56"/>
      <c r="BY186" s="56"/>
      <c r="BZ186" s="56"/>
      <c r="CA186" s="56"/>
      <c r="CF186" s="63"/>
      <c r="CI186" s="56"/>
      <c r="CJ186" s="56"/>
      <c r="CK186" s="56"/>
      <c r="CL186" s="56"/>
      <c r="CM186" s="56"/>
    </row>
    <row r="187" spans="18:93" ht="39.950000000000003" customHeight="1">
      <c r="R187" s="63"/>
      <c r="V187" s="170"/>
      <c r="W187" s="56"/>
      <c r="X187" s="56"/>
      <c r="Y187" s="56"/>
      <c r="AD187" s="63"/>
      <c r="AG187" s="56"/>
      <c r="AH187" s="56"/>
      <c r="AI187" s="56"/>
      <c r="AJ187" s="56"/>
      <c r="AK187" s="56"/>
      <c r="AO187" s="68"/>
      <c r="AP187" s="76"/>
      <c r="AQ187" s="67"/>
      <c r="AR187" s="68"/>
      <c r="AS187" s="69"/>
      <c r="AT187" s="69"/>
      <c r="AU187" s="69"/>
      <c r="AV187" s="69"/>
      <c r="AW187" s="69"/>
      <c r="AX187" s="68"/>
      <c r="AY187" s="69"/>
      <c r="AZ187" s="67"/>
      <c r="BA187" s="69"/>
      <c r="BB187" s="76"/>
      <c r="BC187" s="67"/>
      <c r="BD187" s="68"/>
      <c r="BE187" s="69"/>
      <c r="BF187" s="69"/>
      <c r="BG187" s="69"/>
      <c r="BH187" s="69"/>
      <c r="BI187" s="69"/>
      <c r="BJ187" s="68"/>
      <c r="BK187" s="69"/>
      <c r="BL187" s="67"/>
      <c r="BM187" s="67"/>
      <c r="BN187" s="56"/>
      <c r="BO187" s="56"/>
      <c r="BT187" s="63"/>
      <c r="BW187" s="56"/>
      <c r="BX187" s="56"/>
      <c r="BY187" s="56"/>
      <c r="BZ187" s="56"/>
      <c r="CA187" s="56"/>
      <c r="CF187" s="63"/>
      <c r="CI187" s="56"/>
      <c r="CJ187" s="56"/>
      <c r="CK187" s="56"/>
      <c r="CL187" s="56"/>
      <c r="CM187" s="56"/>
    </row>
    <row r="188" spans="18:93" ht="39.950000000000003" customHeight="1">
      <c r="R188" s="63"/>
      <c r="V188" s="170"/>
      <c r="W188" s="56"/>
      <c r="X188" s="56"/>
      <c r="Y188" s="56"/>
      <c r="AD188" s="63"/>
      <c r="AG188" s="56"/>
      <c r="AH188" s="56"/>
      <c r="AI188" s="56"/>
      <c r="AJ188" s="56"/>
      <c r="AK188" s="56"/>
      <c r="AO188" s="68"/>
      <c r="AP188" s="76"/>
      <c r="AQ188" s="67"/>
      <c r="AR188" s="68"/>
      <c r="AS188" s="69"/>
      <c r="AT188" s="69"/>
      <c r="AU188" s="69"/>
      <c r="AV188" s="69"/>
      <c r="AW188" s="69"/>
      <c r="AX188" s="68"/>
      <c r="AY188" s="69"/>
      <c r="AZ188" s="67"/>
      <c r="BA188" s="69"/>
      <c r="BB188" s="76"/>
      <c r="BC188" s="67"/>
      <c r="BD188" s="68"/>
      <c r="BE188" s="69"/>
      <c r="BF188" s="69"/>
      <c r="BG188" s="69"/>
      <c r="BH188" s="69"/>
      <c r="BI188" s="69"/>
      <c r="BJ188" s="68"/>
      <c r="BK188" s="69"/>
      <c r="BL188" s="67"/>
      <c r="BM188" s="67"/>
      <c r="BN188" s="56"/>
      <c r="BO188" s="56"/>
      <c r="BT188" s="63"/>
      <c r="BW188" s="56"/>
      <c r="BX188" s="56"/>
      <c r="BY188" s="56"/>
      <c r="BZ188" s="56"/>
      <c r="CA188" s="56"/>
      <c r="CF188" s="63"/>
      <c r="CI188" s="56"/>
      <c r="CJ188" s="56"/>
      <c r="CK188" s="56"/>
      <c r="CL188" s="56"/>
      <c r="CM188" s="56"/>
    </row>
    <row r="189" spans="18:93" ht="39.950000000000003" customHeight="1">
      <c r="R189" s="63"/>
      <c r="V189" s="170"/>
      <c r="W189" s="56"/>
      <c r="X189" s="56"/>
      <c r="Y189" s="56"/>
      <c r="AD189" s="63"/>
      <c r="AG189" s="56"/>
      <c r="AH189" s="56"/>
      <c r="AI189" s="56"/>
      <c r="AJ189" s="56"/>
      <c r="AK189" s="56"/>
      <c r="AO189" s="68"/>
      <c r="AP189" s="76"/>
      <c r="AQ189" s="67"/>
      <c r="AR189" s="68"/>
      <c r="AS189" s="69"/>
      <c r="AT189" s="69"/>
      <c r="AU189" s="69"/>
      <c r="AV189" s="69"/>
      <c r="AW189" s="69"/>
      <c r="AX189" s="68"/>
      <c r="AY189" s="69"/>
      <c r="AZ189" s="67"/>
      <c r="BA189" s="69"/>
      <c r="BB189" s="76"/>
      <c r="BC189" s="67"/>
      <c r="BD189" s="68"/>
      <c r="BE189" s="69"/>
      <c r="BF189" s="69"/>
      <c r="BG189" s="69"/>
      <c r="BH189" s="69"/>
      <c r="BI189" s="69"/>
      <c r="BJ189" s="68"/>
      <c r="BK189" s="69"/>
      <c r="BL189" s="67"/>
      <c r="BM189" s="67"/>
      <c r="BN189" s="56"/>
      <c r="BO189" s="56"/>
      <c r="BT189" s="63"/>
      <c r="BW189" s="56"/>
      <c r="BX189" s="56"/>
      <c r="BY189" s="56"/>
      <c r="BZ189" s="56"/>
      <c r="CA189" s="56"/>
      <c r="CF189" s="63"/>
      <c r="CI189" s="56"/>
      <c r="CJ189" s="56"/>
      <c r="CK189" s="56"/>
      <c r="CL189" s="56"/>
      <c r="CM189" s="56"/>
    </row>
    <row r="190" spans="18:93" ht="18" customHeight="1">
      <c r="AO190" s="68"/>
      <c r="AP190" s="67"/>
      <c r="AQ190" s="67"/>
      <c r="AR190" s="68"/>
      <c r="AS190" s="68"/>
      <c r="AT190" s="68"/>
      <c r="AU190" s="68"/>
      <c r="AV190" s="68"/>
      <c r="AW190" s="68"/>
      <c r="AX190" s="68"/>
      <c r="AY190" s="69"/>
      <c r="AZ190" s="67"/>
      <c r="BA190" s="68"/>
      <c r="BB190" s="67"/>
      <c r="BC190" s="67"/>
      <c r="BD190" s="68"/>
      <c r="BE190" s="68"/>
      <c r="BF190" s="68"/>
      <c r="BG190" s="68"/>
      <c r="BH190" s="68"/>
      <c r="BI190" s="68"/>
      <c r="BJ190" s="68"/>
      <c r="BK190" s="69"/>
      <c r="BL190" s="67"/>
      <c r="BM190" s="67"/>
    </row>
    <row r="191" spans="18:93" ht="18" customHeight="1">
      <c r="R191" s="63"/>
      <c r="S191" s="64"/>
      <c r="Y191" s="531"/>
      <c r="Z191" s="531"/>
      <c r="AA191" s="531"/>
      <c r="AD191" s="63"/>
      <c r="AE191" s="64"/>
      <c r="AK191" s="531"/>
      <c r="AL191" s="531"/>
      <c r="AM191" s="531"/>
      <c r="AO191" s="68"/>
      <c r="AP191" s="76"/>
      <c r="AQ191" s="77"/>
      <c r="AR191" s="68"/>
      <c r="AS191" s="68"/>
      <c r="AT191" s="68"/>
      <c r="AU191" s="68"/>
      <c r="AV191" s="68"/>
      <c r="AW191" s="533"/>
      <c r="AX191" s="533"/>
      <c r="AY191" s="533"/>
      <c r="AZ191" s="67"/>
      <c r="BA191" s="68"/>
      <c r="BB191" s="76"/>
      <c r="BC191" s="77"/>
      <c r="BD191" s="68"/>
      <c r="BE191" s="68"/>
      <c r="BF191" s="68"/>
      <c r="BG191" s="68"/>
      <c r="BH191" s="68"/>
      <c r="BI191" s="533"/>
      <c r="BJ191" s="533"/>
      <c r="BK191" s="533"/>
      <c r="BL191" s="67"/>
      <c r="BM191" s="67"/>
      <c r="BO191" s="531"/>
      <c r="BP191" s="531"/>
      <c r="BQ191" s="531"/>
      <c r="BT191" s="63"/>
      <c r="BU191" s="64"/>
      <c r="CA191" s="531"/>
      <c r="CB191" s="531"/>
      <c r="CC191" s="531"/>
      <c r="CF191" s="63"/>
      <c r="CG191" s="64"/>
      <c r="CM191" s="531"/>
      <c r="CN191" s="531"/>
      <c r="CO191" s="531"/>
    </row>
    <row r="192" spans="18:93" ht="18" customHeight="1">
      <c r="R192" s="63"/>
      <c r="V192" s="170"/>
      <c r="W192" s="56"/>
      <c r="X192" s="56"/>
      <c r="Y192" s="56"/>
      <c r="AD192" s="63"/>
      <c r="AG192" s="56"/>
      <c r="AH192" s="56"/>
      <c r="AI192" s="56"/>
      <c r="AJ192" s="56"/>
      <c r="AK192" s="56"/>
      <c r="AO192" s="68"/>
      <c r="AP192" s="76"/>
      <c r="AQ192" s="67"/>
      <c r="AR192" s="68"/>
      <c r="AS192" s="69"/>
      <c r="AT192" s="69"/>
      <c r="AU192" s="69"/>
      <c r="AV192" s="69"/>
      <c r="AW192" s="69"/>
      <c r="AX192" s="68"/>
      <c r="AY192" s="69"/>
      <c r="AZ192" s="67"/>
      <c r="BA192" s="69"/>
      <c r="BB192" s="76"/>
      <c r="BC192" s="67"/>
      <c r="BD192" s="68"/>
      <c r="BE192" s="69"/>
      <c r="BF192" s="69"/>
      <c r="BG192" s="69"/>
      <c r="BH192" s="69"/>
      <c r="BI192" s="69"/>
      <c r="BJ192" s="68"/>
      <c r="BK192" s="69"/>
      <c r="BL192" s="67"/>
      <c r="BM192" s="67"/>
      <c r="BN192" s="56"/>
      <c r="BO192" s="56"/>
      <c r="BT192" s="63"/>
      <c r="BW192" s="56"/>
      <c r="BX192" s="56"/>
      <c r="BY192" s="56"/>
      <c r="BZ192" s="56"/>
      <c r="CA192" s="56"/>
      <c r="CF192" s="63"/>
      <c r="CI192" s="56"/>
      <c r="CJ192" s="56"/>
      <c r="CK192" s="56"/>
      <c r="CL192" s="56"/>
      <c r="CM192" s="56"/>
    </row>
    <row r="193" spans="18:93" ht="18" customHeight="1">
      <c r="R193" s="63"/>
      <c r="V193" s="170"/>
      <c r="W193" s="56"/>
      <c r="X193" s="56"/>
      <c r="Y193" s="56"/>
      <c r="AD193" s="63"/>
      <c r="AG193" s="56"/>
      <c r="AH193" s="56"/>
      <c r="AI193" s="56"/>
      <c r="AJ193" s="56"/>
      <c r="AK193" s="56"/>
      <c r="AO193" s="68"/>
      <c r="AP193" s="76"/>
      <c r="AQ193" s="67"/>
      <c r="AR193" s="68"/>
      <c r="AS193" s="69"/>
      <c r="AT193" s="69"/>
      <c r="AU193" s="69"/>
      <c r="AV193" s="69"/>
      <c r="AW193" s="69"/>
      <c r="AX193" s="68"/>
      <c r="AY193" s="69"/>
      <c r="AZ193" s="67"/>
      <c r="BA193" s="69"/>
      <c r="BB193" s="76"/>
      <c r="BC193" s="67"/>
      <c r="BD193" s="68"/>
      <c r="BE193" s="69"/>
      <c r="BF193" s="69"/>
      <c r="BG193" s="69"/>
      <c r="BH193" s="69"/>
      <c r="BI193" s="69"/>
      <c r="BJ193" s="68"/>
      <c r="BK193" s="69"/>
      <c r="BL193" s="67"/>
      <c r="BM193" s="67"/>
      <c r="BN193" s="56"/>
      <c r="BO193" s="56"/>
      <c r="BT193" s="63"/>
      <c r="BW193" s="56"/>
      <c r="BX193" s="56"/>
      <c r="BY193" s="56"/>
      <c r="BZ193" s="56"/>
      <c r="CA193" s="56"/>
      <c r="CF193" s="63"/>
      <c r="CI193" s="56"/>
      <c r="CJ193" s="56"/>
      <c r="CK193" s="56"/>
      <c r="CL193" s="56"/>
      <c r="CM193" s="56"/>
    </row>
    <row r="194" spans="18:93" ht="18" customHeight="1">
      <c r="R194" s="63"/>
      <c r="V194" s="170"/>
      <c r="W194" s="56"/>
      <c r="X194" s="56"/>
      <c r="Y194" s="56"/>
      <c r="AD194" s="63"/>
      <c r="AG194" s="56"/>
      <c r="AH194" s="56"/>
      <c r="AI194" s="56"/>
      <c r="AJ194" s="56"/>
      <c r="AK194" s="56"/>
      <c r="AO194" s="68"/>
      <c r="AP194" s="76"/>
      <c r="AQ194" s="67"/>
      <c r="AR194" s="68"/>
      <c r="AS194" s="69"/>
      <c r="AT194" s="69"/>
      <c r="AU194" s="69"/>
      <c r="AV194" s="69"/>
      <c r="AW194" s="69"/>
      <c r="AX194" s="68"/>
      <c r="AY194" s="69"/>
      <c r="AZ194" s="67"/>
      <c r="BA194" s="69"/>
      <c r="BB194" s="76"/>
      <c r="BC194" s="67"/>
      <c r="BD194" s="68"/>
      <c r="BE194" s="69"/>
      <c r="BF194" s="69"/>
      <c r="BG194" s="69"/>
      <c r="BH194" s="69"/>
      <c r="BI194" s="69"/>
      <c r="BJ194" s="68"/>
      <c r="BK194" s="69"/>
      <c r="BL194" s="67"/>
      <c r="BM194" s="67"/>
      <c r="BN194" s="56"/>
      <c r="BO194" s="56"/>
      <c r="BT194" s="63"/>
      <c r="BW194" s="56"/>
      <c r="BX194" s="56"/>
      <c r="BY194" s="56"/>
      <c r="BZ194" s="56"/>
      <c r="CA194" s="56"/>
      <c r="CF194" s="63"/>
      <c r="CI194" s="56"/>
      <c r="CJ194" s="56"/>
      <c r="CK194" s="56"/>
      <c r="CL194" s="56"/>
      <c r="CM194" s="56"/>
    </row>
    <row r="195" spans="18:93" ht="18" customHeight="1">
      <c r="R195" s="63"/>
      <c r="V195" s="170"/>
      <c r="W195" s="56"/>
      <c r="X195" s="56"/>
      <c r="Y195" s="56"/>
      <c r="AD195" s="63"/>
      <c r="AG195" s="56"/>
      <c r="AH195" s="56"/>
      <c r="AI195" s="56"/>
      <c r="AJ195" s="56"/>
      <c r="AK195" s="56"/>
      <c r="AO195" s="68"/>
      <c r="AP195" s="76"/>
      <c r="AQ195" s="67"/>
      <c r="AR195" s="68"/>
      <c r="AS195" s="69"/>
      <c r="AT195" s="69"/>
      <c r="AU195" s="69"/>
      <c r="AV195" s="69"/>
      <c r="AW195" s="69"/>
      <c r="AX195" s="68"/>
      <c r="AY195" s="69"/>
      <c r="AZ195" s="67"/>
      <c r="BA195" s="69"/>
      <c r="BB195" s="76"/>
      <c r="BC195" s="67"/>
      <c r="BD195" s="68"/>
      <c r="BE195" s="69"/>
      <c r="BF195" s="69"/>
      <c r="BG195" s="69"/>
      <c r="BH195" s="69"/>
      <c r="BI195" s="69"/>
      <c r="BJ195" s="68"/>
      <c r="BK195" s="69"/>
      <c r="BL195" s="67"/>
      <c r="BM195" s="67"/>
      <c r="BN195" s="56"/>
      <c r="BO195" s="56"/>
      <c r="BT195" s="63"/>
      <c r="BW195" s="56"/>
      <c r="BX195" s="56"/>
      <c r="BY195" s="56"/>
      <c r="BZ195" s="56"/>
      <c r="CA195" s="56"/>
      <c r="CF195" s="63"/>
      <c r="CI195" s="56"/>
      <c r="CJ195" s="56"/>
      <c r="CK195" s="56"/>
      <c r="CL195" s="56"/>
      <c r="CM195" s="56"/>
    </row>
    <row r="196" spans="18:93" ht="18" customHeight="1">
      <c r="AO196" s="68"/>
      <c r="AP196" s="67"/>
      <c r="AQ196" s="67"/>
      <c r="AR196" s="68"/>
      <c r="AS196" s="68"/>
      <c r="AT196" s="68"/>
      <c r="AU196" s="68"/>
      <c r="AV196" s="68"/>
      <c r="AW196" s="68"/>
      <c r="AX196" s="68"/>
      <c r="AY196" s="69"/>
      <c r="AZ196" s="67"/>
      <c r="BA196" s="68"/>
      <c r="BB196" s="67"/>
      <c r="BC196" s="67"/>
      <c r="BD196" s="68"/>
      <c r="BE196" s="68"/>
      <c r="BF196" s="68"/>
      <c r="BG196" s="68"/>
      <c r="BH196" s="68"/>
      <c r="BI196" s="68"/>
      <c r="BJ196" s="68"/>
      <c r="BK196" s="69"/>
      <c r="BL196" s="67"/>
      <c r="BM196" s="67"/>
    </row>
    <row r="197" spans="18:93" ht="18" customHeight="1">
      <c r="R197" s="63"/>
      <c r="S197" s="64"/>
      <c r="Y197" s="531"/>
      <c r="Z197" s="531"/>
      <c r="AA197" s="531"/>
      <c r="AD197" s="63"/>
      <c r="AE197" s="64"/>
      <c r="AK197" s="531"/>
      <c r="AL197" s="531"/>
      <c r="AM197" s="531"/>
      <c r="AO197" s="68"/>
      <c r="AP197" s="76"/>
      <c r="AQ197" s="77"/>
      <c r="AR197" s="68"/>
      <c r="AS197" s="68"/>
      <c r="AT197" s="68"/>
      <c r="AU197" s="68"/>
      <c r="AV197" s="68"/>
      <c r="AW197" s="533"/>
      <c r="AX197" s="533"/>
      <c r="AY197" s="533"/>
      <c r="AZ197" s="67"/>
      <c r="BA197" s="68"/>
      <c r="BB197" s="76"/>
      <c r="BC197" s="77"/>
      <c r="BD197" s="68"/>
      <c r="BE197" s="68"/>
      <c r="BF197" s="68"/>
      <c r="BG197" s="68"/>
      <c r="BH197" s="68"/>
      <c r="BI197" s="533"/>
      <c r="BJ197" s="533"/>
      <c r="BK197" s="533"/>
      <c r="BL197" s="67"/>
      <c r="BM197" s="67"/>
      <c r="BO197" s="531"/>
      <c r="BP197" s="531"/>
      <c r="BQ197" s="531"/>
      <c r="BT197" s="63"/>
      <c r="BU197" s="64"/>
      <c r="CA197" s="531"/>
      <c r="CB197" s="531"/>
      <c r="CC197" s="531"/>
      <c r="CF197" s="63"/>
      <c r="CG197" s="64"/>
      <c r="CM197" s="531"/>
      <c r="CN197" s="531"/>
      <c r="CO197" s="531"/>
    </row>
    <row r="198" spans="18:93" ht="18" customHeight="1">
      <c r="R198" s="63"/>
      <c r="V198" s="170"/>
      <c r="W198" s="56"/>
      <c r="X198" s="56"/>
      <c r="Y198" s="56"/>
      <c r="AD198" s="63"/>
      <c r="AG198" s="56"/>
      <c r="AH198" s="56"/>
      <c r="AI198" s="56"/>
      <c r="AJ198" s="56"/>
      <c r="AK198" s="56"/>
      <c r="AO198" s="68"/>
      <c r="AP198" s="76"/>
      <c r="AQ198" s="67"/>
      <c r="AR198" s="68"/>
      <c r="AS198" s="69"/>
      <c r="AT198" s="69"/>
      <c r="AU198" s="69"/>
      <c r="AV198" s="69"/>
      <c r="AW198" s="69"/>
      <c r="AX198" s="68"/>
      <c r="AY198" s="69"/>
      <c r="AZ198" s="67"/>
      <c r="BA198" s="69"/>
      <c r="BB198" s="76"/>
      <c r="BC198" s="67"/>
      <c r="BD198" s="68"/>
      <c r="BE198" s="69"/>
      <c r="BF198" s="69"/>
      <c r="BG198" s="69"/>
      <c r="BH198" s="69"/>
      <c r="BI198" s="69"/>
      <c r="BJ198" s="68"/>
      <c r="BK198" s="69"/>
      <c r="BL198" s="67"/>
      <c r="BM198" s="67"/>
      <c r="BN198" s="56"/>
      <c r="BO198" s="56"/>
      <c r="BT198" s="63"/>
      <c r="BW198" s="56"/>
      <c r="BX198" s="56"/>
      <c r="BY198" s="56"/>
      <c r="BZ198" s="56"/>
      <c r="CA198" s="56"/>
      <c r="CF198" s="63"/>
      <c r="CI198" s="56"/>
      <c r="CJ198" s="56"/>
      <c r="CK198" s="56"/>
      <c r="CL198" s="56"/>
      <c r="CM198" s="56"/>
    </row>
    <row r="199" spans="18:93" ht="18" customHeight="1">
      <c r="R199" s="63"/>
      <c r="V199" s="170"/>
      <c r="W199" s="56"/>
      <c r="X199" s="56"/>
      <c r="Y199" s="56"/>
      <c r="AD199" s="63"/>
      <c r="AG199" s="56"/>
      <c r="AH199" s="56"/>
      <c r="AI199" s="56"/>
      <c r="AJ199" s="56"/>
      <c r="AK199" s="56"/>
      <c r="AO199" s="68"/>
      <c r="AP199" s="76"/>
      <c r="AQ199" s="67"/>
      <c r="AR199" s="68"/>
      <c r="AS199" s="69"/>
      <c r="AT199" s="69"/>
      <c r="AU199" s="69"/>
      <c r="AV199" s="69"/>
      <c r="AW199" s="69"/>
      <c r="AX199" s="68"/>
      <c r="AY199" s="69"/>
      <c r="AZ199" s="67"/>
      <c r="BA199" s="69"/>
      <c r="BB199" s="76"/>
      <c r="BC199" s="67"/>
      <c r="BD199" s="68"/>
      <c r="BE199" s="69"/>
      <c r="BF199" s="69"/>
      <c r="BG199" s="69"/>
      <c r="BH199" s="69"/>
      <c r="BI199" s="69"/>
      <c r="BJ199" s="68"/>
      <c r="BK199" s="69"/>
      <c r="BL199" s="67"/>
      <c r="BM199" s="67"/>
      <c r="BN199" s="56"/>
      <c r="BO199" s="56"/>
      <c r="BT199" s="63"/>
      <c r="BW199" s="56"/>
      <c r="BX199" s="56"/>
      <c r="BY199" s="56"/>
      <c r="BZ199" s="56"/>
      <c r="CA199" s="56"/>
      <c r="CF199" s="63"/>
      <c r="CI199" s="56"/>
      <c r="CJ199" s="56"/>
      <c r="CK199" s="56"/>
      <c r="CL199" s="56"/>
      <c r="CM199" s="56"/>
    </row>
    <row r="200" spans="18:93" ht="18" customHeight="1">
      <c r="R200" s="63"/>
      <c r="V200" s="170"/>
      <c r="W200" s="56"/>
      <c r="X200" s="56"/>
      <c r="Y200" s="56"/>
      <c r="AD200" s="63"/>
      <c r="AG200" s="56"/>
      <c r="AH200" s="56"/>
      <c r="AI200" s="56"/>
      <c r="AJ200" s="56"/>
      <c r="AK200" s="56"/>
      <c r="AO200" s="68"/>
      <c r="AP200" s="76"/>
      <c r="AQ200" s="67"/>
      <c r="AR200" s="68"/>
      <c r="AS200" s="69"/>
      <c r="AT200" s="69"/>
      <c r="AU200" s="69"/>
      <c r="AV200" s="69"/>
      <c r="AW200" s="69"/>
      <c r="AX200" s="68"/>
      <c r="AY200" s="69"/>
      <c r="AZ200" s="67"/>
      <c r="BA200" s="69"/>
      <c r="BB200" s="76"/>
      <c r="BC200" s="67"/>
      <c r="BD200" s="68"/>
      <c r="BE200" s="69"/>
      <c r="BF200" s="69"/>
      <c r="BG200" s="69"/>
      <c r="BH200" s="69"/>
      <c r="BI200" s="69"/>
      <c r="BJ200" s="68"/>
      <c r="BK200" s="69"/>
      <c r="BL200" s="67"/>
      <c r="BM200" s="67"/>
      <c r="BN200" s="56"/>
      <c r="BO200" s="56"/>
      <c r="BT200" s="63"/>
      <c r="BW200" s="56"/>
      <c r="BX200" s="56"/>
      <c r="BY200" s="56"/>
      <c r="BZ200" s="56"/>
      <c r="CA200" s="56"/>
      <c r="CF200" s="63"/>
      <c r="CI200" s="56"/>
      <c r="CJ200" s="56"/>
      <c r="CK200" s="56"/>
      <c r="CL200" s="56"/>
      <c r="CM200" s="56"/>
    </row>
    <row r="201" spans="18:93" ht="18" customHeight="1">
      <c r="R201" s="63"/>
      <c r="V201" s="170"/>
      <c r="W201" s="56"/>
      <c r="X201" s="56"/>
      <c r="Y201" s="56"/>
      <c r="AD201" s="63"/>
      <c r="AG201" s="56"/>
      <c r="AH201" s="56"/>
      <c r="AI201" s="56"/>
      <c r="AJ201" s="56"/>
      <c r="AK201" s="56"/>
      <c r="AO201" s="68"/>
      <c r="AP201" s="76"/>
      <c r="AQ201" s="67"/>
      <c r="AR201" s="68"/>
      <c r="AS201" s="69"/>
      <c r="AT201" s="69"/>
      <c r="AU201" s="69"/>
      <c r="AV201" s="69"/>
      <c r="AW201" s="69"/>
      <c r="AX201" s="68"/>
      <c r="AY201" s="69"/>
      <c r="AZ201" s="67"/>
      <c r="BA201" s="69"/>
      <c r="BB201" s="76"/>
      <c r="BC201" s="67"/>
      <c r="BD201" s="68"/>
      <c r="BE201" s="69"/>
      <c r="BF201" s="69"/>
      <c r="BG201" s="69"/>
      <c r="BH201" s="69"/>
      <c r="BI201" s="69"/>
      <c r="BJ201" s="68"/>
      <c r="BK201" s="69"/>
      <c r="BL201" s="67"/>
      <c r="BM201" s="67"/>
      <c r="BN201" s="56"/>
      <c r="BO201" s="56"/>
      <c r="BT201" s="63"/>
      <c r="BW201" s="56"/>
      <c r="BX201" s="56"/>
      <c r="BY201" s="56"/>
      <c r="BZ201" s="56"/>
      <c r="CA201" s="56"/>
      <c r="CF201" s="63"/>
      <c r="CI201" s="56"/>
      <c r="CJ201" s="56"/>
      <c r="CK201" s="56"/>
      <c r="CL201" s="56"/>
      <c r="CM201" s="56"/>
    </row>
    <row r="202" spans="18:93" ht="18" customHeight="1">
      <c r="AO202" s="68"/>
      <c r="AP202" s="67"/>
      <c r="AQ202" s="67"/>
      <c r="AR202" s="68"/>
      <c r="AS202" s="68"/>
      <c r="AT202" s="68"/>
      <c r="AU202" s="68"/>
      <c r="AV202" s="68"/>
      <c r="AW202" s="68"/>
      <c r="AX202" s="68"/>
      <c r="AY202" s="69"/>
      <c r="AZ202" s="67"/>
      <c r="BA202" s="68"/>
      <c r="BB202" s="67"/>
      <c r="BC202" s="67"/>
      <c r="BD202" s="68"/>
      <c r="BE202" s="68"/>
      <c r="BF202" s="68"/>
      <c r="BG202" s="68"/>
      <c r="BH202" s="68"/>
      <c r="BI202" s="68"/>
      <c r="BJ202" s="68"/>
      <c r="BK202" s="69"/>
      <c r="BL202" s="67"/>
      <c r="BM202" s="67"/>
    </row>
    <row r="203" spans="18:93" ht="18" customHeight="1">
      <c r="R203" s="63"/>
      <c r="S203" s="64"/>
      <c r="Y203" s="531"/>
      <c r="Z203" s="531"/>
      <c r="AA203" s="531"/>
      <c r="AD203" s="63"/>
      <c r="AE203" s="64"/>
      <c r="AK203" s="531"/>
      <c r="AL203" s="531"/>
      <c r="AM203" s="531"/>
      <c r="AO203" s="68"/>
      <c r="AP203" s="76"/>
      <c r="AQ203" s="77"/>
      <c r="AR203" s="68"/>
      <c r="AS203" s="68"/>
      <c r="AT203" s="68"/>
      <c r="AU203" s="68"/>
      <c r="AV203" s="68"/>
      <c r="AW203" s="533"/>
      <c r="AX203" s="533"/>
      <c r="AY203" s="533"/>
      <c r="AZ203" s="67"/>
      <c r="BA203" s="68"/>
      <c r="BB203" s="76"/>
      <c r="BC203" s="77"/>
      <c r="BD203" s="68"/>
      <c r="BE203" s="68"/>
      <c r="BF203" s="68"/>
      <c r="BG203" s="68"/>
      <c r="BH203" s="68"/>
      <c r="BI203" s="533"/>
      <c r="BJ203" s="533"/>
      <c r="BK203" s="533"/>
      <c r="BL203" s="67"/>
      <c r="BM203" s="67"/>
      <c r="BO203" s="531"/>
      <c r="BP203" s="531"/>
      <c r="BQ203" s="531"/>
      <c r="BT203" s="63"/>
      <c r="BU203" s="64"/>
      <c r="CA203" s="531"/>
      <c r="CB203" s="531"/>
      <c r="CC203" s="531"/>
      <c r="CF203" s="63"/>
      <c r="CG203" s="64"/>
      <c r="CM203" s="531"/>
      <c r="CN203" s="531"/>
      <c r="CO203" s="531"/>
    </row>
    <row r="204" spans="18:93" ht="18" customHeight="1">
      <c r="R204" s="63"/>
      <c r="V204" s="170"/>
      <c r="W204" s="56"/>
      <c r="X204" s="56"/>
      <c r="Y204" s="56"/>
      <c r="AD204" s="63"/>
      <c r="AG204" s="56"/>
      <c r="AH204" s="56"/>
      <c r="AI204" s="56"/>
      <c r="AJ204" s="56"/>
      <c r="AK204" s="56"/>
      <c r="AO204" s="68"/>
      <c r="AP204" s="76"/>
      <c r="AQ204" s="67"/>
      <c r="AR204" s="68"/>
      <c r="AS204" s="69"/>
      <c r="AT204" s="69"/>
      <c r="AU204" s="69"/>
      <c r="AV204" s="69"/>
      <c r="AW204" s="69"/>
      <c r="AX204" s="68"/>
      <c r="AY204" s="69"/>
      <c r="AZ204" s="67"/>
      <c r="BA204" s="69"/>
      <c r="BB204" s="76"/>
      <c r="BC204" s="67"/>
      <c r="BD204" s="68"/>
      <c r="BE204" s="69"/>
      <c r="BF204" s="69"/>
      <c r="BG204" s="69"/>
      <c r="BH204" s="69"/>
      <c r="BI204" s="69"/>
      <c r="BJ204" s="68"/>
      <c r="BK204" s="69"/>
      <c r="BL204" s="67"/>
      <c r="BM204" s="67"/>
      <c r="BN204" s="56"/>
      <c r="BO204" s="56"/>
      <c r="BT204" s="63"/>
      <c r="BW204" s="56"/>
      <c r="BX204" s="56"/>
      <c r="BY204" s="56"/>
      <c r="BZ204" s="56"/>
      <c r="CA204" s="56"/>
      <c r="CF204" s="63"/>
      <c r="CI204" s="56"/>
      <c r="CJ204" s="56"/>
      <c r="CK204" s="56"/>
      <c r="CL204" s="56"/>
      <c r="CM204" s="56"/>
    </row>
    <row r="205" spans="18:93" ht="18" customHeight="1">
      <c r="R205" s="63"/>
      <c r="V205" s="170"/>
      <c r="W205" s="56"/>
      <c r="X205" s="56"/>
      <c r="Y205" s="56"/>
      <c r="AD205" s="63"/>
      <c r="AG205" s="56"/>
      <c r="AH205" s="56"/>
      <c r="AI205" s="56"/>
      <c r="AJ205" s="56"/>
      <c r="AK205" s="56"/>
      <c r="AO205" s="68"/>
      <c r="AP205" s="76"/>
      <c r="AQ205" s="67"/>
      <c r="AR205" s="68"/>
      <c r="AS205" s="69"/>
      <c r="AT205" s="69"/>
      <c r="AU205" s="69"/>
      <c r="AV205" s="69"/>
      <c r="AW205" s="69"/>
      <c r="AX205" s="68"/>
      <c r="AY205" s="69"/>
      <c r="AZ205" s="67"/>
      <c r="BA205" s="69"/>
      <c r="BB205" s="76"/>
      <c r="BC205" s="67"/>
      <c r="BD205" s="68"/>
      <c r="BE205" s="69"/>
      <c r="BF205" s="69"/>
      <c r="BG205" s="69"/>
      <c r="BH205" s="69"/>
      <c r="BI205" s="69"/>
      <c r="BJ205" s="68"/>
      <c r="BK205" s="69"/>
      <c r="BL205" s="67"/>
      <c r="BM205" s="67"/>
      <c r="BN205" s="56"/>
      <c r="BO205" s="56"/>
      <c r="BT205" s="63"/>
      <c r="BW205" s="56"/>
      <c r="BX205" s="56"/>
      <c r="BY205" s="56"/>
      <c r="BZ205" s="56"/>
      <c r="CA205" s="56"/>
      <c r="CF205" s="63"/>
      <c r="CI205" s="56"/>
      <c r="CJ205" s="56"/>
      <c r="CK205" s="56"/>
      <c r="CL205" s="56"/>
      <c r="CM205" s="56"/>
    </row>
    <row r="206" spans="18:93" ht="18" customHeight="1">
      <c r="R206" s="63"/>
      <c r="V206" s="170"/>
      <c r="W206" s="56"/>
      <c r="X206" s="56"/>
      <c r="Y206" s="56"/>
      <c r="AD206" s="63"/>
      <c r="AG206" s="56"/>
      <c r="AH206" s="56"/>
      <c r="AI206" s="56"/>
      <c r="AJ206" s="56"/>
      <c r="AK206" s="56"/>
      <c r="AO206" s="68"/>
      <c r="AP206" s="76"/>
      <c r="AQ206" s="67"/>
      <c r="AR206" s="68"/>
      <c r="AS206" s="69"/>
      <c r="AT206" s="69"/>
      <c r="AU206" s="69"/>
      <c r="AV206" s="69"/>
      <c r="AW206" s="69"/>
      <c r="AX206" s="68"/>
      <c r="AY206" s="69"/>
      <c r="AZ206" s="67"/>
      <c r="BA206" s="69"/>
      <c r="BB206" s="76"/>
      <c r="BC206" s="67"/>
      <c r="BD206" s="68"/>
      <c r="BE206" s="69"/>
      <c r="BF206" s="69"/>
      <c r="BG206" s="69"/>
      <c r="BH206" s="69"/>
      <c r="BI206" s="69"/>
      <c r="BJ206" s="68"/>
      <c r="BK206" s="69"/>
      <c r="BL206" s="67"/>
      <c r="BM206" s="67"/>
      <c r="BN206" s="56"/>
      <c r="BO206" s="56"/>
      <c r="BT206" s="63"/>
      <c r="BW206" s="56"/>
      <c r="BX206" s="56"/>
      <c r="BY206" s="56"/>
      <c r="BZ206" s="56"/>
      <c r="CA206" s="56"/>
      <c r="CF206" s="63"/>
      <c r="CI206" s="56"/>
      <c r="CJ206" s="56"/>
      <c r="CK206" s="56"/>
      <c r="CL206" s="56"/>
      <c r="CM206" s="56"/>
    </row>
    <row r="207" spans="18:93" ht="18" customHeight="1">
      <c r="R207" s="63"/>
      <c r="V207" s="170"/>
      <c r="W207" s="56"/>
      <c r="X207" s="56"/>
      <c r="Y207" s="56"/>
      <c r="AD207" s="63"/>
      <c r="AG207" s="56"/>
      <c r="AH207" s="56"/>
      <c r="AI207" s="56"/>
      <c r="AJ207" s="56"/>
      <c r="AK207" s="56"/>
      <c r="AO207" s="68"/>
      <c r="AP207" s="76"/>
      <c r="AQ207" s="67"/>
      <c r="AR207" s="68"/>
      <c r="AS207" s="69"/>
      <c r="AT207" s="69"/>
      <c r="AU207" s="69"/>
      <c r="AV207" s="69"/>
      <c r="AW207" s="69"/>
      <c r="AX207" s="68"/>
      <c r="AY207" s="69"/>
      <c r="AZ207" s="67"/>
      <c r="BA207" s="69"/>
      <c r="BB207" s="76"/>
      <c r="BC207" s="67"/>
      <c r="BD207" s="68"/>
      <c r="BE207" s="69"/>
      <c r="BF207" s="69"/>
      <c r="BG207" s="69"/>
      <c r="BH207" s="69"/>
      <c r="BI207" s="69"/>
      <c r="BJ207" s="68"/>
      <c r="BK207" s="69"/>
      <c r="BL207" s="67"/>
      <c r="BM207" s="67"/>
      <c r="BN207" s="56"/>
      <c r="BO207" s="56"/>
      <c r="BT207" s="63"/>
      <c r="BW207" s="56"/>
      <c r="BX207" s="56"/>
      <c r="BY207" s="56"/>
      <c r="BZ207" s="56"/>
      <c r="CA207" s="56"/>
      <c r="CF207" s="63"/>
      <c r="CI207" s="56"/>
      <c r="CJ207" s="56"/>
      <c r="CK207" s="56"/>
      <c r="CL207" s="56"/>
      <c r="CM207" s="56"/>
    </row>
    <row r="208" spans="18:93" ht="18" customHeight="1">
      <c r="AO208" s="68"/>
      <c r="AP208" s="67"/>
      <c r="AQ208" s="67"/>
      <c r="AR208" s="68"/>
      <c r="AS208" s="68"/>
      <c r="AT208" s="68"/>
      <c r="AU208" s="68"/>
      <c r="AV208" s="68"/>
      <c r="AW208" s="68"/>
      <c r="AX208" s="68"/>
      <c r="AY208" s="69"/>
      <c r="AZ208" s="67"/>
      <c r="BA208" s="68"/>
      <c r="BB208" s="67"/>
      <c r="BC208" s="67"/>
      <c r="BD208" s="68"/>
      <c r="BE208" s="68"/>
      <c r="BF208" s="68"/>
      <c r="BG208" s="68"/>
      <c r="BH208" s="68"/>
      <c r="BI208" s="68"/>
      <c r="BJ208" s="68"/>
      <c r="BK208" s="69"/>
      <c r="BL208" s="67"/>
      <c r="BM208" s="67"/>
    </row>
    <row r="209" spans="18:93" ht="18" customHeight="1">
      <c r="R209" s="63"/>
      <c r="S209" s="64"/>
      <c r="Y209" s="531"/>
      <c r="Z209" s="531"/>
      <c r="AA209" s="531"/>
      <c r="AD209" s="63"/>
      <c r="AE209" s="64"/>
      <c r="AK209" s="531"/>
      <c r="AL209" s="531"/>
      <c r="AM209" s="531"/>
      <c r="AO209" s="68"/>
      <c r="AP209" s="76"/>
      <c r="AQ209" s="77"/>
      <c r="AR209" s="68"/>
      <c r="AS209" s="68"/>
      <c r="AT209" s="68"/>
      <c r="AU209" s="68"/>
      <c r="AV209" s="68"/>
      <c r="AW209" s="533"/>
      <c r="AX209" s="533"/>
      <c r="AY209" s="533"/>
      <c r="AZ209" s="67"/>
      <c r="BA209" s="68"/>
      <c r="BB209" s="76"/>
      <c r="BC209" s="77"/>
      <c r="BD209" s="68"/>
      <c r="BE209" s="68"/>
      <c r="BF209" s="68"/>
      <c r="BG209" s="68"/>
      <c r="BH209" s="68"/>
      <c r="BI209" s="533"/>
      <c r="BJ209" s="533"/>
      <c r="BK209" s="533"/>
      <c r="BL209" s="67"/>
      <c r="BM209" s="67"/>
      <c r="BO209" s="531"/>
      <c r="BP209" s="531"/>
      <c r="BQ209" s="531"/>
      <c r="BT209" s="63"/>
      <c r="BU209" s="64"/>
      <c r="CA209" s="531"/>
      <c r="CB209" s="531"/>
      <c r="CC209" s="531"/>
      <c r="CF209" s="63"/>
      <c r="CG209" s="64"/>
      <c r="CM209" s="531"/>
      <c r="CN209" s="531"/>
      <c r="CO209" s="531"/>
    </row>
    <row r="210" spans="18:93" ht="18" customHeight="1">
      <c r="R210" s="63"/>
      <c r="V210" s="170"/>
      <c r="W210" s="56"/>
      <c r="X210" s="56"/>
      <c r="Y210" s="56"/>
      <c r="AD210" s="63"/>
      <c r="AG210" s="56"/>
      <c r="AH210" s="56"/>
      <c r="AI210" s="56"/>
      <c r="AJ210" s="56"/>
      <c r="AK210" s="56"/>
      <c r="AO210" s="68"/>
      <c r="AP210" s="76"/>
      <c r="AQ210" s="67"/>
      <c r="AR210" s="68"/>
      <c r="AS210" s="69"/>
      <c r="AT210" s="69"/>
      <c r="AU210" s="69"/>
      <c r="AV210" s="69"/>
      <c r="AW210" s="69"/>
      <c r="AX210" s="68"/>
      <c r="AY210" s="69"/>
      <c r="AZ210" s="67"/>
      <c r="BA210" s="69"/>
      <c r="BB210" s="76"/>
      <c r="BC210" s="67"/>
      <c r="BD210" s="68"/>
      <c r="BE210" s="69"/>
      <c r="BF210" s="69"/>
      <c r="BG210" s="69"/>
      <c r="BH210" s="69"/>
      <c r="BI210" s="69"/>
      <c r="BJ210" s="68"/>
      <c r="BK210" s="69"/>
      <c r="BL210" s="67"/>
      <c r="BM210" s="67"/>
      <c r="BN210" s="56"/>
      <c r="BO210" s="56"/>
      <c r="BT210" s="63"/>
      <c r="BW210" s="56"/>
      <c r="BX210" s="56"/>
      <c r="BY210" s="56"/>
      <c r="BZ210" s="56"/>
      <c r="CA210" s="56"/>
      <c r="CF210" s="63"/>
      <c r="CI210" s="56"/>
      <c r="CJ210" s="56"/>
      <c r="CK210" s="56"/>
      <c r="CL210" s="56"/>
      <c r="CM210" s="56"/>
    </row>
    <row r="211" spans="18:93" ht="18" customHeight="1">
      <c r="R211" s="63"/>
      <c r="V211" s="170"/>
      <c r="W211" s="56"/>
      <c r="X211" s="56"/>
      <c r="Y211" s="56"/>
      <c r="AD211" s="63"/>
      <c r="AG211" s="56"/>
      <c r="AH211" s="56"/>
      <c r="AI211" s="56"/>
      <c r="AJ211" s="56"/>
      <c r="AK211" s="56"/>
      <c r="AO211" s="68"/>
      <c r="AP211" s="76"/>
      <c r="AQ211" s="67"/>
      <c r="AR211" s="68"/>
      <c r="AS211" s="69"/>
      <c r="AT211" s="69"/>
      <c r="AU211" s="69"/>
      <c r="AV211" s="69"/>
      <c r="AW211" s="69"/>
      <c r="AX211" s="68"/>
      <c r="AY211" s="69"/>
      <c r="AZ211" s="67"/>
      <c r="BA211" s="69"/>
      <c r="BB211" s="76"/>
      <c r="BC211" s="67"/>
      <c r="BD211" s="68"/>
      <c r="BE211" s="69"/>
      <c r="BF211" s="69"/>
      <c r="BG211" s="69"/>
      <c r="BH211" s="69"/>
      <c r="BI211" s="69"/>
      <c r="BJ211" s="68"/>
      <c r="BK211" s="69"/>
      <c r="BL211" s="67"/>
      <c r="BM211" s="67"/>
      <c r="BN211" s="56"/>
      <c r="BO211" s="56"/>
      <c r="BT211" s="63"/>
      <c r="BW211" s="56"/>
      <c r="BX211" s="56"/>
      <c r="BY211" s="56"/>
      <c r="BZ211" s="56"/>
      <c r="CA211" s="56"/>
      <c r="CF211" s="63"/>
      <c r="CI211" s="56"/>
      <c r="CJ211" s="56"/>
      <c r="CK211" s="56"/>
      <c r="CL211" s="56"/>
      <c r="CM211" s="56"/>
    </row>
    <row r="212" spans="18:93" ht="18" customHeight="1">
      <c r="R212" s="63"/>
      <c r="V212" s="170"/>
      <c r="W212" s="56"/>
      <c r="X212" s="56"/>
      <c r="Y212" s="56"/>
      <c r="AD212" s="63"/>
      <c r="AG212" s="56"/>
      <c r="AH212" s="56"/>
      <c r="AI212" s="56"/>
      <c r="AJ212" s="56"/>
      <c r="AK212" s="56"/>
      <c r="AO212" s="68"/>
      <c r="AP212" s="76"/>
      <c r="AQ212" s="67"/>
      <c r="AR212" s="68"/>
      <c r="AS212" s="69"/>
      <c r="AT212" s="69"/>
      <c r="AU212" s="69"/>
      <c r="AV212" s="69"/>
      <c r="AW212" s="69"/>
      <c r="AX212" s="68"/>
      <c r="AY212" s="69"/>
      <c r="AZ212" s="67"/>
      <c r="BA212" s="69"/>
      <c r="BB212" s="76"/>
      <c r="BC212" s="67"/>
      <c r="BD212" s="68"/>
      <c r="BE212" s="69"/>
      <c r="BF212" s="69"/>
      <c r="BG212" s="69"/>
      <c r="BH212" s="69"/>
      <c r="BI212" s="69"/>
      <c r="BJ212" s="68"/>
      <c r="BK212" s="69"/>
      <c r="BL212" s="67"/>
      <c r="BM212" s="67"/>
      <c r="BN212" s="56"/>
      <c r="BO212" s="56"/>
      <c r="BT212" s="63"/>
      <c r="BW212" s="56"/>
      <c r="BX212" s="56"/>
      <c r="BY212" s="56"/>
      <c r="BZ212" s="56"/>
      <c r="CA212" s="56"/>
      <c r="CF212" s="63"/>
      <c r="CI212" s="56"/>
      <c r="CJ212" s="56"/>
      <c r="CK212" s="56"/>
      <c r="CL212" s="56"/>
      <c r="CM212" s="56"/>
    </row>
    <row r="213" spans="18:93" ht="18" customHeight="1">
      <c r="R213" s="63"/>
      <c r="V213" s="170"/>
      <c r="W213" s="56"/>
      <c r="X213" s="56"/>
      <c r="Y213" s="56"/>
      <c r="AD213" s="63"/>
      <c r="AG213" s="56"/>
      <c r="AH213" s="56"/>
      <c r="AI213" s="56"/>
      <c r="AJ213" s="56"/>
      <c r="AK213" s="56"/>
      <c r="AO213" s="68"/>
      <c r="AP213" s="76"/>
      <c r="AQ213" s="67"/>
      <c r="AR213" s="68"/>
      <c r="AS213" s="69"/>
      <c r="AT213" s="69"/>
      <c r="AU213" s="69"/>
      <c r="AV213" s="69"/>
      <c r="AW213" s="69"/>
      <c r="AX213" s="68"/>
      <c r="AY213" s="69"/>
      <c r="AZ213" s="67"/>
      <c r="BA213" s="69"/>
      <c r="BB213" s="76"/>
      <c r="BC213" s="67"/>
      <c r="BD213" s="68"/>
      <c r="BE213" s="69"/>
      <c r="BF213" s="69"/>
      <c r="BG213" s="69"/>
      <c r="BH213" s="69"/>
      <c r="BI213" s="69"/>
      <c r="BJ213" s="68"/>
      <c r="BK213" s="69"/>
      <c r="BL213" s="67"/>
      <c r="BM213" s="67"/>
      <c r="BN213" s="56"/>
      <c r="BO213" s="56"/>
      <c r="BT213" s="63"/>
      <c r="BW213" s="56"/>
      <c r="BX213" s="56"/>
      <c r="BY213" s="56"/>
      <c r="BZ213" s="56"/>
      <c r="CA213" s="56"/>
      <c r="CF213" s="63"/>
      <c r="CI213" s="56"/>
      <c r="CJ213" s="56"/>
      <c r="CK213" s="56"/>
      <c r="CL213" s="56"/>
      <c r="CM213" s="56"/>
    </row>
    <row r="214" spans="18:93" ht="18" customHeight="1">
      <c r="AO214" s="68"/>
      <c r="AP214" s="67"/>
      <c r="AQ214" s="67"/>
      <c r="AR214" s="68"/>
      <c r="AS214" s="68"/>
      <c r="AT214" s="68"/>
      <c r="AU214" s="68"/>
      <c r="AV214" s="68"/>
      <c r="AW214" s="68"/>
      <c r="AX214" s="68"/>
      <c r="AY214" s="69"/>
      <c r="AZ214" s="67"/>
      <c r="BA214" s="68"/>
      <c r="BB214" s="67"/>
      <c r="BC214" s="67"/>
      <c r="BD214" s="68"/>
      <c r="BE214" s="68"/>
      <c r="BF214" s="68"/>
      <c r="BG214" s="68"/>
      <c r="BH214" s="68"/>
      <c r="BI214" s="68"/>
      <c r="BJ214" s="68"/>
      <c r="BK214" s="69"/>
      <c r="BL214" s="67"/>
      <c r="BM214" s="67"/>
    </row>
    <row r="215" spans="18:93" ht="18" customHeight="1">
      <c r="R215" s="63"/>
      <c r="S215" s="64"/>
      <c r="Y215" s="531"/>
      <c r="Z215" s="531"/>
      <c r="AA215" s="531"/>
      <c r="AD215" s="63"/>
      <c r="AE215" s="64"/>
      <c r="AK215" s="531"/>
      <c r="AL215" s="531"/>
      <c r="AM215" s="531"/>
      <c r="AO215" s="68"/>
      <c r="AP215" s="76"/>
      <c r="AQ215" s="77"/>
      <c r="AR215" s="68"/>
      <c r="AS215" s="68"/>
      <c r="AT215" s="68"/>
      <c r="AU215" s="68"/>
      <c r="AV215" s="68"/>
      <c r="AW215" s="533"/>
      <c r="AX215" s="533"/>
      <c r="AY215" s="533"/>
      <c r="AZ215" s="67"/>
      <c r="BA215" s="68"/>
      <c r="BB215" s="76"/>
      <c r="BC215" s="77"/>
      <c r="BD215" s="68"/>
      <c r="BE215" s="68"/>
      <c r="BF215" s="68"/>
      <c r="BG215" s="68"/>
      <c r="BH215" s="68"/>
      <c r="BI215" s="533"/>
      <c r="BJ215" s="533"/>
      <c r="BK215" s="533"/>
      <c r="BL215" s="67"/>
      <c r="BM215" s="67"/>
      <c r="BO215" s="531"/>
      <c r="BP215" s="531"/>
      <c r="BQ215" s="531"/>
      <c r="BT215" s="63"/>
      <c r="BU215" s="64"/>
      <c r="CA215" s="531"/>
      <c r="CB215" s="531"/>
      <c r="CC215" s="531"/>
      <c r="CF215" s="63"/>
      <c r="CG215" s="64"/>
      <c r="CM215" s="531"/>
      <c r="CN215" s="531"/>
      <c r="CO215" s="531"/>
    </row>
    <row r="216" spans="18:93" ht="18" customHeight="1">
      <c r="R216" s="63"/>
      <c r="V216" s="170"/>
      <c r="W216" s="56"/>
      <c r="X216" s="56"/>
      <c r="Y216" s="56"/>
      <c r="AD216" s="63"/>
      <c r="AG216" s="56"/>
      <c r="AH216" s="56"/>
      <c r="AI216" s="56"/>
      <c r="AJ216" s="56"/>
      <c r="AK216" s="56"/>
      <c r="AO216" s="68"/>
      <c r="AP216" s="76"/>
      <c r="AQ216" s="67"/>
      <c r="AR216" s="68"/>
      <c r="AS216" s="69"/>
      <c r="AT216" s="69"/>
      <c r="AU216" s="69"/>
      <c r="AV216" s="69"/>
      <c r="AW216" s="69"/>
      <c r="AX216" s="68"/>
      <c r="AY216" s="69"/>
      <c r="AZ216" s="67"/>
      <c r="BA216" s="69"/>
      <c r="BB216" s="76"/>
      <c r="BC216" s="67"/>
      <c r="BD216" s="68"/>
      <c r="BE216" s="69"/>
      <c r="BF216" s="69"/>
      <c r="BG216" s="69"/>
      <c r="BH216" s="69"/>
      <c r="BI216" s="69"/>
      <c r="BJ216" s="68"/>
      <c r="BK216" s="69"/>
      <c r="BL216" s="67"/>
      <c r="BM216" s="67"/>
      <c r="BN216" s="56"/>
      <c r="BO216" s="56"/>
      <c r="BT216" s="63"/>
      <c r="BW216" s="56"/>
      <c r="BX216" s="56"/>
      <c r="BY216" s="56"/>
      <c r="BZ216" s="56"/>
      <c r="CA216" s="56"/>
      <c r="CF216" s="63"/>
      <c r="CI216" s="56"/>
      <c r="CJ216" s="56"/>
      <c r="CK216" s="56"/>
      <c r="CL216" s="56"/>
      <c r="CM216" s="56"/>
    </row>
    <row r="217" spans="18:93" ht="18" customHeight="1">
      <c r="R217" s="63"/>
      <c r="V217" s="170"/>
      <c r="W217" s="56"/>
      <c r="X217" s="56"/>
      <c r="Y217" s="56"/>
      <c r="AD217" s="63"/>
      <c r="AG217" s="56"/>
      <c r="AH217" s="56"/>
      <c r="AI217" s="56"/>
      <c r="AJ217" s="56"/>
      <c r="AK217" s="56"/>
      <c r="AO217" s="68"/>
      <c r="AP217" s="76"/>
      <c r="AQ217" s="67"/>
      <c r="AR217" s="68"/>
      <c r="AS217" s="69"/>
      <c r="AT217" s="69"/>
      <c r="AU217" s="69"/>
      <c r="AV217" s="69"/>
      <c r="AW217" s="69"/>
      <c r="AX217" s="68"/>
      <c r="AY217" s="69"/>
      <c r="AZ217" s="67"/>
      <c r="BA217" s="69"/>
      <c r="BB217" s="76"/>
      <c r="BC217" s="67"/>
      <c r="BD217" s="68"/>
      <c r="BE217" s="69"/>
      <c r="BF217" s="69"/>
      <c r="BG217" s="69"/>
      <c r="BH217" s="69"/>
      <c r="BI217" s="69"/>
      <c r="BJ217" s="68"/>
      <c r="BK217" s="69"/>
      <c r="BL217" s="67"/>
      <c r="BM217" s="67"/>
      <c r="BN217" s="56"/>
      <c r="BO217" s="56"/>
      <c r="BT217" s="63"/>
      <c r="BW217" s="56"/>
      <c r="BX217" s="56"/>
      <c r="BY217" s="56"/>
      <c r="BZ217" s="56"/>
      <c r="CA217" s="56"/>
      <c r="CF217" s="63"/>
      <c r="CI217" s="56"/>
      <c r="CJ217" s="56"/>
      <c r="CK217" s="56"/>
      <c r="CL217" s="56"/>
      <c r="CM217" s="56"/>
    </row>
    <row r="218" spans="18:93" ht="18" customHeight="1">
      <c r="R218" s="63"/>
      <c r="V218" s="170"/>
      <c r="W218" s="56"/>
      <c r="X218" s="56"/>
      <c r="Y218" s="56"/>
      <c r="AD218" s="63"/>
      <c r="AG218" s="56"/>
      <c r="AH218" s="56"/>
      <c r="AI218" s="56"/>
      <c r="AJ218" s="56"/>
      <c r="AK218" s="56"/>
      <c r="AO218" s="68"/>
      <c r="AP218" s="76"/>
      <c r="AQ218" s="67"/>
      <c r="AR218" s="68"/>
      <c r="AS218" s="69"/>
      <c r="AT218" s="69"/>
      <c r="AU218" s="69"/>
      <c r="AV218" s="69"/>
      <c r="AW218" s="69"/>
      <c r="AX218" s="68"/>
      <c r="AY218" s="69"/>
      <c r="AZ218" s="67"/>
      <c r="BA218" s="69"/>
      <c r="BB218" s="76"/>
      <c r="BC218" s="67"/>
      <c r="BD218" s="68"/>
      <c r="BE218" s="69"/>
      <c r="BF218" s="69"/>
      <c r="BG218" s="69"/>
      <c r="BH218" s="69"/>
      <c r="BI218" s="69"/>
      <c r="BJ218" s="68"/>
      <c r="BK218" s="69"/>
      <c r="BL218" s="67"/>
      <c r="BM218" s="67"/>
      <c r="BN218" s="56"/>
      <c r="BO218" s="56"/>
      <c r="BT218" s="63"/>
      <c r="BW218" s="56"/>
      <c r="BX218" s="56"/>
      <c r="BY218" s="56"/>
      <c r="BZ218" s="56"/>
      <c r="CA218" s="56"/>
      <c r="CF218" s="63"/>
      <c r="CI218" s="56"/>
      <c r="CJ218" s="56"/>
      <c r="CK218" s="56"/>
      <c r="CL218" s="56"/>
      <c r="CM218" s="56"/>
    </row>
    <row r="219" spans="18:93" ht="18" customHeight="1">
      <c r="R219" s="63"/>
      <c r="V219" s="170"/>
      <c r="W219" s="56"/>
      <c r="X219" s="56"/>
      <c r="Y219" s="56"/>
      <c r="AD219" s="63"/>
      <c r="AG219" s="56"/>
      <c r="AH219" s="56"/>
      <c r="AI219" s="56"/>
      <c r="AJ219" s="56"/>
      <c r="AK219" s="56"/>
      <c r="AO219" s="68"/>
      <c r="AP219" s="76"/>
      <c r="AQ219" s="67"/>
      <c r="AR219" s="68"/>
      <c r="AS219" s="69"/>
      <c r="AT219" s="69"/>
      <c r="AU219" s="69"/>
      <c r="AV219" s="69"/>
      <c r="AW219" s="69"/>
      <c r="AX219" s="68"/>
      <c r="AY219" s="69"/>
      <c r="AZ219" s="67"/>
      <c r="BA219" s="69"/>
      <c r="BB219" s="76"/>
      <c r="BC219" s="67"/>
      <c r="BD219" s="68"/>
      <c r="BE219" s="69"/>
      <c r="BF219" s="69"/>
      <c r="BG219" s="69"/>
      <c r="BH219" s="69"/>
      <c r="BI219" s="69"/>
      <c r="BJ219" s="68"/>
      <c r="BK219" s="69"/>
      <c r="BL219" s="67"/>
      <c r="BM219" s="67"/>
      <c r="BN219" s="56"/>
      <c r="BO219" s="56"/>
      <c r="BT219" s="63"/>
      <c r="BW219" s="56"/>
      <c r="BX219" s="56"/>
      <c r="BY219" s="56"/>
      <c r="BZ219" s="56"/>
      <c r="CA219" s="56"/>
      <c r="CF219" s="63"/>
      <c r="CI219" s="56"/>
      <c r="CJ219" s="56"/>
      <c r="CK219" s="56"/>
      <c r="CL219" s="56"/>
      <c r="CM219" s="56"/>
    </row>
    <row r="220" spans="18:93" ht="18" customHeight="1">
      <c r="AO220" s="68"/>
      <c r="AP220" s="67"/>
      <c r="AQ220" s="67"/>
      <c r="AR220" s="68"/>
      <c r="AS220" s="68"/>
      <c r="AT220" s="68"/>
      <c r="AU220" s="68"/>
      <c r="AV220" s="68"/>
      <c r="AW220" s="68"/>
      <c r="AX220" s="68"/>
      <c r="AY220" s="69"/>
      <c r="AZ220" s="67"/>
      <c r="BA220" s="68"/>
      <c r="BB220" s="67"/>
      <c r="BC220" s="67"/>
      <c r="BD220" s="68"/>
      <c r="BE220" s="68"/>
      <c r="BF220" s="68"/>
      <c r="BG220" s="68"/>
      <c r="BH220" s="68"/>
      <c r="BI220" s="68"/>
      <c r="BJ220" s="68"/>
      <c r="BK220" s="69"/>
      <c r="BL220" s="67"/>
      <c r="BM220" s="67"/>
    </row>
    <row r="221" spans="18:93" ht="18" customHeight="1">
      <c r="R221" s="63"/>
      <c r="S221" s="64"/>
      <c r="Y221" s="531"/>
      <c r="Z221" s="531"/>
      <c r="AA221" s="531"/>
      <c r="AD221" s="63"/>
      <c r="AE221" s="64"/>
      <c r="AK221" s="531"/>
      <c r="AL221" s="531"/>
      <c r="AM221" s="531"/>
      <c r="AO221" s="68"/>
      <c r="AP221" s="76"/>
      <c r="AQ221" s="77"/>
      <c r="AR221" s="68"/>
      <c r="AS221" s="68"/>
      <c r="AT221" s="68"/>
      <c r="AU221" s="68"/>
      <c r="AV221" s="68"/>
      <c r="AW221" s="533"/>
      <c r="AX221" s="533"/>
      <c r="AY221" s="533"/>
      <c r="AZ221" s="67"/>
      <c r="BA221" s="68"/>
      <c r="BB221" s="76"/>
      <c r="BC221" s="77"/>
      <c r="BD221" s="68"/>
      <c r="BE221" s="68"/>
      <c r="BF221" s="68"/>
      <c r="BG221" s="68"/>
      <c r="BH221" s="68"/>
      <c r="BI221" s="533"/>
      <c r="BJ221" s="533"/>
      <c r="BK221" s="533"/>
      <c r="BL221" s="67"/>
      <c r="BM221" s="67"/>
      <c r="BO221" s="531"/>
      <c r="BP221" s="531"/>
      <c r="BQ221" s="531"/>
      <c r="BT221" s="63"/>
      <c r="BU221" s="64"/>
      <c r="CA221" s="531"/>
      <c r="CB221" s="531"/>
      <c r="CC221" s="531"/>
      <c r="CF221" s="63"/>
      <c r="CG221" s="64"/>
      <c r="CM221" s="531"/>
      <c r="CN221" s="531"/>
      <c r="CO221" s="531"/>
    </row>
    <row r="222" spans="18:93" ht="18" customHeight="1">
      <c r="R222" s="63"/>
      <c r="V222" s="170"/>
      <c r="W222" s="56"/>
      <c r="X222" s="56"/>
      <c r="Y222" s="56"/>
      <c r="AD222" s="63"/>
      <c r="AG222" s="56"/>
      <c r="AH222" s="56"/>
      <c r="AI222" s="56"/>
      <c r="AJ222" s="56"/>
      <c r="AK222" s="56"/>
      <c r="AO222" s="68"/>
      <c r="AP222" s="76"/>
      <c r="AQ222" s="67"/>
      <c r="AR222" s="68"/>
      <c r="AS222" s="69"/>
      <c r="AT222" s="69"/>
      <c r="AU222" s="69"/>
      <c r="AV222" s="69"/>
      <c r="AW222" s="69"/>
      <c r="AX222" s="68"/>
      <c r="AY222" s="69"/>
      <c r="AZ222" s="67"/>
      <c r="BA222" s="69"/>
      <c r="BB222" s="76"/>
      <c r="BC222" s="67"/>
      <c r="BD222" s="68"/>
      <c r="BE222" s="69"/>
      <c r="BF222" s="69"/>
      <c r="BG222" s="69"/>
      <c r="BH222" s="69"/>
      <c r="BI222" s="69"/>
      <c r="BJ222" s="68"/>
      <c r="BK222" s="69"/>
      <c r="BL222" s="67"/>
      <c r="BM222" s="67"/>
      <c r="BN222" s="56"/>
      <c r="BO222" s="56"/>
      <c r="BT222" s="63"/>
      <c r="BW222" s="56"/>
      <c r="BX222" s="56"/>
      <c r="BY222" s="56"/>
      <c r="BZ222" s="56"/>
      <c r="CA222" s="56"/>
      <c r="CF222" s="63"/>
      <c r="CI222" s="56"/>
      <c r="CJ222" s="56"/>
      <c r="CK222" s="56"/>
      <c r="CL222" s="56"/>
      <c r="CM222" s="56"/>
    </row>
    <row r="223" spans="18:93" ht="18" customHeight="1">
      <c r="R223" s="63"/>
      <c r="V223" s="170"/>
      <c r="W223" s="56"/>
      <c r="X223" s="56"/>
      <c r="Y223" s="56"/>
      <c r="AD223" s="63"/>
      <c r="AG223" s="56"/>
      <c r="AH223" s="56"/>
      <c r="AI223" s="56"/>
      <c r="AJ223" s="56"/>
      <c r="AK223" s="56"/>
      <c r="AO223" s="68"/>
      <c r="AP223" s="76"/>
      <c r="AQ223" s="67"/>
      <c r="AR223" s="68"/>
      <c r="AS223" s="69"/>
      <c r="AT223" s="69"/>
      <c r="AU223" s="69"/>
      <c r="AV223" s="69"/>
      <c r="AW223" s="69"/>
      <c r="AX223" s="68"/>
      <c r="AY223" s="69"/>
      <c r="AZ223" s="67"/>
      <c r="BA223" s="69"/>
      <c r="BB223" s="76"/>
      <c r="BC223" s="67"/>
      <c r="BD223" s="68"/>
      <c r="BE223" s="69"/>
      <c r="BF223" s="69"/>
      <c r="BG223" s="69"/>
      <c r="BH223" s="69"/>
      <c r="BI223" s="69"/>
      <c r="BJ223" s="68"/>
      <c r="BK223" s="69"/>
      <c r="BL223" s="67"/>
      <c r="BM223" s="67"/>
      <c r="BN223" s="56"/>
      <c r="BO223" s="56"/>
      <c r="BT223" s="63"/>
      <c r="BW223" s="56"/>
      <c r="BX223" s="56"/>
      <c r="BY223" s="56"/>
      <c r="BZ223" s="56"/>
      <c r="CA223" s="56"/>
      <c r="CF223" s="63"/>
      <c r="CI223" s="56"/>
      <c r="CJ223" s="56"/>
      <c r="CK223" s="56"/>
      <c r="CL223" s="56"/>
      <c r="CM223" s="56"/>
    </row>
    <row r="224" spans="18:93" ht="18" customHeight="1">
      <c r="R224" s="63"/>
      <c r="V224" s="170"/>
      <c r="W224" s="56"/>
      <c r="X224" s="56"/>
      <c r="Y224" s="56"/>
      <c r="AD224" s="63"/>
      <c r="AG224" s="56"/>
      <c r="AH224" s="56"/>
      <c r="AI224" s="56"/>
      <c r="AJ224" s="56"/>
      <c r="AK224" s="56"/>
      <c r="AO224" s="68"/>
      <c r="AP224" s="76"/>
      <c r="AQ224" s="67"/>
      <c r="AR224" s="68"/>
      <c r="AS224" s="69"/>
      <c r="AT224" s="69"/>
      <c r="AU224" s="69"/>
      <c r="AV224" s="69"/>
      <c r="AW224" s="69"/>
      <c r="AX224" s="68"/>
      <c r="AY224" s="69"/>
      <c r="AZ224" s="67"/>
      <c r="BA224" s="69"/>
      <c r="BB224" s="76"/>
      <c r="BC224" s="67"/>
      <c r="BD224" s="68"/>
      <c r="BE224" s="69"/>
      <c r="BF224" s="69"/>
      <c r="BG224" s="69"/>
      <c r="BH224" s="69"/>
      <c r="BI224" s="69"/>
      <c r="BJ224" s="68"/>
      <c r="BK224" s="69"/>
      <c r="BL224" s="67"/>
      <c r="BM224" s="67"/>
      <c r="BN224" s="56"/>
      <c r="BO224" s="56"/>
      <c r="BT224" s="63"/>
      <c r="BW224" s="56"/>
      <c r="BX224" s="56"/>
      <c r="BY224" s="56"/>
      <c r="BZ224" s="56"/>
      <c r="CA224" s="56"/>
      <c r="CF224" s="63"/>
      <c r="CI224" s="56"/>
      <c r="CJ224" s="56"/>
      <c r="CK224" s="56"/>
      <c r="CL224" s="56"/>
      <c r="CM224" s="56"/>
    </row>
    <row r="225" spans="18:93" ht="18" customHeight="1">
      <c r="R225" s="63"/>
      <c r="V225" s="170"/>
      <c r="W225" s="56"/>
      <c r="X225" s="56"/>
      <c r="Y225" s="56"/>
      <c r="AD225" s="63"/>
      <c r="AG225" s="56"/>
      <c r="AH225" s="56"/>
      <c r="AI225" s="56"/>
      <c r="AJ225" s="56"/>
      <c r="AK225" s="56"/>
      <c r="AO225" s="68"/>
      <c r="AP225" s="76"/>
      <c r="AQ225" s="67"/>
      <c r="AR225" s="68"/>
      <c r="AS225" s="69"/>
      <c r="AT225" s="69"/>
      <c r="AU225" s="69"/>
      <c r="AV225" s="69"/>
      <c r="AW225" s="69"/>
      <c r="AX225" s="68"/>
      <c r="AY225" s="69"/>
      <c r="AZ225" s="67"/>
      <c r="BA225" s="69"/>
      <c r="BB225" s="76"/>
      <c r="BC225" s="67"/>
      <c r="BD225" s="68"/>
      <c r="BE225" s="69"/>
      <c r="BF225" s="69"/>
      <c r="BG225" s="69"/>
      <c r="BH225" s="69"/>
      <c r="BI225" s="69"/>
      <c r="BJ225" s="68"/>
      <c r="BK225" s="69"/>
      <c r="BL225" s="67"/>
      <c r="BM225" s="67"/>
      <c r="BN225" s="56"/>
      <c r="BO225" s="56"/>
      <c r="BT225" s="63"/>
      <c r="BW225" s="56"/>
      <c r="BX225" s="56"/>
      <c r="BY225" s="56"/>
      <c r="BZ225" s="56"/>
      <c r="CA225" s="56"/>
      <c r="CF225" s="63"/>
      <c r="CI225" s="56"/>
      <c r="CJ225" s="56"/>
      <c r="CK225" s="56"/>
      <c r="CL225" s="56"/>
      <c r="CM225" s="56"/>
    </row>
    <row r="226" spans="18:93" ht="18" customHeight="1">
      <c r="AO226" s="68"/>
      <c r="AP226" s="67"/>
      <c r="AQ226" s="67"/>
      <c r="AR226" s="68"/>
      <c r="AS226" s="68"/>
      <c r="AT226" s="68"/>
      <c r="AU226" s="68"/>
      <c r="AV226" s="68"/>
      <c r="AW226" s="68"/>
      <c r="AX226" s="68"/>
      <c r="AY226" s="69"/>
      <c r="AZ226" s="67"/>
      <c r="BA226" s="68"/>
      <c r="BB226" s="67"/>
      <c r="BC226" s="67"/>
      <c r="BD226" s="68"/>
      <c r="BE226" s="68"/>
      <c r="BF226" s="68"/>
      <c r="BG226" s="68"/>
      <c r="BH226" s="68"/>
      <c r="BI226" s="68"/>
      <c r="BJ226" s="68"/>
      <c r="BK226" s="69"/>
      <c r="BL226" s="67"/>
      <c r="BM226" s="67"/>
    </row>
    <row r="227" spans="18:93" ht="18" customHeight="1">
      <c r="R227" s="63"/>
      <c r="S227" s="64"/>
      <c r="Y227" s="531"/>
      <c r="Z227" s="531"/>
      <c r="AA227" s="531"/>
      <c r="AD227" s="63"/>
      <c r="AE227" s="64"/>
      <c r="AK227" s="531"/>
      <c r="AL227" s="531"/>
      <c r="AM227" s="531"/>
      <c r="AO227" s="68"/>
      <c r="AP227" s="76"/>
      <c r="AQ227" s="77"/>
      <c r="AR227" s="68"/>
      <c r="AS227" s="68"/>
      <c r="AT227" s="68"/>
      <c r="AU227" s="68"/>
      <c r="AV227" s="68"/>
      <c r="AW227" s="533"/>
      <c r="AX227" s="533"/>
      <c r="AY227" s="533"/>
      <c r="AZ227" s="67"/>
      <c r="BA227" s="68"/>
      <c r="BB227" s="76"/>
      <c r="BC227" s="77"/>
      <c r="BD227" s="68"/>
      <c r="BE227" s="68"/>
      <c r="BF227" s="68"/>
      <c r="BG227" s="68"/>
      <c r="BH227" s="68"/>
      <c r="BI227" s="533"/>
      <c r="BJ227" s="533"/>
      <c r="BK227" s="533"/>
      <c r="BL227" s="67"/>
      <c r="BM227" s="67"/>
      <c r="BO227" s="531"/>
      <c r="BP227" s="531"/>
      <c r="BQ227" s="531"/>
      <c r="BT227" s="63"/>
      <c r="BU227" s="64"/>
      <c r="CA227" s="531"/>
      <c r="CB227" s="531"/>
      <c r="CC227" s="531"/>
      <c r="CF227" s="63"/>
      <c r="CG227" s="64"/>
      <c r="CM227" s="531"/>
      <c r="CN227" s="531"/>
      <c r="CO227" s="531"/>
    </row>
    <row r="228" spans="18:93" ht="18" customHeight="1">
      <c r="R228" s="63"/>
      <c r="V228" s="170"/>
      <c r="W228" s="56"/>
      <c r="X228" s="56"/>
      <c r="Y228" s="56"/>
      <c r="AD228" s="63"/>
      <c r="AG228" s="56"/>
      <c r="AH228" s="56"/>
      <c r="AI228" s="56"/>
      <c r="AJ228" s="56"/>
      <c r="AK228" s="56"/>
      <c r="AO228" s="68"/>
      <c r="AP228" s="76"/>
      <c r="AQ228" s="67"/>
      <c r="AR228" s="68"/>
      <c r="AS228" s="69"/>
      <c r="AT228" s="69"/>
      <c r="AU228" s="69"/>
      <c r="AV228" s="69"/>
      <c r="AW228" s="69"/>
      <c r="AX228" s="68"/>
      <c r="AY228" s="69"/>
      <c r="AZ228" s="67"/>
      <c r="BA228" s="69"/>
      <c r="BB228" s="76"/>
      <c r="BC228" s="67"/>
      <c r="BD228" s="68"/>
      <c r="BE228" s="69"/>
      <c r="BF228" s="69"/>
      <c r="BG228" s="69"/>
      <c r="BH228" s="69"/>
      <c r="BI228" s="69"/>
      <c r="BJ228" s="68"/>
      <c r="BK228" s="69"/>
      <c r="BL228" s="67"/>
      <c r="BM228" s="67"/>
      <c r="BN228" s="56"/>
      <c r="BO228" s="56"/>
      <c r="BT228" s="63"/>
      <c r="BW228" s="56"/>
      <c r="BX228" s="56"/>
      <c r="BY228" s="56"/>
      <c r="BZ228" s="56"/>
      <c r="CA228" s="56"/>
      <c r="CF228" s="63"/>
      <c r="CI228" s="56"/>
      <c r="CJ228" s="56"/>
      <c r="CK228" s="56"/>
      <c r="CL228" s="56"/>
      <c r="CM228" s="56"/>
    </row>
    <row r="229" spans="18:93" ht="18" customHeight="1">
      <c r="R229" s="63"/>
      <c r="V229" s="170"/>
      <c r="W229" s="56"/>
      <c r="X229" s="56"/>
      <c r="Y229" s="56"/>
      <c r="AD229" s="63"/>
      <c r="AG229" s="56"/>
      <c r="AH229" s="56"/>
      <c r="AI229" s="56"/>
      <c r="AJ229" s="56"/>
      <c r="AK229" s="56"/>
      <c r="AO229" s="68"/>
      <c r="AP229" s="76"/>
      <c r="AQ229" s="67"/>
      <c r="AR229" s="68"/>
      <c r="AS229" s="69"/>
      <c r="AT229" s="69"/>
      <c r="AU229" s="69"/>
      <c r="AV229" s="69"/>
      <c r="AW229" s="69"/>
      <c r="AX229" s="68"/>
      <c r="AY229" s="69"/>
      <c r="AZ229" s="67"/>
      <c r="BA229" s="69"/>
      <c r="BB229" s="76"/>
      <c r="BC229" s="67"/>
      <c r="BD229" s="68"/>
      <c r="BE229" s="69"/>
      <c r="BF229" s="69"/>
      <c r="BG229" s="69"/>
      <c r="BH229" s="69"/>
      <c r="BI229" s="69"/>
      <c r="BJ229" s="68"/>
      <c r="BK229" s="69"/>
      <c r="BL229" s="67"/>
      <c r="BM229" s="67"/>
      <c r="BN229" s="56"/>
      <c r="BO229" s="56"/>
      <c r="BT229" s="63"/>
      <c r="BW229" s="56"/>
      <c r="BX229" s="56"/>
      <c r="BY229" s="56"/>
      <c r="BZ229" s="56"/>
      <c r="CA229" s="56"/>
      <c r="CF229" s="63"/>
      <c r="CI229" s="56"/>
      <c r="CJ229" s="56"/>
      <c r="CK229" s="56"/>
      <c r="CL229" s="56"/>
      <c r="CM229" s="56"/>
    </row>
    <row r="230" spans="18:93" ht="18" customHeight="1">
      <c r="R230" s="63"/>
      <c r="V230" s="170"/>
      <c r="W230" s="56"/>
      <c r="X230" s="56"/>
      <c r="Y230" s="56"/>
      <c r="AD230" s="63"/>
      <c r="AG230" s="56"/>
      <c r="AH230" s="56"/>
      <c r="AI230" s="56"/>
      <c r="AJ230" s="56"/>
      <c r="AK230" s="56"/>
      <c r="AO230" s="68"/>
      <c r="AP230" s="76"/>
      <c r="AQ230" s="67"/>
      <c r="AR230" s="68"/>
      <c r="AS230" s="69"/>
      <c r="AT230" s="69"/>
      <c r="AU230" s="69"/>
      <c r="AV230" s="69"/>
      <c r="AW230" s="69"/>
      <c r="AX230" s="68"/>
      <c r="AY230" s="69"/>
      <c r="AZ230" s="67"/>
      <c r="BA230" s="69"/>
      <c r="BB230" s="76"/>
      <c r="BC230" s="67"/>
      <c r="BD230" s="68"/>
      <c r="BE230" s="69"/>
      <c r="BF230" s="69"/>
      <c r="BG230" s="69"/>
      <c r="BH230" s="69"/>
      <c r="BI230" s="69"/>
      <c r="BJ230" s="68"/>
      <c r="BK230" s="69"/>
      <c r="BL230" s="67"/>
      <c r="BM230" s="67"/>
      <c r="BN230" s="56"/>
      <c r="BO230" s="56"/>
      <c r="BT230" s="63"/>
      <c r="BW230" s="56"/>
      <c r="BX230" s="56"/>
      <c r="BY230" s="56"/>
      <c r="BZ230" s="56"/>
      <c r="CA230" s="56"/>
      <c r="CF230" s="63"/>
      <c r="CI230" s="56"/>
      <c r="CJ230" s="56"/>
      <c r="CK230" s="56"/>
      <c r="CL230" s="56"/>
      <c r="CM230" s="56"/>
    </row>
    <row r="231" spans="18:93" ht="18" customHeight="1">
      <c r="R231" s="63"/>
      <c r="V231" s="170"/>
      <c r="W231" s="56"/>
      <c r="X231" s="56"/>
      <c r="Y231" s="56"/>
      <c r="AD231" s="63"/>
      <c r="AG231" s="56"/>
      <c r="AH231" s="56"/>
      <c r="AI231" s="56"/>
      <c r="AJ231" s="56"/>
      <c r="AK231" s="56"/>
      <c r="AO231" s="68"/>
      <c r="AP231" s="76"/>
      <c r="AQ231" s="67"/>
      <c r="AR231" s="68"/>
      <c r="AS231" s="69"/>
      <c r="AT231" s="69"/>
      <c r="AU231" s="69"/>
      <c r="AV231" s="69"/>
      <c r="AW231" s="69"/>
      <c r="AX231" s="68"/>
      <c r="AY231" s="69"/>
      <c r="AZ231" s="67"/>
      <c r="BA231" s="69"/>
      <c r="BB231" s="76"/>
      <c r="BC231" s="67"/>
      <c r="BD231" s="68"/>
      <c r="BE231" s="69"/>
      <c r="BF231" s="69"/>
      <c r="BG231" s="69"/>
      <c r="BH231" s="69"/>
      <c r="BI231" s="69"/>
      <c r="BJ231" s="68"/>
      <c r="BK231" s="69"/>
      <c r="BL231" s="67"/>
      <c r="BM231" s="67"/>
      <c r="BN231" s="56"/>
      <c r="BO231" s="56"/>
      <c r="BT231" s="63"/>
      <c r="BW231" s="56"/>
      <c r="BX231" s="56"/>
      <c r="BY231" s="56"/>
      <c r="BZ231" s="56"/>
      <c r="CA231" s="56"/>
      <c r="CF231" s="63"/>
      <c r="CI231" s="56"/>
      <c r="CJ231" s="56"/>
      <c r="CK231" s="56"/>
      <c r="CL231" s="56"/>
      <c r="CM231" s="56"/>
    </row>
    <row r="232" spans="18:93" ht="18" customHeight="1">
      <c r="AO232" s="68"/>
      <c r="AP232" s="67"/>
      <c r="AQ232" s="67"/>
      <c r="AR232" s="68"/>
      <c r="AS232" s="68"/>
      <c r="AT232" s="68"/>
      <c r="AU232" s="68"/>
      <c r="AV232" s="68"/>
      <c r="AW232" s="68"/>
      <c r="AX232" s="68"/>
      <c r="AY232" s="69"/>
      <c r="AZ232" s="67"/>
      <c r="BA232" s="68"/>
      <c r="BB232" s="67"/>
      <c r="BC232" s="67"/>
      <c r="BD232" s="68"/>
      <c r="BE232" s="68"/>
      <c r="BF232" s="68"/>
      <c r="BG232" s="68"/>
      <c r="BH232" s="68"/>
      <c r="BI232" s="68"/>
      <c r="BJ232" s="68"/>
      <c r="BK232" s="69"/>
      <c r="BL232" s="67"/>
      <c r="BM232" s="67"/>
    </row>
    <row r="233" spans="18:93" ht="18" customHeight="1">
      <c r="R233" s="63"/>
      <c r="S233" s="64"/>
      <c r="Y233" s="531"/>
      <c r="Z233" s="531"/>
      <c r="AA233" s="531"/>
      <c r="AD233" s="63"/>
      <c r="AE233" s="64"/>
      <c r="AK233" s="531"/>
      <c r="AL233" s="531"/>
      <c r="AM233" s="531"/>
      <c r="AO233" s="68"/>
      <c r="AP233" s="76"/>
      <c r="AQ233" s="77"/>
      <c r="AR233" s="68"/>
      <c r="AS233" s="68"/>
      <c r="AT233" s="68"/>
      <c r="AU233" s="68"/>
      <c r="AV233" s="68"/>
      <c r="AW233" s="533"/>
      <c r="AX233" s="533"/>
      <c r="AY233" s="533"/>
      <c r="AZ233" s="67"/>
      <c r="BA233" s="68"/>
      <c r="BB233" s="76"/>
      <c r="BC233" s="77"/>
      <c r="BD233" s="68"/>
      <c r="BE233" s="68"/>
      <c r="BF233" s="68"/>
      <c r="BG233" s="68"/>
      <c r="BH233" s="68"/>
      <c r="BI233" s="533"/>
      <c r="BJ233" s="533"/>
      <c r="BK233" s="533"/>
      <c r="BL233" s="67"/>
      <c r="BM233" s="67"/>
      <c r="BO233" s="531"/>
      <c r="BP233" s="531"/>
      <c r="BQ233" s="531"/>
      <c r="BT233" s="63"/>
      <c r="BU233" s="64"/>
      <c r="CA233" s="531"/>
      <c r="CB233" s="531"/>
      <c r="CC233" s="531"/>
      <c r="CF233" s="63"/>
      <c r="CG233" s="64"/>
      <c r="CM233" s="531"/>
      <c r="CN233" s="531"/>
      <c r="CO233" s="531"/>
    </row>
    <row r="234" spans="18:93" ht="18" customHeight="1">
      <c r="R234" s="63"/>
      <c r="V234" s="170"/>
      <c r="W234" s="56"/>
      <c r="X234" s="56"/>
      <c r="Y234" s="56"/>
      <c r="AD234" s="63"/>
      <c r="AG234" s="56"/>
      <c r="AH234" s="56"/>
      <c r="AI234" s="56"/>
      <c r="AJ234" s="56"/>
      <c r="AK234" s="56"/>
      <c r="AO234" s="68"/>
      <c r="AP234" s="76"/>
      <c r="AQ234" s="67"/>
      <c r="AR234" s="68"/>
      <c r="AS234" s="69"/>
      <c r="AT234" s="69"/>
      <c r="AU234" s="69"/>
      <c r="AV234" s="69"/>
      <c r="AW234" s="69"/>
      <c r="AX234" s="68"/>
      <c r="AY234" s="69"/>
      <c r="AZ234" s="67"/>
      <c r="BA234" s="69"/>
      <c r="BB234" s="76"/>
      <c r="BC234" s="67"/>
      <c r="BD234" s="68"/>
      <c r="BE234" s="69"/>
      <c r="BF234" s="69"/>
      <c r="BG234" s="69"/>
      <c r="BH234" s="69"/>
      <c r="BI234" s="69"/>
      <c r="BJ234" s="68"/>
      <c r="BK234" s="69"/>
      <c r="BL234" s="67"/>
      <c r="BM234" s="67"/>
      <c r="BN234" s="56"/>
      <c r="BO234" s="56"/>
      <c r="BT234" s="63"/>
      <c r="BW234" s="56"/>
      <c r="BX234" s="56"/>
      <c r="BY234" s="56"/>
      <c r="BZ234" s="56"/>
      <c r="CA234" s="56"/>
      <c r="CF234" s="63"/>
      <c r="CI234" s="56"/>
      <c r="CJ234" s="56"/>
      <c r="CK234" s="56"/>
      <c r="CL234" s="56"/>
      <c r="CM234" s="56"/>
    </row>
    <row r="235" spans="18:93" ht="18" customHeight="1">
      <c r="R235" s="63"/>
      <c r="V235" s="170"/>
      <c r="W235" s="56"/>
      <c r="X235" s="56"/>
      <c r="Y235" s="56"/>
      <c r="AD235" s="63"/>
      <c r="AG235" s="56"/>
      <c r="AH235" s="56"/>
      <c r="AI235" s="56"/>
      <c r="AJ235" s="56"/>
      <c r="AK235" s="56"/>
      <c r="AO235" s="68"/>
      <c r="AP235" s="76"/>
      <c r="AQ235" s="67"/>
      <c r="AR235" s="68"/>
      <c r="AS235" s="69"/>
      <c r="AT235" s="69"/>
      <c r="AU235" s="69"/>
      <c r="AV235" s="69"/>
      <c r="AW235" s="69"/>
      <c r="AX235" s="68"/>
      <c r="AY235" s="69"/>
      <c r="AZ235" s="67"/>
      <c r="BA235" s="69"/>
      <c r="BB235" s="76"/>
      <c r="BC235" s="67"/>
      <c r="BD235" s="68"/>
      <c r="BE235" s="69"/>
      <c r="BF235" s="69"/>
      <c r="BG235" s="69"/>
      <c r="BH235" s="69"/>
      <c r="BI235" s="69"/>
      <c r="BJ235" s="68"/>
      <c r="BK235" s="69"/>
      <c r="BL235" s="67"/>
      <c r="BM235" s="67"/>
      <c r="BN235" s="56"/>
      <c r="BO235" s="56"/>
      <c r="BT235" s="63"/>
      <c r="BW235" s="56"/>
      <c r="BX235" s="56"/>
      <c r="BY235" s="56"/>
      <c r="BZ235" s="56"/>
      <c r="CA235" s="56"/>
      <c r="CF235" s="63"/>
      <c r="CI235" s="56"/>
      <c r="CJ235" s="56"/>
      <c r="CK235" s="56"/>
      <c r="CL235" s="56"/>
      <c r="CM235" s="56"/>
    </row>
    <row r="236" spans="18:93" ht="18" customHeight="1">
      <c r="R236" s="63"/>
      <c r="V236" s="170"/>
      <c r="W236" s="56"/>
      <c r="X236" s="56"/>
      <c r="Y236" s="56"/>
      <c r="AD236" s="63"/>
      <c r="AG236" s="56"/>
      <c r="AH236" s="56"/>
      <c r="AI236" s="56"/>
      <c r="AJ236" s="56"/>
      <c r="AK236" s="56"/>
      <c r="AO236" s="68"/>
      <c r="AP236" s="76"/>
      <c r="AQ236" s="67"/>
      <c r="AR236" s="68"/>
      <c r="AS236" s="69"/>
      <c r="AT236" s="69"/>
      <c r="AU236" s="69"/>
      <c r="AV236" s="69"/>
      <c r="AW236" s="69"/>
      <c r="AX236" s="68"/>
      <c r="AY236" s="69"/>
      <c r="AZ236" s="67"/>
      <c r="BA236" s="69"/>
      <c r="BB236" s="76"/>
      <c r="BC236" s="67"/>
      <c r="BD236" s="68"/>
      <c r="BE236" s="69"/>
      <c r="BF236" s="69"/>
      <c r="BG236" s="69"/>
      <c r="BH236" s="69"/>
      <c r="BI236" s="69"/>
      <c r="BJ236" s="68"/>
      <c r="BK236" s="69"/>
      <c r="BL236" s="67"/>
      <c r="BM236" s="67"/>
      <c r="BN236" s="56"/>
      <c r="BO236" s="56"/>
      <c r="BT236" s="63"/>
      <c r="BW236" s="56"/>
      <c r="BX236" s="56"/>
      <c r="BY236" s="56"/>
      <c r="BZ236" s="56"/>
      <c r="CA236" s="56"/>
      <c r="CF236" s="63"/>
      <c r="CI236" s="56"/>
      <c r="CJ236" s="56"/>
      <c r="CK236" s="56"/>
      <c r="CL236" s="56"/>
      <c r="CM236" s="56"/>
    </row>
    <row r="237" spans="18:93" ht="18" customHeight="1">
      <c r="R237" s="63"/>
      <c r="V237" s="170"/>
      <c r="W237" s="56"/>
      <c r="X237" s="56"/>
      <c r="Y237" s="56"/>
      <c r="AD237" s="63"/>
      <c r="AG237" s="56"/>
      <c r="AH237" s="56"/>
      <c r="AI237" s="56"/>
      <c r="AJ237" s="56"/>
      <c r="AK237" s="56"/>
      <c r="AO237" s="68"/>
      <c r="AP237" s="76"/>
      <c r="AQ237" s="67"/>
      <c r="AR237" s="68"/>
      <c r="AS237" s="69"/>
      <c r="AT237" s="69"/>
      <c r="AU237" s="69"/>
      <c r="AV237" s="69"/>
      <c r="AW237" s="69"/>
      <c r="AX237" s="68"/>
      <c r="AY237" s="69"/>
      <c r="AZ237" s="67"/>
      <c r="BA237" s="69"/>
      <c r="BB237" s="76"/>
      <c r="BC237" s="67"/>
      <c r="BD237" s="68"/>
      <c r="BE237" s="69"/>
      <c r="BF237" s="69"/>
      <c r="BG237" s="69"/>
      <c r="BH237" s="69"/>
      <c r="BI237" s="69"/>
      <c r="BJ237" s="68"/>
      <c r="BK237" s="69"/>
      <c r="BL237" s="67"/>
      <c r="BM237" s="67"/>
      <c r="BN237" s="56"/>
      <c r="BO237" s="56"/>
      <c r="BT237" s="63"/>
      <c r="BW237" s="56"/>
      <c r="BX237" s="56"/>
      <c r="BY237" s="56"/>
      <c r="BZ237" s="56"/>
      <c r="CA237" s="56"/>
      <c r="CF237" s="63"/>
      <c r="CI237" s="56"/>
      <c r="CJ237" s="56"/>
      <c r="CK237" s="56"/>
      <c r="CL237" s="56"/>
      <c r="CM237" s="56"/>
    </row>
    <row r="238" spans="18:93" ht="18" customHeight="1">
      <c r="AO238" s="68"/>
      <c r="AP238" s="67"/>
      <c r="AQ238" s="67"/>
      <c r="AR238" s="68"/>
      <c r="AS238" s="68"/>
      <c r="AT238" s="68"/>
      <c r="AU238" s="68"/>
      <c r="AV238" s="68"/>
      <c r="AW238" s="68"/>
      <c r="AX238" s="68"/>
      <c r="AY238" s="69"/>
      <c r="AZ238" s="67"/>
      <c r="BA238" s="68"/>
      <c r="BB238" s="67"/>
      <c r="BC238" s="67"/>
      <c r="BD238" s="68"/>
      <c r="BE238" s="68"/>
      <c r="BF238" s="68"/>
      <c r="BG238" s="68"/>
      <c r="BH238" s="68"/>
      <c r="BI238" s="68"/>
      <c r="BJ238" s="68"/>
      <c r="BK238" s="69"/>
      <c r="BL238" s="67"/>
      <c r="BM238" s="67"/>
    </row>
    <row r="239" spans="18:93" ht="18" customHeight="1">
      <c r="R239" s="63"/>
      <c r="S239" s="64"/>
      <c r="Y239" s="531"/>
      <c r="Z239" s="531"/>
      <c r="AA239" s="531"/>
      <c r="AD239" s="63"/>
      <c r="AE239" s="64"/>
      <c r="AK239" s="531"/>
      <c r="AL239" s="531"/>
      <c r="AM239" s="531"/>
      <c r="AO239" s="68"/>
      <c r="AP239" s="76"/>
      <c r="AQ239" s="77"/>
      <c r="AR239" s="68"/>
      <c r="AS239" s="68"/>
      <c r="AT239" s="68"/>
      <c r="AU239" s="68"/>
      <c r="AV239" s="68"/>
      <c r="AW239" s="533"/>
      <c r="AX239" s="533"/>
      <c r="AY239" s="533"/>
      <c r="AZ239" s="67"/>
      <c r="BA239" s="68"/>
      <c r="BB239" s="76"/>
      <c r="BC239" s="77"/>
      <c r="BD239" s="68"/>
      <c r="BE239" s="68"/>
      <c r="BF239" s="68"/>
      <c r="BG239" s="68"/>
      <c r="BH239" s="68"/>
      <c r="BI239" s="533"/>
      <c r="BJ239" s="533"/>
      <c r="BK239" s="533"/>
      <c r="BL239" s="67"/>
      <c r="BM239" s="67"/>
      <c r="BO239" s="531"/>
      <c r="BP239" s="531"/>
      <c r="BQ239" s="531"/>
      <c r="BT239" s="63"/>
      <c r="BU239" s="64"/>
      <c r="CA239" s="531"/>
      <c r="CB239" s="531"/>
      <c r="CC239" s="531"/>
      <c r="CF239" s="63"/>
      <c r="CG239" s="64"/>
      <c r="CM239" s="531"/>
      <c r="CN239" s="531"/>
      <c r="CO239" s="531"/>
    </row>
    <row r="240" spans="18:93" ht="18" customHeight="1">
      <c r="R240" s="63"/>
      <c r="V240" s="170"/>
      <c r="W240" s="56"/>
      <c r="X240" s="56"/>
      <c r="Y240" s="56"/>
      <c r="AD240" s="63"/>
      <c r="AG240" s="56"/>
      <c r="AH240" s="56"/>
      <c r="AI240" s="56"/>
      <c r="AJ240" s="56"/>
      <c r="AK240" s="56"/>
      <c r="AO240" s="68"/>
      <c r="AP240" s="76"/>
      <c r="AQ240" s="67"/>
      <c r="AR240" s="68"/>
      <c r="AS240" s="69"/>
      <c r="AT240" s="69"/>
      <c r="AU240" s="69"/>
      <c r="AV240" s="69"/>
      <c r="AW240" s="69"/>
      <c r="AX240" s="68"/>
      <c r="AY240" s="69"/>
      <c r="AZ240" s="67"/>
      <c r="BA240" s="69"/>
      <c r="BB240" s="76"/>
      <c r="BC240" s="67"/>
      <c r="BD240" s="68"/>
      <c r="BE240" s="69"/>
      <c r="BF240" s="69"/>
      <c r="BG240" s="69"/>
      <c r="BH240" s="69"/>
      <c r="BI240" s="69"/>
      <c r="BJ240" s="68"/>
      <c r="BK240" s="69"/>
      <c r="BL240" s="67"/>
      <c r="BM240" s="67"/>
      <c r="BN240" s="56"/>
      <c r="BO240" s="56"/>
      <c r="BT240" s="63"/>
      <c r="BW240" s="56"/>
      <c r="BX240" s="56"/>
      <c r="BY240" s="56"/>
      <c r="BZ240" s="56"/>
      <c r="CA240" s="56"/>
      <c r="CF240" s="63"/>
      <c r="CI240" s="56"/>
      <c r="CJ240" s="56"/>
      <c r="CK240" s="56"/>
      <c r="CL240" s="56"/>
      <c r="CM240" s="56"/>
    </row>
    <row r="241" spans="18:93" ht="18" customHeight="1">
      <c r="R241" s="63"/>
      <c r="V241" s="170"/>
      <c r="W241" s="56"/>
      <c r="X241" s="56"/>
      <c r="Y241" s="56"/>
      <c r="AD241" s="63"/>
      <c r="AG241" s="56"/>
      <c r="AH241" s="56"/>
      <c r="AI241" s="56"/>
      <c r="AJ241" s="56"/>
      <c r="AK241" s="56"/>
      <c r="AO241" s="68"/>
      <c r="AP241" s="76"/>
      <c r="AQ241" s="67"/>
      <c r="AR241" s="68"/>
      <c r="AS241" s="69"/>
      <c r="AT241" s="69"/>
      <c r="AU241" s="69"/>
      <c r="AV241" s="69"/>
      <c r="AW241" s="69"/>
      <c r="AX241" s="68"/>
      <c r="AY241" s="69"/>
      <c r="AZ241" s="67"/>
      <c r="BA241" s="69"/>
      <c r="BB241" s="76"/>
      <c r="BC241" s="67"/>
      <c r="BD241" s="68"/>
      <c r="BE241" s="69"/>
      <c r="BF241" s="69"/>
      <c r="BG241" s="69"/>
      <c r="BH241" s="69"/>
      <c r="BI241" s="69"/>
      <c r="BJ241" s="68"/>
      <c r="BK241" s="69"/>
      <c r="BL241" s="67"/>
      <c r="BM241" s="67"/>
      <c r="BN241" s="56"/>
      <c r="BO241" s="56"/>
      <c r="BT241" s="63"/>
      <c r="BW241" s="56"/>
      <c r="BX241" s="56"/>
      <c r="BY241" s="56"/>
      <c r="BZ241" s="56"/>
      <c r="CA241" s="56"/>
      <c r="CF241" s="63"/>
      <c r="CI241" s="56"/>
      <c r="CJ241" s="56"/>
      <c r="CK241" s="56"/>
      <c r="CL241" s="56"/>
      <c r="CM241" s="56"/>
    </row>
    <row r="242" spans="18:93" ht="18" customHeight="1">
      <c r="R242" s="63"/>
      <c r="V242" s="170"/>
      <c r="W242" s="56"/>
      <c r="X242" s="56"/>
      <c r="Y242" s="56"/>
      <c r="AD242" s="63"/>
      <c r="AG242" s="56"/>
      <c r="AH242" s="56"/>
      <c r="AI242" s="56"/>
      <c r="AJ242" s="56"/>
      <c r="AK242" s="56"/>
      <c r="AO242" s="68"/>
      <c r="AP242" s="76"/>
      <c r="AQ242" s="67"/>
      <c r="AR242" s="68"/>
      <c r="AS242" s="69"/>
      <c r="AT242" s="69"/>
      <c r="AU242" s="69"/>
      <c r="AV242" s="69"/>
      <c r="AW242" s="69"/>
      <c r="AX242" s="68"/>
      <c r="AY242" s="69"/>
      <c r="AZ242" s="67"/>
      <c r="BA242" s="69"/>
      <c r="BB242" s="76"/>
      <c r="BC242" s="67"/>
      <c r="BD242" s="68"/>
      <c r="BE242" s="69"/>
      <c r="BF242" s="69"/>
      <c r="BG242" s="69"/>
      <c r="BH242" s="69"/>
      <c r="BI242" s="69"/>
      <c r="BJ242" s="68"/>
      <c r="BK242" s="69"/>
      <c r="BL242" s="67"/>
      <c r="BM242" s="67"/>
      <c r="BN242" s="56"/>
      <c r="BO242" s="56"/>
      <c r="BT242" s="63"/>
      <c r="BW242" s="56"/>
      <c r="BX242" s="56"/>
      <c r="BY242" s="56"/>
      <c r="BZ242" s="56"/>
      <c r="CA242" s="56"/>
      <c r="CF242" s="63"/>
      <c r="CI242" s="56"/>
      <c r="CJ242" s="56"/>
      <c r="CK242" s="56"/>
      <c r="CL242" s="56"/>
      <c r="CM242" s="56"/>
    </row>
    <row r="243" spans="18:93" ht="18" customHeight="1">
      <c r="R243" s="63"/>
      <c r="V243" s="170"/>
      <c r="W243" s="56"/>
      <c r="X243" s="56"/>
      <c r="Y243" s="56"/>
      <c r="AD243" s="63"/>
      <c r="AG243" s="56"/>
      <c r="AH243" s="56"/>
      <c r="AI243" s="56"/>
      <c r="AJ243" s="56"/>
      <c r="AK243" s="56"/>
      <c r="AO243" s="68"/>
      <c r="AP243" s="76"/>
      <c r="AQ243" s="67"/>
      <c r="AR243" s="68"/>
      <c r="AS243" s="69"/>
      <c r="AT243" s="69"/>
      <c r="AU243" s="69"/>
      <c r="AV243" s="69"/>
      <c r="AW243" s="69"/>
      <c r="AX243" s="68"/>
      <c r="AY243" s="69"/>
      <c r="AZ243" s="67"/>
      <c r="BA243" s="69"/>
      <c r="BB243" s="76"/>
      <c r="BC243" s="67"/>
      <c r="BD243" s="68"/>
      <c r="BE243" s="69"/>
      <c r="BF243" s="69"/>
      <c r="BG243" s="69"/>
      <c r="BH243" s="69"/>
      <c r="BI243" s="69"/>
      <c r="BJ243" s="68"/>
      <c r="BK243" s="69"/>
      <c r="BL243" s="67"/>
      <c r="BM243" s="67"/>
      <c r="BN243" s="56"/>
      <c r="BO243" s="56"/>
      <c r="BT243" s="63"/>
      <c r="BW243" s="56"/>
      <c r="BX243" s="56"/>
      <c r="BY243" s="56"/>
      <c r="BZ243" s="56"/>
      <c r="CA243" s="56"/>
      <c r="CF243" s="63"/>
      <c r="CI243" s="56"/>
      <c r="CJ243" s="56"/>
      <c r="CK243" s="56"/>
      <c r="CL243" s="56"/>
      <c r="CM243" s="56"/>
    </row>
    <row r="244" spans="18:93" ht="18" customHeight="1">
      <c r="AO244" s="68"/>
      <c r="AP244" s="67"/>
      <c r="AQ244" s="67"/>
      <c r="AR244" s="68"/>
      <c r="AS244" s="68"/>
      <c r="AT244" s="68"/>
      <c r="AU244" s="68"/>
      <c r="AV244" s="68"/>
      <c r="AW244" s="68"/>
      <c r="AX244" s="68"/>
      <c r="AY244" s="69"/>
      <c r="AZ244" s="67"/>
      <c r="BA244" s="68"/>
      <c r="BB244" s="67"/>
      <c r="BC244" s="67"/>
      <c r="BD244" s="68"/>
      <c r="BE244" s="68"/>
      <c r="BF244" s="68"/>
      <c r="BG244" s="68"/>
      <c r="BH244" s="68"/>
      <c r="BI244" s="68"/>
      <c r="BJ244" s="68"/>
      <c r="BK244" s="69"/>
      <c r="BL244" s="67"/>
      <c r="BM244" s="67"/>
    </row>
    <row r="245" spans="18:93" ht="18" customHeight="1">
      <c r="R245" s="63"/>
      <c r="S245" s="64"/>
      <c r="Y245" s="531"/>
      <c r="Z245" s="531"/>
      <c r="AA245" s="531"/>
      <c r="AD245" s="63"/>
      <c r="AE245" s="64"/>
      <c r="AK245" s="531"/>
      <c r="AL245" s="531"/>
      <c r="AM245" s="531"/>
      <c r="AO245" s="68"/>
      <c r="AP245" s="76"/>
      <c r="AQ245" s="77"/>
      <c r="AR245" s="68"/>
      <c r="AS245" s="68"/>
      <c r="AT245" s="68"/>
      <c r="AU245" s="68"/>
      <c r="AV245" s="68"/>
      <c r="AW245" s="533"/>
      <c r="AX245" s="533"/>
      <c r="AY245" s="533"/>
      <c r="AZ245" s="67"/>
      <c r="BA245" s="68"/>
      <c r="BB245" s="76"/>
      <c r="BC245" s="77"/>
      <c r="BD245" s="68"/>
      <c r="BE245" s="68"/>
      <c r="BF245" s="68"/>
      <c r="BG245" s="68"/>
      <c r="BH245" s="68"/>
      <c r="BI245" s="533"/>
      <c r="BJ245" s="533"/>
      <c r="BK245" s="533"/>
      <c r="BL245" s="67"/>
      <c r="BM245" s="67"/>
      <c r="BO245" s="531"/>
      <c r="BP245" s="531"/>
      <c r="BQ245" s="531"/>
      <c r="BT245" s="63"/>
      <c r="BU245" s="64"/>
      <c r="CA245" s="531"/>
      <c r="CB245" s="531"/>
      <c r="CC245" s="531"/>
      <c r="CF245" s="63"/>
      <c r="CG245" s="64"/>
      <c r="CM245" s="531"/>
      <c r="CN245" s="531"/>
      <c r="CO245" s="531"/>
    </row>
    <row r="246" spans="18:93" ht="18" customHeight="1">
      <c r="R246" s="63"/>
      <c r="V246" s="170"/>
      <c r="W246" s="56"/>
      <c r="X246" s="56"/>
      <c r="Y246" s="56"/>
      <c r="AD246" s="63"/>
      <c r="AG246" s="56"/>
      <c r="AH246" s="56"/>
      <c r="AI246" s="56"/>
      <c r="AJ246" s="56"/>
      <c r="AK246" s="56"/>
      <c r="AO246" s="68"/>
      <c r="AP246" s="76"/>
      <c r="AQ246" s="67"/>
      <c r="AR246" s="68"/>
      <c r="AS246" s="69"/>
      <c r="AT246" s="69"/>
      <c r="AU246" s="69"/>
      <c r="AV246" s="69"/>
      <c r="AW246" s="69"/>
      <c r="AX246" s="68"/>
      <c r="AY246" s="69"/>
      <c r="AZ246" s="67"/>
      <c r="BA246" s="69"/>
      <c r="BB246" s="76"/>
      <c r="BC246" s="67"/>
      <c r="BD246" s="68"/>
      <c r="BE246" s="69"/>
      <c r="BF246" s="69"/>
      <c r="BG246" s="69"/>
      <c r="BH246" s="69"/>
      <c r="BI246" s="69"/>
      <c r="BJ246" s="68"/>
      <c r="BK246" s="69"/>
      <c r="BL246" s="67"/>
      <c r="BM246" s="67"/>
      <c r="BN246" s="56"/>
      <c r="BO246" s="56"/>
      <c r="BT246" s="63"/>
      <c r="BW246" s="56"/>
      <c r="BX246" s="56"/>
      <c r="BY246" s="56"/>
      <c r="BZ246" s="56"/>
      <c r="CA246" s="56"/>
      <c r="CF246" s="63"/>
      <c r="CI246" s="56"/>
      <c r="CJ246" s="56"/>
      <c r="CK246" s="56"/>
      <c r="CL246" s="56"/>
      <c r="CM246" s="56"/>
    </row>
    <row r="247" spans="18:93" ht="18" customHeight="1">
      <c r="R247" s="63"/>
      <c r="V247" s="170"/>
      <c r="W247" s="56"/>
      <c r="X247" s="56"/>
      <c r="Y247" s="56"/>
      <c r="AD247" s="63"/>
      <c r="AG247" s="56"/>
      <c r="AH247" s="56"/>
      <c r="AI247" s="56"/>
      <c r="AJ247" s="56"/>
      <c r="AK247" s="56"/>
      <c r="AO247" s="68"/>
      <c r="AP247" s="76"/>
      <c r="AQ247" s="67"/>
      <c r="AR247" s="68"/>
      <c r="AS247" s="69"/>
      <c r="AT247" s="69"/>
      <c r="AU247" s="69"/>
      <c r="AV247" s="69"/>
      <c r="AW247" s="69"/>
      <c r="AX247" s="68"/>
      <c r="AY247" s="69"/>
      <c r="AZ247" s="67"/>
      <c r="BA247" s="69"/>
      <c r="BB247" s="76"/>
      <c r="BC247" s="67"/>
      <c r="BD247" s="68"/>
      <c r="BE247" s="69"/>
      <c r="BF247" s="69"/>
      <c r="BG247" s="69"/>
      <c r="BH247" s="69"/>
      <c r="BI247" s="69"/>
      <c r="BJ247" s="68"/>
      <c r="BK247" s="69"/>
      <c r="BL247" s="67"/>
      <c r="BM247" s="67"/>
      <c r="BN247" s="56"/>
      <c r="BO247" s="56"/>
      <c r="BT247" s="63"/>
      <c r="BW247" s="56"/>
      <c r="BX247" s="56"/>
      <c r="BY247" s="56"/>
      <c r="BZ247" s="56"/>
      <c r="CA247" s="56"/>
      <c r="CF247" s="63"/>
      <c r="CI247" s="56"/>
      <c r="CJ247" s="56"/>
      <c r="CK247" s="56"/>
      <c r="CL247" s="56"/>
      <c r="CM247" s="56"/>
    </row>
    <row r="248" spans="18:93" ht="18" customHeight="1">
      <c r="R248" s="63"/>
      <c r="V248" s="170"/>
      <c r="W248" s="56"/>
      <c r="X248" s="56"/>
      <c r="Y248" s="56"/>
      <c r="AD248" s="63"/>
      <c r="AG248" s="56"/>
      <c r="AH248" s="56"/>
      <c r="AI248" s="56"/>
      <c r="AJ248" s="56"/>
      <c r="AK248" s="56"/>
      <c r="AO248" s="68"/>
      <c r="AP248" s="76"/>
      <c r="AQ248" s="67"/>
      <c r="AR248" s="68"/>
      <c r="AS248" s="69"/>
      <c r="AT248" s="69"/>
      <c r="AU248" s="69"/>
      <c r="AV248" s="69"/>
      <c r="AW248" s="69"/>
      <c r="AX248" s="68"/>
      <c r="AY248" s="69"/>
      <c r="AZ248" s="67"/>
      <c r="BA248" s="69"/>
      <c r="BB248" s="76"/>
      <c r="BC248" s="67"/>
      <c r="BD248" s="68"/>
      <c r="BE248" s="69"/>
      <c r="BF248" s="69"/>
      <c r="BG248" s="69"/>
      <c r="BH248" s="69"/>
      <c r="BI248" s="69"/>
      <c r="BJ248" s="68"/>
      <c r="BK248" s="69"/>
      <c r="BL248" s="67"/>
      <c r="BM248" s="67"/>
      <c r="BN248" s="56"/>
      <c r="BO248" s="56"/>
      <c r="BT248" s="63"/>
      <c r="BW248" s="56"/>
      <c r="BX248" s="56"/>
      <c r="BY248" s="56"/>
      <c r="BZ248" s="56"/>
      <c r="CA248" s="56"/>
      <c r="CF248" s="63"/>
      <c r="CI248" s="56"/>
      <c r="CJ248" s="56"/>
      <c r="CK248" s="56"/>
      <c r="CL248" s="56"/>
      <c r="CM248" s="56"/>
    </row>
    <row r="249" spans="18:93" ht="18" customHeight="1">
      <c r="R249" s="63"/>
      <c r="V249" s="170"/>
      <c r="W249" s="56"/>
      <c r="X249" s="56"/>
      <c r="Y249" s="56"/>
      <c r="AD249" s="63"/>
      <c r="AG249" s="56"/>
      <c r="AH249" s="56"/>
      <c r="AI249" s="56"/>
      <c r="AJ249" s="56"/>
      <c r="AK249" s="56"/>
      <c r="AO249" s="68"/>
      <c r="AP249" s="76"/>
      <c r="AQ249" s="67"/>
      <c r="AR249" s="68"/>
      <c r="AS249" s="69"/>
      <c r="AT249" s="69"/>
      <c r="AU249" s="69"/>
      <c r="AV249" s="69"/>
      <c r="AW249" s="69"/>
      <c r="AX249" s="68"/>
      <c r="AY249" s="69"/>
      <c r="AZ249" s="67"/>
      <c r="BA249" s="69"/>
      <c r="BB249" s="76"/>
      <c r="BC249" s="67"/>
      <c r="BD249" s="68"/>
      <c r="BE249" s="69"/>
      <c r="BF249" s="69"/>
      <c r="BG249" s="69"/>
      <c r="BH249" s="69"/>
      <c r="BI249" s="69"/>
      <c r="BJ249" s="68"/>
      <c r="BK249" s="69"/>
      <c r="BL249" s="67"/>
      <c r="BM249" s="67"/>
      <c r="BN249" s="56"/>
      <c r="BO249" s="56"/>
      <c r="BT249" s="63"/>
      <c r="BW249" s="56"/>
      <c r="BX249" s="56"/>
      <c r="BY249" s="56"/>
      <c r="BZ249" s="56"/>
      <c r="CA249" s="56"/>
      <c r="CF249" s="63"/>
      <c r="CI249" s="56"/>
      <c r="CJ249" s="56"/>
      <c r="CK249" s="56"/>
      <c r="CL249" s="56"/>
      <c r="CM249" s="56"/>
    </row>
    <row r="250" spans="18:93" ht="18" customHeight="1">
      <c r="AO250" s="68"/>
      <c r="AP250" s="67"/>
      <c r="AQ250" s="67"/>
      <c r="AR250" s="68"/>
      <c r="AS250" s="68"/>
      <c r="AT250" s="68"/>
      <c r="AU250" s="68"/>
      <c r="AV250" s="68"/>
      <c r="AW250" s="68"/>
      <c r="AX250" s="68"/>
      <c r="AY250" s="69"/>
      <c r="AZ250" s="67"/>
      <c r="BA250" s="68"/>
      <c r="BB250" s="67"/>
      <c r="BC250" s="67"/>
      <c r="BD250" s="68"/>
      <c r="BE250" s="68"/>
      <c r="BF250" s="68"/>
      <c r="BG250" s="68"/>
      <c r="BH250" s="68"/>
      <c r="BI250" s="68"/>
      <c r="BJ250" s="68"/>
      <c r="BK250" s="69"/>
      <c r="BL250" s="67"/>
      <c r="BM250" s="67"/>
    </row>
    <row r="251" spans="18:93" ht="18" customHeight="1">
      <c r="R251" s="63"/>
      <c r="S251" s="64"/>
      <c r="Y251" s="531"/>
      <c r="Z251" s="531"/>
      <c r="AA251" s="531"/>
      <c r="AD251" s="63"/>
      <c r="AE251" s="64"/>
      <c r="AK251" s="531"/>
      <c r="AL251" s="531"/>
      <c r="AM251" s="531"/>
      <c r="AO251" s="68"/>
      <c r="AP251" s="76"/>
      <c r="AQ251" s="77"/>
      <c r="AR251" s="68"/>
      <c r="AS251" s="68"/>
      <c r="AT251" s="68"/>
      <c r="AU251" s="68"/>
      <c r="AV251" s="68"/>
      <c r="AW251" s="533"/>
      <c r="AX251" s="533"/>
      <c r="AY251" s="533"/>
      <c r="AZ251" s="67"/>
      <c r="BA251" s="68"/>
      <c r="BB251" s="76"/>
      <c r="BC251" s="77"/>
      <c r="BD251" s="68"/>
      <c r="BE251" s="68"/>
      <c r="BF251" s="68"/>
      <c r="BG251" s="68"/>
      <c r="BH251" s="68"/>
      <c r="BI251" s="533"/>
      <c r="BJ251" s="533"/>
      <c r="BK251" s="533"/>
      <c r="BL251" s="67"/>
      <c r="BM251" s="67"/>
      <c r="BO251" s="531"/>
      <c r="BP251" s="531"/>
      <c r="BQ251" s="531"/>
      <c r="BT251" s="63"/>
      <c r="BU251" s="64"/>
      <c r="CA251" s="531"/>
      <c r="CB251" s="531"/>
      <c r="CC251" s="531"/>
      <c r="CF251" s="63"/>
      <c r="CG251" s="64"/>
      <c r="CM251" s="531"/>
      <c r="CN251" s="531"/>
      <c r="CO251" s="531"/>
    </row>
    <row r="252" spans="18:93" ht="18" customHeight="1">
      <c r="R252" s="63"/>
      <c r="V252" s="170"/>
      <c r="W252" s="56"/>
      <c r="X252" s="56"/>
      <c r="Y252" s="56"/>
      <c r="AD252" s="63"/>
      <c r="AG252" s="56"/>
      <c r="AH252" s="56"/>
      <c r="AI252" s="56"/>
      <c r="AJ252" s="56"/>
      <c r="AK252" s="56"/>
      <c r="AO252" s="68"/>
      <c r="AP252" s="76"/>
      <c r="AQ252" s="67"/>
      <c r="AR252" s="68"/>
      <c r="AS252" s="69"/>
      <c r="AT252" s="69"/>
      <c r="AU252" s="69"/>
      <c r="AV252" s="69"/>
      <c r="AW252" s="69"/>
      <c r="AX252" s="68"/>
      <c r="AY252" s="69"/>
      <c r="AZ252" s="67"/>
      <c r="BA252" s="69"/>
      <c r="BB252" s="76"/>
      <c r="BC252" s="67"/>
      <c r="BD252" s="68"/>
      <c r="BE252" s="69"/>
      <c r="BF252" s="69"/>
      <c r="BG252" s="69"/>
      <c r="BH252" s="69"/>
      <c r="BI252" s="69"/>
      <c r="BJ252" s="68"/>
      <c r="BK252" s="69"/>
      <c r="BL252" s="67"/>
      <c r="BM252" s="67"/>
      <c r="BN252" s="56"/>
      <c r="BO252" s="56"/>
      <c r="BT252" s="63"/>
      <c r="BW252" s="56"/>
      <c r="BX252" s="56"/>
      <c r="BY252" s="56"/>
      <c r="BZ252" s="56"/>
      <c r="CA252" s="56"/>
      <c r="CF252" s="63"/>
      <c r="CI252" s="56"/>
      <c r="CJ252" s="56"/>
      <c r="CK252" s="56"/>
      <c r="CL252" s="56"/>
      <c r="CM252" s="56"/>
    </row>
    <row r="253" spans="18:93" ht="18" customHeight="1">
      <c r="R253" s="63"/>
      <c r="V253" s="170"/>
      <c r="W253" s="56"/>
      <c r="X253" s="56"/>
      <c r="Y253" s="56"/>
      <c r="AD253" s="63"/>
      <c r="AG253" s="56"/>
      <c r="AH253" s="56"/>
      <c r="AI253" s="56"/>
      <c r="AJ253" s="56"/>
      <c r="AK253" s="56"/>
      <c r="AO253" s="68"/>
      <c r="AP253" s="76"/>
      <c r="AQ253" s="67"/>
      <c r="AR253" s="68"/>
      <c r="AS253" s="69"/>
      <c r="AT253" s="69"/>
      <c r="AU253" s="69"/>
      <c r="AV253" s="69"/>
      <c r="AW253" s="69"/>
      <c r="AX253" s="68"/>
      <c r="AY253" s="69"/>
      <c r="AZ253" s="67"/>
      <c r="BA253" s="69"/>
      <c r="BB253" s="76"/>
      <c r="BC253" s="67"/>
      <c r="BD253" s="68"/>
      <c r="BE253" s="69"/>
      <c r="BF253" s="69"/>
      <c r="BG253" s="69"/>
      <c r="BH253" s="69"/>
      <c r="BI253" s="69"/>
      <c r="BJ253" s="68"/>
      <c r="BK253" s="69"/>
      <c r="BL253" s="67"/>
      <c r="BM253" s="67"/>
      <c r="BN253" s="56"/>
      <c r="BO253" s="56"/>
      <c r="BT253" s="63"/>
      <c r="BW253" s="56"/>
      <c r="BX253" s="56"/>
      <c r="BY253" s="56"/>
      <c r="BZ253" s="56"/>
      <c r="CA253" s="56"/>
      <c r="CF253" s="63"/>
      <c r="CI253" s="56"/>
      <c r="CJ253" s="56"/>
      <c r="CK253" s="56"/>
      <c r="CL253" s="56"/>
      <c r="CM253" s="56"/>
    </row>
    <row r="254" spans="18:93" ht="18" customHeight="1">
      <c r="R254" s="63"/>
      <c r="V254" s="170"/>
      <c r="W254" s="56"/>
      <c r="X254" s="56"/>
      <c r="Y254" s="56"/>
      <c r="AD254" s="63"/>
      <c r="AG254" s="56"/>
      <c r="AH254" s="56"/>
      <c r="AI254" s="56"/>
      <c r="AJ254" s="56"/>
      <c r="AK254" s="56"/>
      <c r="AO254" s="68"/>
      <c r="AP254" s="76"/>
      <c r="AQ254" s="67"/>
      <c r="AR254" s="68"/>
      <c r="AS254" s="69"/>
      <c r="AT254" s="69"/>
      <c r="AU254" s="69"/>
      <c r="AV254" s="69"/>
      <c r="AW254" s="69"/>
      <c r="AX254" s="68"/>
      <c r="AY254" s="69"/>
      <c r="AZ254" s="67"/>
      <c r="BA254" s="69"/>
      <c r="BB254" s="76"/>
      <c r="BC254" s="67"/>
      <c r="BD254" s="68"/>
      <c r="BE254" s="69"/>
      <c r="BF254" s="69"/>
      <c r="BG254" s="69"/>
      <c r="BH254" s="69"/>
      <c r="BI254" s="69"/>
      <c r="BJ254" s="68"/>
      <c r="BK254" s="69"/>
      <c r="BL254" s="67"/>
      <c r="BM254" s="67"/>
      <c r="BN254" s="56"/>
      <c r="BO254" s="56"/>
      <c r="BT254" s="63"/>
      <c r="BW254" s="56"/>
      <c r="BX254" s="56"/>
      <c r="BY254" s="56"/>
      <c r="BZ254" s="56"/>
      <c r="CA254" s="56"/>
      <c r="CF254" s="63"/>
      <c r="CI254" s="56"/>
      <c r="CJ254" s="56"/>
      <c r="CK254" s="56"/>
      <c r="CL254" s="56"/>
      <c r="CM254" s="56"/>
    </row>
    <row r="255" spans="18:93" ht="18" customHeight="1">
      <c r="R255" s="63"/>
      <c r="V255" s="170"/>
      <c r="W255" s="56"/>
      <c r="X255" s="56"/>
      <c r="Y255" s="56"/>
      <c r="AD255" s="63"/>
      <c r="AG255" s="56"/>
      <c r="AH255" s="56"/>
      <c r="AI255" s="56"/>
      <c r="AJ255" s="56"/>
      <c r="AK255" s="56"/>
      <c r="AO255" s="68"/>
      <c r="AP255" s="76"/>
      <c r="AQ255" s="67"/>
      <c r="AR255" s="68"/>
      <c r="AS255" s="69"/>
      <c r="AT255" s="69"/>
      <c r="AU255" s="69"/>
      <c r="AV255" s="69"/>
      <c r="AW255" s="69"/>
      <c r="AX255" s="68"/>
      <c r="AY255" s="69"/>
      <c r="AZ255" s="67"/>
      <c r="BA255" s="69"/>
      <c r="BB255" s="76"/>
      <c r="BC255" s="67"/>
      <c r="BD255" s="68"/>
      <c r="BE255" s="69"/>
      <c r="BF255" s="69"/>
      <c r="BG255" s="69"/>
      <c r="BH255" s="69"/>
      <c r="BI255" s="69"/>
      <c r="BJ255" s="68"/>
      <c r="BK255" s="69"/>
      <c r="BL255" s="67"/>
      <c r="BM255" s="67"/>
      <c r="BN255" s="56"/>
      <c r="BO255" s="56"/>
      <c r="BT255" s="63"/>
      <c r="BW255" s="56"/>
      <c r="BX255" s="56"/>
      <c r="BY255" s="56"/>
      <c r="BZ255" s="56"/>
      <c r="CA255" s="56"/>
      <c r="CF255" s="63"/>
      <c r="CI255" s="56"/>
      <c r="CJ255" s="56"/>
      <c r="CK255" s="56"/>
      <c r="CL255" s="56"/>
      <c r="CM255" s="56"/>
    </row>
    <row r="256" spans="18:93" ht="18" customHeight="1">
      <c r="AO256" s="68"/>
      <c r="AP256" s="67"/>
      <c r="AQ256" s="67"/>
      <c r="AR256" s="68"/>
      <c r="AS256" s="68"/>
      <c r="AT256" s="68"/>
      <c r="AU256" s="68"/>
      <c r="AV256" s="68"/>
      <c r="AW256" s="68"/>
      <c r="AX256" s="68"/>
      <c r="AY256" s="69"/>
      <c r="AZ256" s="67"/>
      <c r="BA256" s="68"/>
      <c r="BB256" s="67"/>
      <c r="BC256" s="67"/>
      <c r="BD256" s="68"/>
      <c r="BE256" s="68"/>
      <c r="BF256" s="68"/>
      <c r="BG256" s="68"/>
      <c r="BH256" s="68"/>
      <c r="BI256" s="68"/>
      <c r="BJ256" s="68"/>
      <c r="BK256" s="69"/>
      <c r="BL256" s="67"/>
      <c r="BM256" s="67"/>
    </row>
    <row r="257" spans="18:93" ht="18" customHeight="1">
      <c r="R257" s="63"/>
      <c r="S257" s="64"/>
      <c r="Y257" s="531"/>
      <c r="Z257" s="531"/>
      <c r="AA257" s="531"/>
      <c r="AD257" s="63"/>
      <c r="AE257" s="64"/>
      <c r="AK257" s="531"/>
      <c r="AL257" s="531"/>
      <c r="AM257" s="531"/>
      <c r="AO257" s="68"/>
      <c r="AP257" s="76"/>
      <c r="AQ257" s="77"/>
      <c r="AR257" s="68"/>
      <c r="AS257" s="68"/>
      <c r="AT257" s="68"/>
      <c r="AU257" s="68"/>
      <c r="AV257" s="68"/>
      <c r="AW257" s="533"/>
      <c r="AX257" s="533"/>
      <c r="AY257" s="533"/>
      <c r="AZ257" s="67"/>
      <c r="BA257" s="68"/>
      <c r="BB257" s="76"/>
      <c r="BC257" s="77"/>
      <c r="BD257" s="68"/>
      <c r="BE257" s="68"/>
      <c r="BF257" s="68"/>
      <c r="BG257" s="68"/>
      <c r="BH257" s="68"/>
      <c r="BI257" s="533"/>
      <c r="BJ257" s="533"/>
      <c r="BK257" s="533"/>
      <c r="BL257" s="67"/>
      <c r="BM257" s="67"/>
      <c r="BO257" s="531"/>
      <c r="BP257" s="531"/>
      <c r="BQ257" s="531"/>
      <c r="BT257" s="63"/>
      <c r="BU257" s="64"/>
      <c r="CA257" s="531"/>
      <c r="CB257" s="531"/>
      <c r="CC257" s="531"/>
      <c r="CF257" s="63"/>
      <c r="CG257" s="64"/>
      <c r="CM257" s="531"/>
      <c r="CN257" s="531"/>
      <c r="CO257" s="531"/>
    </row>
    <row r="258" spans="18:93" ht="18" customHeight="1">
      <c r="R258" s="63"/>
      <c r="V258" s="170"/>
      <c r="W258" s="56"/>
      <c r="X258" s="56"/>
      <c r="Y258" s="56"/>
      <c r="AD258" s="63"/>
      <c r="AG258" s="56"/>
      <c r="AH258" s="56"/>
      <c r="AI258" s="56"/>
      <c r="AJ258" s="56"/>
      <c r="AK258" s="56"/>
      <c r="AO258" s="68"/>
      <c r="AP258" s="76"/>
      <c r="AQ258" s="67"/>
      <c r="AR258" s="68"/>
      <c r="AS258" s="69"/>
      <c r="AT258" s="69"/>
      <c r="AU258" s="69"/>
      <c r="AV258" s="69"/>
      <c r="AW258" s="69"/>
      <c r="AX258" s="68"/>
      <c r="AY258" s="69"/>
      <c r="AZ258" s="67"/>
      <c r="BA258" s="69"/>
      <c r="BB258" s="76"/>
      <c r="BC258" s="67"/>
      <c r="BD258" s="68"/>
      <c r="BE258" s="69"/>
      <c r="BF258" s="69"/>
      <c r="BG258" s="69"/>
      <c r="BH258" s="69"/>
      <c r="BI258" s="69"/>
      <c r="BJ258" s="68"/>
      <c r="BK258" s="69"/>
      <c r="BL258" s="67"/>
      <c r="BM258" s="67"/>
      <c r="BN258" s="56"/>
      <c r="BO258" s="56"/>
      <c r="BT258" s="63"/>
      <c r="BW258" s="56"/>
      <c r="BX258" s="56"/>
      <c r="BY258" s="56"/>
      <c r="BZ258" s="56"/>
      <c r="CA258" s="56"/>
      <c r="CF258" s="63"/>
      <c r="CI258" s="56"/>
      <c r="CJ258" s="56"/>
      <c r="CK258" s="56"/>
      <c r="CL258" s="56"/>
      <c r="CM258" s="56"/>
    </row>
    <row r="259" spans="18:93" ht="18" customHeight="1">
      <c r="R259" s="63"/>
      <c r="V259" s="170"/>
      <c r="W259" s="56"/>
      <c r="X259" s="56"/>
      <c r="Y259" s="56"/>
      <c r="AD259" s="63"/>
      <c r="AG259" s="56"/>
      <c r="AH259" s="56"/>
      <c r="AI259" s="56"/>
      <c r="AJ259" s="56"/>
      <c r="AK259" s="56"/>
      <c r="AO259" s="68"/>
      <c r="AP259" s="76"/>
      <c r="AQ259" s="67"/>
      <c r="AR259" s="68"/>
      <c r="AS259" s="69"/>
      <c r="AT259" s="69"/>
      <c r="AU259" s="69"/>
      <c r="AV259" s="69"/>
      <c r="AW259" s="69"/>
      <c r="AX259" s="68"/>
      <c r="AY259" s="69"/>
      <c r="AZ259" s="67"/>
      <c r="BA259" s="69"/>
      <c r="BB259" s="76"/>
      <c r="BC259" s="67"/>
      <c r="BD259" s="68"/>
      <c r="BE259" s="69"/>
      <c r="BF259" s="69"/>
      <c r="BG259" s="69"/>
      <c r="BH259" s="69"/>
      <c r="BI259" s="69"/>
      <c r="BJ259" s="68"/>
      <c r="BK259" s="69"/>
      <c r="BL259" s="67"/>
      <c r="BM259" s="67"/>
      <c r="BN259" s="56"/>
      <c r="BO259" s="56"/>
      <c r="BT259" s="63"/>
      <c r="BW259" s="56"/>
      <c r="BX259" s="56"/>
      <c r="BY259" s="56"/>
      <c r="BZ259" s="56"/>
      <c r="CA259" s="56"/>
      <c r="CF259" s="63"/>
      <c r="CI259" s="56"/>
      <c r="CJ259" s="56"/>
      <c r="CK259" s="56"/>
      <c r="CL259" s="56"/>
      <c r="CM259" s="56"/>
    </row>
    <row r="260" spans="18:93" ht="18" customHeight="1">
      <c r="R260" s="63"/>
      <c r="V260" s="170"/>
      <c r="W260" s="56"/>
      <c r="X260" s="56"/>
      <c r="Y260" s="56"/>
      <c r="AD260" s="63"/>
      <c r="AG260" s="56"/>
      <c r="AH260" s="56"/>
      <c r="AI260" s="56"/>
      <c r="AJ260" s="56"/>
      <c r="AK260" s="56"/>
      <c r="AO260" s="68"/>
      <c r="AP260" s="76"/>
      <c r="AQ260" s="67"/>
      <c r="AR260" s="68"/>
      <c r="AS260" s="69"/>
      <c r="AT260" s="69"/>
      <c r="AU260" s="69"/>
      <c r="AV260" s="69"/>
      <c r="AW260" s="69"/>
      <c r="AX260" s="68"/>
      <c r="AY260" s="69"/>
      <c r="AZ260" s="67"/>
      <c r="BA260" s="69"/>
      <c r="BB260" s="76"/>
      <c r="BC260" s="67"/>
      <c r="BD260" s="68"/>
      <c r="BE260" s="69"/>
      <c r="BF260" s="69"/>
      <c r="BG260" s="69"/>
      <c r="BH260" s="69"/>
      <c r="BI260" s="69"/>
      <c r="BJ260" s="68"/>
      <c r="BK260" s="69"/>
      <c r="BL260" s="67"/>
      <c r="BM260" s="67"/>
      <c r="BN260" s="56"/>
      <c r="BO260" s="56"/>
      <c r="BT260" s="63"/>
      <c r="BW260" s="56"/>
      <c r="BX260" s="56"/>
      <c r="BY260" s="56"/>
      <c r="BZ260" s="56"/>
      <c r="CA260" s="56"/>
      <c r="CF260" s="63"/>
      <c r="CI260" s="56"/>
      <c r="CJ260" s="56"/>
      <c r="CK260" s="56"/>
      <c r="CL260" s="56"/>
      <c r="CM260" s="56"/>
    </row>
    <row r="261" spans="18:93" ht="18" customHeight="1">
      <c r="R261" s="63"/>
      <c r="V261" s="170"/>
      <c r="W261" s="56"/>
      <c r="X261" s="56"/>
      <c r="Y261" s="56"/>
      <c r="AD261" s="63"/>
      <c r="AG261" s="56"/>
      <c r="AH261" s="56"/>
      <c r="AI261" s="56"/>
      <c r="AJ261" s="56"/>
      <c r="AK261" s="56"/>
      <c r="AO261" s="68"/>
      <c r="AP261" s="76"/>
      <c r="AQ261" s="67"/>
      <c r="AR261" s="68"/>
      <c r="AS261" s="69"/>
      <c r="AT261" s="69"/>
      <c r="AU261" s="69"/>
      <c r="AV261" s="69"/>
      <c r="AW261" s="69"/>
      <c r="AX261" s="68"/>
      <c r="AY261" s="69"/>
      <c r="AZ261" s="67"/>
      <c r="BA261" s="69"/>
      <c r="BB261" s="76"/>
      <c r="BC261" s="67"/>
      <c r="BD261" s="68"/>
      <c r="BE261" s="69"/>
      <c r="BF261" s="69"/>
      <c r="BG261" s="69"/>
      <c r="BH261" s="69"/>
      <c r="BI261" s="69"/>
      <c r="BJ261" s="68"/>
      <c r="BK261" s="69"/>
      <c r="BL261" s="67"/>
      <c r="BM261" s="67"/>
      <c r="BN261" s="56"/>
      <c r="BO261" s="56"/>
      <c r="BT261" s="63"/>
      <c r="BW261" s="56"/>
      <c r="BX261" s="56"/>
      <c r="BY261" s="56"/>
      <c r="BZ261" s="56"/>
      <c r="CA261" s="56"/>
      <c r="CF261" s="63"/>
      <c r="CI261" s="56"/>
      <c r="CJ261" s="56"/>
      <c r="CK261" s="56"/>
      <c r="CL261" s="56"/>
      <c r="CM261" s="56"/>
    </row>
    <row r="262" spans="18:93" ht="18" customHeight="1">
      <c r="AO262" s="68"/>
      <c r="AP262" s="67"/>
      <c r="AQ262" s="67"/>
      <c r="AR262" s="68"/>
      <c r="AS262" s="68"/>
      <c r="AT262" s="68"/>
      <c r="AU262" s="68"/>
      <c r="AV262" s="68"/>
      <c r="AW262" s="68"/>
      <c r="AX262" s="68"/>
      <c r="AY262" s="69"/>
      <c r="AZ262" s="67"/>
      <c r="BA262" s="68"/>
      <c r="BB262" s="67"/>
      <c r="BC262" s="67"/>
      <c r="BD262" s="68"/>
      <c r="BE262" s="68"/>
      <c r="BF262" s="68"/>
      <c r="BG262" s="68"/>
      <c r="BH262" s="68"/>
      <c r="BI262" s="68"/>
      <c r="BJ262" s="68"/>
      <c r="BK262" s="69"/>
      <c r="BL262" s="67"/>
      <c r="BM262" s="67"/>
    </row>
    <row r="263" spans="18:93" ht="18" customHeight="1">
      <c r="R263" s="63"/>
      <c r="S263" s="64"/>
      <c r="Y263" s="531"/>
      <c r="Z263" s="531"/>
      <c r="AA263" s="531"/>
      <c r="AD263" s="63"/>
      <c r="AE263" s="64"/>
      <c r="AK263" s="531"/>
      <c r="AL263" s="531"/>
      <c r="AM263" s="531"/>
      <c r="AO263" s="68"/>
      <c r="AP263" s="76"/>
      <c r="AQ263" s="77"/>
      <c r="AR263" s="68"/>
      <c r="AS263" s="68"/>
      <c r="AT263" s="68"/>
      <c r="AU263" s="68"/>
      <c r="AV263" s="68"/>
      <c r="AW263" s="533"/>
      <c r="AX263" s="533"/>
      <c r="AY263" s="533"/>
      <c r="AZ263" s="67"/>
      <c r="BA263" s="68"/>
      <c r="BB263" s="76"/>
      <c r="BC263" s="77"/>
      <c r="BD263" s="68"/>
      <c r="BE263" s="68"/>
      <c r="BF263" s="68"/>
      <c r="BG263" s="68"/>
      <c r="BH263" s="68"/>
      <c r="BI263" s="533"/>
      <c r="BJ263" s="533"/>
      <c r="BK263" s="533"/>
      <c r="BL263" s="67"/>
      <c r="BM263" s="67"/>
      <c r="BO263" s="531"/>
      <c r="BP263" s="531"/>
      <c r="BQ263" s="531"/>
      <c r="BT263" s="63"/>
      <c r="BU263" s="64"/>
      <c r="CA263" s="531"/>
      <c r="CB263" s="531"/>
      <c r="CC263" s="531"/>
      <c r="CF263" s="63"/>
      <c r="CG263" s="64"/>
      <c r="CM263" s="531"/>
      <c r="CN263" s="531"/>
      <c r="CO263" s="531"/>
    </row>
    <row r="264" spans="18:93" ht="18" customHeight="1">
      <c r="R264" s="63"/>
      <c r="V264" s="170"/>
      <c r="W264" s="56"/>
      <c r="X264" s="56"/>
      <c r="Y264" s="56"/>
      <c r="AD264" s="63"/>
      <c r="AG264" s="56"/>
      <c r="AH264" s="56"/>
      <c r="AI264" s="56"/>
      <c r="AJ264" s="56"/>
      <c r="AK264" s="56"/>
      <c r="AO264" s="68"/>
      <c r="AP264" s="76"/>
      <c r="AQ264" s="67"/>
      <c r="AR264" s="68"/>
      <c r="AS264" s="69"/>
      <c r="AT264" s="69"/>
      <c r="AU264" s="69"/>
      <c r="AV264" s="69"/>
      <c r="AW264" s="69"/>
      <c r="AX264" s="68"/>
      <c r="AY264" s="69"/>
      <c r="AZ264" s="67"/>
      <c r="BA264" s="69"/>
      <c r="BB264" s="76"/>
      <c r="BC264" s="67"/>
      <c r="BD264" s="68"/>
      <c r="BE264" s="69"/>
      <c r="BF264" s="69"/>
      <c r="BG264" s="69"/>
      <c r="BH264" s="69"/>
      <c r="BI264" s="69"/>
      <c r="BJ264" s="68"/>
      <c r="BK264" s="69"/>
      <c r="BL264" s="67"/>
      <c r="BM264" s="67"/>
      <c r="BN264" s="56"/>
      <c r="BO264" s="56"/>
      <c r="BT264" s="63"/>
      <c r="BW264" s="56"/>
      <c r="BX264" s="56"/>
      <c r="BY264" s="56"/>
      <c r="BZ264" s="56"/>
      <c r="CA264" s="56"/>
      <c r="CF264" s="63"/>
      <c r="CI264" s="56"/>
      <c r="CJ264" s="56"/>
      <c r="CK264" s="56"/>
      <c r="CL264" s="56"/>
      <c r="CM264" s="56"/>
    </row>
    <row r="265" spans="18:93" ht="18" customHeight="1">
      <c r="R265" s="63"/>
      <c r="V265" s="170"/>
      <c r="W265" s="56"/>
      <c r="X265" s="56"/>
      <c r="Y265" s="56"/>
      <c r="AD265" s="63"/>
      <c r="AG265" s="56"/>
      <c r="AH265" s="56"/>
      <c r="AI265" s="56"/>
      <c r="AJ265" s="56"/>
      <c r="AK265" s="56"/>
      <c r="AO265" s="68"/>
      <c r="AP265" s="76"/>
      <c r="AQ265" s="67"/>
      <c r="AR265" s="68"/>
      <c r="AS265" s="69"/>
      <c r="AT265" s="69"/>
      <c r="AU265" s="69"/>
      <c r="AV265" s="69"/>
      <c r="AW265" s="69"/>
      <c r="AX265" s="68"/>
      <c r="AY265" s="69"/>
      <c r="AZ265" s="67"/>
      <c r="BA265" s="69"/>
      <c r="BB265" s="76"/>
      <c r="BC265" s="67"/>
      <c r="BD265" s="68"/>
      <c r="BE265" s="69"/>
      <c r="BF265" s="69"/>
      <c r="BG265" s="69"/>
      <c r="BH265" s="69"/>
      <c r="BI265" s="69"/>
      <c r="BJ265" s="68"/>
      <c r="BK265" s="69"/>
      <c r="BL265" s="67"/>
      <c r="BM265" s="67"/>
      <c r="BN265" s="56"/>
      <c r="BO265" s="56"/>
      <c r="BT265" s="63"/>
      <c r="BW265" s="56"/>
      <c r="BX265" s="56"/>
      <c r="BY265" s="56"/>
      <c r="BZ265" s="56"/>
      <c r="CA265" s="56"/>
      <c r="CF265" s="63"/>
      <c r="CI265" s="56"/>
      <c r="CJ265" s="56"/>
      <c r="CK265" s="56"/>
      <c r="CL265" s="56"/>
      <c r="CM265" s="56"/>
    </row>
    <row r="266" spans="18:93" ht="18" customHeight="1">
      <c r="R266" s="63"/>
      <c r="V266" s="170"/>
      <c r="W266" s="56"/>
      <c r="X266" s="56"/>
      <c r="Y266" s="56"/>
      <c r="AD266" s="63"/>
      <c r="AG266" s="56"/>
      <c r="AH266" s="56"/>
      <c r="AI266" s="56"/>
      <c r="AJ266" s="56"/>
      <c r="AK266" s="56"/>
      <c r="AO266" s="68"/>
      <c r="AP266" s="76"/>
      <c r="AQ266" s="67"/>
      <c r="AR266" s="68"/>
      <c r="AS266" s="69"/>
      <c r="AT266" s="69"/>
      <c r="AU266" s="69"/>
      <c r="AV266" s="69"/>
      <c r="AW266" s="69"/>
      <c r="AX266" s="68"/>
      <c r="AY266" s="69"/>
      <c r="AZ266" s="67"/>
      <c r="BA266" s="69"/>
      <c r="BB266" s="76"/>
      <c r="BC266" s="67"/>
      <c r="BD266" s="68"/>
      <c r="BE266" s="69"/>
      <c r="BF266" s="69"/>
      <c r="BG266" s="69"/>
      <c r="BH266" s="69"/>
      <c r="BI266" s="69"/>
      <c r="BJ266" s="68"/>
      <c r="BK266" s="69"/>
      <c r="BL266" s="67"/>
      <c r="BM266" s="67"/>
      <c r="BN266" s="56"/>
      <c r="BO266" s="56"/>
      <c r="BT266" s="63"/>
      <c r="BW266" s="56"/>
      <c r="BX266" s="56"/>
      <c r="BY266" s="56"/>
      <c r="BZ266" s="56"/>
      <c r="CA266" s="56"/>
      <c r="CF266" s="63"/>
      <c r="CI266" s="56"/>
      <c r="CJ266" s="56"/>
      <c r="CK266" s="56"/>
      <c r="CL266" s="56"/>
      <c r="CM266" s="56"/>
    </row>
    <row r="267" spans="18:93" ht="18" customHeight="1">
      <c r="R267" s="63"/>
      <c r="V267" s="170"/>
      <c r="W267" s="56"/>
      <c r="X267" s="56"/>
      <c r="Y267" s="56"/>
      <c r="AD267" s="63"/>
      <c r="AG267" s="56"/>
      <c r="AH267" s="56"/>
      <c r="AI267" s="56"/>
      <c r="AJ267" s="56"/>
      <c r="AK267" s="56"/>
      <c r="AO267" s="68"/>
      <c r="AP267" s="76"/>
      <c r="AQ267" s="67"/>
      <c r="AR267" s="68"/>
      <c r="AS267" s="69"/>
      <c r="AT267" s="69"/>
      <c r="AU267" s="69"/>
      <c r="AV267" s="69"/>
      <c r="AW267" s="69"/>
      <c r="AX267" s="68"/>
      <c r="AY267" s="69"/>
      <c r="AZ267" s="67"/>
      <c r="BA267" s="69"/>
      <c r="BB267" s="76"/>
      <c r="BC267" s="67"/>
      <c r="BD267" s="68"/>
      <c r="BE267" s="69"/>
      <c r="BF267" s="69"/>
      <c r="BG267" s="69"/>
      <c r="BH267" s="69"/>
      <c r="BI267" s="69"/>
      <c r="BJ267" s="68"/>
      <c r="BK267" s="69"/>
      <c r="BL267" s="67"/>
      <c r="BM267" s="67"/>
      <c r="BN267" s="56"/>
      <c r="BO267" s="56"/>
      <c r="BT267" s="63"/>
      <c r="BW267" s="56"/>
      <c r="BX267" s="56"/>
      <c r="BY267" s="56"/>
      <c r="BZ267" s="56"/>
      <c r="CA267" s="56"/>
      <c r="CF267" s="63"/>
      <c r="CI267" s="56"/>
      <c r="CJ267" s="56"/>
      <c r="CK267" s="56"/>
      <c r="CL267" s="56"/>
      <c r="CM267" s="56"/>
    </row>
    <row r="268" spans="18:93" ht="18" customHeight="1">
      <c r="AO268" s="68"/>
      <c r="AP268" s="67"/>
      <c r="AQ268" s="67"/>
      <c r="AR268" s="68"/>
      <c r="AS268" s="68"/>
      <c r="AT268" s="68"/>
      <c r="AU268" s="68"/>
      <c r="AV268" s="68"/>
      <c r="AW268" s="68"/>
      <c r="AX268" s="68"/>
      <c r="AY268" s="69"/>
      <c r="AZ268" s="67"/>
      <c r="BA268" s="68"/>
      <c r="BB268" s="67"/>
      <c r="BC268" s="67"/>
      <c r="BD268" s="68"/>
      <c r="BE268" s="68"/>
      <c r="BF268" s="68"/>
      <c r="BG268" s="68"/>
      <c r="BH268" s="68"/>
      <c r="BI268" s="68"/>
      <c r="BJ268" s="68"/>
      <c r="BK268" s="69"/>
      <c r="BL268" s="67"/>
      <c r="BM268" s="67"/>
    </row>
    <row r="269" spans="18:93" ht="18" customHeight="1">
      <c r="R269" s="63"/>
      <c r="S269" s="64"/>
      <c r="Y269" s="531"/>
      <c r="Z269" s="531"/>
      <c r="AA269" s="531"/>
      <c r="AD269" s="63"/>
      <c r="AE269" s="64"/>
      <c r="AK269" s="531"/>
      <c r="AL269" s="531"/>
      <c r="AM269" s="531"/>
      <c r="AO269" s="68"/>
      <c r="AP269" s="76"/>
      <c r="AQ269" s="77"/>
      <c r="AR269" s="68"/>
      <c r="AS269" s="68"/>
      <c r="AT269" s="68"/>
      <c r="AU269" s="68"/>
      <c r="AV269" s="68"/>
      <c r="AW269" s="533"/>
      <c r="AX269" s="533"/>
      <c r="AY269" s="533"/>
      <c r="AZ269" s="67"/>
      <c r="BA269" s="68"/>
      <c r="BB269" s="76"/>
      <c r="BC269" s="77"/>
      <c r="BD269" s="68"/>
      <c r="BE269" s="68"/>
      <c r="BF269" s="68"/>
      <c r="BG269" s="68"/>
      <c r="BH269" s="68"/>
      <c r="BI269" s="533"/>
      <c r="BJ269" s="533"/>
      <c r="BK269" s="533"/>
      <c r="BL269" s="67"/>
      <c r="BM269" s="67"/>
      <c r="BO269" s="531"/>
      <c r="BP269" s="531"/>
      <c r="BQ269" s="531"/>
      <c r="BT269" s="63"/>
      <c r="BU269" s="64"/>
      <c r="CA269" s="531"/>
      <c r="CB269" s="531"/>
      <c r="CC269" s="531"/>
      <c r="CF269" s="63"/>
      <c r="CG269" s="64"/>
      <c r="CM269" s="531"/>
      <c r="CN269" s="531"/>
      <c r="CO269" s="531"/>
    </row>
    <row r="270" spans="18:93" ht="18" customHeight="1">
      <c r="R270" s="63"/>
      <c r="V270" s="170"/>
      <c r="W270" s="56"/>
      <c r="X270" s="56"/>
      <c r="Y270" s="56"/>
      <c r="AD270" s="63"/>
      <c r="AG270" s="56"/>
      <c r="AH270" s="56"/>
      <c r="AI270" s="56"/>
      <c r="AJ270" s="56"/>
      <c r="AK270" s="56"/>
      <c r="AO270" s="68"/>
      <c r="AP270" s="76"/>
      <c r="AQ270" s="67"/>
      <c r="AR270" s="68"/>
      <c r="AS270" s="69"/>
      <c r="AT270" s="69"/>
      <c r="AU270" s="69"/>
      <c r="AV270" s="69"/>
      <c r="AW270" s="69"/>
      <c r="AX270" s="68"/>
      <c r="AY270" s="69"/>
      <c r="AZ270" s="67"/>
      <c r="BA270" s="69"/>
      <c r="BB270" s="76"/>
      <c r="BC270" s="67"/>
      <c r="BD270" s="68"/>
      <c r="BE270" s="69"/>
      <c r="BF270" s="69"/>
      <c r="BG270" s="69"/>
      <c r="BH270" s="69"/>
      <c r="BI270" s="69"/>
      <c r="BJ270" s="68"/>
      <c r="BK270" s="69"/>
      <c r="BL270" s="67"/>
      <c r="BM270" s="67"/>
      <c r="BN270" s="56"/>
      <c r="BO270" s="56"/>
      <c r="BT270" s="63"/>
      <c r="BW270" s="56"/>
      <c r="BX270" s="56"/>
      <c r="BY270" s="56"/>
      <c r="BZ270" s="56"/>
      <c r="CA270" s="56"/>
      <c r="CF270" s="63"/>
      <c r="CI270" s="56"/>
      <c r="CJ270" s="56"/>
      <c r="CK270" s="56"/>
      <c r="CL270" s="56"/>
      <c r="CM270" s="56"/>
    </row>
    <row r="271" spans="18:93" ht="18" customHeight="1">
      <c r="R271" s="63"/>
      <c r="V271" s="170"/>
      <c r="W271" s="56"/>
      <c r="X271" s="56"/>
      <c r="Y271" s="56"/>
      <c r="AD271" s="63"/>
      <c r="AG271" s="56"/>
      <c r="AH271" s="56"/>
      <c r="AI271" s="56"/>
      <c r="AJ271" s="56"/>
      <c r="AK271" s="56"/>
      <c r="AO271" s="68"/>
      <c r="AP271" s="76"/>
      <c r="AQ271" s="67"/>
      <c r="AR271" s="68"/>
      <c r="AS271" s="69"/>
      <c r="AT271" s="69"/>
      <c r="AU271" s="69"/>
      <c r="AV271" s="69"/>
      <c r="AW271" s="69"/>
      <c r="AX271" s="68"/>
      <c r="AY271" s="69"/>
      <c r="AZ271" s="67"/>
      <c r="BA271" s="69"/>
      <c r="BB271" s="76"/>
      <c r="BC271" s="67"/>
      <c r="BD271" s="68"/>
      <c r="BE271" s="69"/>
      <c r="BF271" s="69"/>
      <c r="BG271" s="69"/>
      <c r="BH271" s="69"/>
      <c r="BI271" s="69"/>
      <c r="BJ271" s="68"/>
      <c r="BK271" s="69"/>
      <c r="BL271" s="67"/>
      <c r="BM271" s="67"/>
      <c r="BN271" s="56"/>
      <c r="BO271" s="56"/>
      <c r="BT271" s="63"/>
      <c r="BW271" s="56"/>
      <c r="BX271" s="56"/>
      <c r="BY271" s="56"/>
      <c r="BZ271" s="56"/>
      <c r="CA271" s="56"/>
      <c r="CF271" s="63"/>
      <c r="CI271" s="56"/>
      <c r="CJ271" s="56"/>
      <c r="CK271" s="56"/>
      <c r="CL271" s="56"/>
      <c r="CM271" s="56"/>
    </row>
    <row r="272" spans="18:93" ht="18" customHeight="1">
      <c r="R272" s="63"/>
      <c r="V272" s="170"/>
      <c r="W272" s="56"/>
      <c r="X272" s="56"/>
      <c r="Y272" s="56"/>
      <c r="AD272" s="63"/>
      <c r="AG272" s="56"/>
      <c r="AH272" s="56"/>
      <c r="AI272" s="56"/>
      <c r="AJ272" s="56"/>
      <c r="AK272" s="56"/>
      <c r="AO272" s="68"/>
      <c r="AP272" s="76"/>
      <c r="AQ272" s="67"/>
      <c r="AR272" s="68"/>
      <c r="AS272" s="69"/>
      <c r="AT272" s="69"/>
      <c r="AU272" s="69"/>
      <c r="AV272" s="69"/>
      <c r="AW272" s="69"/>
      <c r="AX272" s="68"/>
      <c r="AY272" s="69"/>
      <c r="AZ272" s="67"/>
      <c r="BA272" s="69"/>
      <c r="BB272" s="76"/>
      <c r="BC272" s="67"/>
      <c r="BD272" s="68"/>
      <c r="BE272" s="69"/>
      <c r="BF272" s="69"/>
      <c r="BG272" s="69"/>
      <c r="BH272" s="69"/>
      <c r="BI272" s="69"/>
      <c r="BJ272" s="68"/>
      <c r="BK272" s="69"/>
      <c r="BL272" s="67"/>
      <c r="BM272" s="67"/>
      <c r="BN272" s="56"/>
      <c r="BO272" s="56"/>
      <c r="BT272" s="63"/>
      <c r="BW272" s="56"/>
      <c r="BX272" s="56"/>
      <c r="BY272" s="56"/>
      <c r="BZ272" s="56"/>
      <c r="CA272" s="56"/>
      <c r="CF272" s="63"/>
      <c r="CI272" s="56"/>
      <c r="CJ272" s="56"/>
      <c r="CK272" s="56"/>
      <c r="CL272" s="56"/>
      <c r="CM272" s="56"/>
    </row>
    <row r="273" spans="18:93" ht="18" customHeight="1">
      <c r="R273" s="63"/>
      <c r="V273" s="170"/>
      <c r="W273" s="56"/>
      <c r="X273" s="56"/>
      <c r="Y273" s="56"/>
      <c r="AD273" s="63"/>
      <c r="AG273" s="56"/>
      <c r="AH273" s="56"/>
      <c r="AI273" s="56"/>
      <c r="AJ273" s="56"/>
      <c r="AK273" s="56"/>
      <c r="AO273" s="68"/>
      <c r="AP273" s="76"/>
      <c r="AQ273" s="67"/>
      <c r="AR273" s="68"/>
      <c r="AS273" s="69"/>
      <c r="AT273" s="69"/>
      <c r="AU273" s="69"/>
      <c r="AV273" s="69"/>
      <c r="AW273" s="69"/>
      <c r="AX273" s="68"/>
      <c r="AY273" s="69"/>
      <c r="AZ273" s="67"/>
      <c r="BA273" s="69"/>
      <c r="BB273" s="76"/>
      <c r="BC273" s="67"/>
      <c r="BD273" s="68"/>
      <c r="BE273" s="69"/>
      <c r="BF273" s="69"/>
      <c r="BG273" s="69"/>
      <c r="BH273" s="69"/>
      <c r="BI273" s="69"/>
      <c r="BJ273" s="68"/>
      <c r="BK273" s="69"/>
      <c r="BL273" s="67"/>
      <c r="BM273" s="67"/>
      <c r="BN273" s="56"/>
      <c r="BO273" s="56"/>
      <c r="BT273" s="63"/>
      <c r="BW273" s="56"/>
      <c r="BX273" s="56"/>
      <c r="BY273" s="56"/>
      <c r="BZ273" s="56"/>
      <c r="CA273" s="56"/>
      <c r="CF273" s="63"/>
      <c r="CI273" s="56"/>
      <c r="CJ273" s="56"/>
      <c r="CK273" s="56"/>
      <c r="CL273" s="56"/>
      <c r="CM273" s="56"/>
    </row>
    <row r="274" spans="18:93" ht="18" customHeight="1">
      <c r="AO274" s="68"/>
      <c r="AP274" s="67"/>
      <c r="AQ274" s="67"/>
      <c r="AR274" s="68"/>
      <c r="AS274" s="68"/>
      <c r="AT274" s="68"/>
      <c r="AU274" s="68"/>
      <c r="AV274" s="68"/>
      <c r="AW274" s="68"/>
      <c r="AX274" s="68"/>
      <c r="AY274" s="69"/>
      <c r="AZ274" s="67"/>
      <c r="BA274" s="68"/>
      <c r="BB274" s="67"/>
      <c r="BC274" s="67"/>
      <c r="BD274" s="68"/>
      <c r="BE274" s="68"/>
      <c r="BF274" s="68"/>
      <c r="BG274" s="68"/>
      <c r="BH274" s="68"/>
      <c r="BI274" s="68"/>
      <c r="BJ274" s="68"/>
      <c r="BK274" s="69"/>
      <c r="BL274" s="67"/>
      <c r="BM274" s="67"/>
    </row>
    <row r="275" spans="18:93" ht="18" customHeight="1">
      <c r="R275" s="63"/>
      <c r="S275" s="64"/>
      <c r="Y275" s="531"/>
      <c r="Z275" s="531"/>
      <c r="AA275" s="531"/>
      <c r="AD275" s="63"/>
      <c r="AE275" s="64"/>
      <c r="AK275" s="531"/>
      <c r="AL275" s="531"/>
      <c r="AM275" s="531"/>
      <c r="AO275" s="68"/>
      <c r="AP275" s="76"/>
      <c r="AQ275" s="77"/>
      <c r="AR275" s="68"/>
      <c r="AS275" s="68"/>
      <c r="AT275" s="68"/>
      <c r="AU275" s="68"/>
      <c r="AV275" s="68"/>
      <c r="AW275" s="533"/>
      <c r="AX275" s="533"/>
      <c r="AY275" s="533"/>
      <c r="AZ275" s="67"/>
      <c r="BA275" s="68"/>
      <c r="BB275" s="76"/>
      <c r="BC275" s="77"/>
      <c r="BD275" s="68"/>
      <c r="BE275" s="68"/>
      <c r="BF275" s="68"/>
      <c r="BG275" s="68"/>
      <c r="BH275" s="68"/>
      <c r="BI275" s="533"/>
      <c r="BJ275" s="533"/>
      <c r="BK275" s="533"/>
      <c r="BL275" s="67"/>
      <c r="BM275" s="67"/>
      <c r="BO275" s="531"/>
      <c r="BP275" s="531"/>
      <c r="BQ275" s="531"/>
      <c r="BT275" s="63"/>
      <c r="BU275" s="64"/>
      <c r="CA275" s="531"/>
      <c r="CB275" s="531"/>
      <c r="CC275" s="531"/>
      <c r="CF275" s="63"/>
      <c r="CG275" s="64"/>
      <c r="CM275" s="531"/>
      <c r="CN275" s="531"/>
      <c r="CO275" s="531"/>
    </row>
    <row r="276" spans="18:93" ht="18" customHeight="1">
      <c r="R276" s="63"/>
      <c r="V276" s="170"/>
      <c r="W276" s="56"/>
      <c r="X276" s="56"/>
      <c r="Y276" s="56"/>
      <c r="AD276" s="63"/>
      <c r="AG276" s="56"/>
      <c r="AH276" s="56"/>
      <c r="AI276" s="56"/>
      <c r="AJ276" s="56"/>
      <c r="AK276" s="56"/>
      <c r="AO276" s="68"/>
      <c r="AP276" s="76"/>
      <c r="AQ276" s="67"/>
      <c r="AR276" s="68"/>
      <c r="AS276" s="69"/>
      <c r="AT276" s="69"/>
      <c r="AU276" s="69"/>
      <c r="AV276" s="69"/>
      <c r="AW276" s="69"/>
      <c r="AX276" s="68"/>
      <c r="AY276" s="69"/>
      <c r="AZ276" s="67"/>
      <c r="BA276" s="69"/>
      <c r="BB276" s="76"/>
      <c r="BC276" s="67"/>
      <c r="BD276" s="68"/>
      <c r="BE276" s="69"/>
      <c r="BF276" s="69"/>
      <c r="BG276" s="69"/>
      <c r="BH276" s="69"/>
      <c r="BI276" s="69"/>
      <c r="BJ276" s="68"/>
      <c r="BK276" s="69"/>
      <c r="BL276" s="67"/>
      <c r="BM276" s="67"/>
      <c r="BN276" s="56"/>
      <c r="BO276" s="56"/>
      <c r="BT276" s="63"/>
      <c r="BW276" s="56"/>
      <c r="BX276" s="56"/>
      <c r="BY276" s="56"/>
      <c r="BZ276" s="56"/>
      <c r="CA276" s="56"/>
      <c r="CF276" s="63"/>
      <c r="CI276" s="56"/>
      <c r="CJ276" s="56"/>
      <c r="CK276" s="56"/>
      <c r="CL276" s="56"/>
      <c r="CM276" s="56"/>
    </row>
    <row r="277" spans="18:93" ht="18" customHeight="1">
      <c r="R277" s="63"/>
      <c r="V277" s="170"/>
      <c r="W277" s="56"/>
      <c r="X277" s="56"/>
      <c r="Y277" s="56"/>
      <c r="AD277" s="63"/>
      <c r="AG277" s="56"/>
      <c r="AH277" s="56"/>
      <c r="AI277" s="56"/>
      <c r="AJ277" s="56"/>
      <c r="AK277" s="56"/>
      <c r="AO277" s="68"/>
      <c r="AP277" s="76"/>
      <c r="AQ277" s="67"/>
      <c r="AR277" s="68"/>
      <c r="AS277" s="69"/>
      <c r="AT277" s="69"/>
      <c r="AU277" s="69"/>
      <c r="AV277" s="69"/>
      <c r="AW277" s="69"/>
      <c r="AX277" s="68"/>
      <c r="AY277" s="69"/>
      <c r="AZ277" s="67"/>
      <c r="BA277" s="69"/>
      <c r="BB277" s="76"/>
      <c r="BC277" s="67"/>
      <c r="BD277" s="68"/>
      <c r="BE277" s="69"/>
      <c r="BF277" s="69"/>
      <c r="BG277" s="69"/>
      <c r="BH277" s="69"/>
      <c r="BI277" s="69"/>
      <c r="BJ277" s="68"/>
      <c r="BK277" s="69"/>
      <c r="BL277" s="67"/>
      <c r="BM277" s="67"/>
      <c r="BN277" s="56"/>
      <c r="BO277" s="56"/>
      <c r="BT277" s="63"/>
      <c r="BW277" s="56"/>
      <c r="BX277" s="56"/>
      <c r="BY277" s="56"/>
      <c r="BZ277" s="56"/>
      <c r="CA277" s="56"/>
      <c r="CF277" s="63"/>
      <c r="CI277" s="56"/>
      <c r="CJ277" s="56"/>
      <c r="CK277" s="56"/>
      <c r="CL277" s="56"/>
      <c r="CM277" s="56"/>
    </row>
    <row r="278" spans="18:93" ht="18" customHeight="1">
      <c r="R278" s="63"/>
      <c r="V278" s="170"/>
      <c r="W278" s="56"/>
      <c r="X278" s="56"/>
      <c r="Y278" s="56"/>
      <c r="AD278" s="63"/>
      <c r="AG278" s="56"/>
      <c r="AH278" s="56"/>
      <c r="AI278" s="56"/>
      <c r="AJ278" s="56"/>
      <c r="AK278" s="56"/>
      <c r="AO278" s="68"/>
      <c r="AP278" s="76"/>
      <c r="AQ278" s="67"/>
      <c r="AR278" s="68"/>
      <c r="AS278" s="69"/>
      <c r="AT278" s="69"/>
      <c r="AU278" s="69"/>
      <c r="AV278" s="69"/>
      <c r="AW278" s="69"/>
      <c r="AX278" s="68"/>
      <c r="AY278" s="69"/>
      <c r="AZ278" s="67"/>
      <c r="BA278" s="69"/>
      <c r="BB278" s="76"/>
      <c r="BC278" s="67"/>
      <c r="BD278" s="68"/>
      <c r="BE278" s="69"/>
      <c r="BF278" s="69"/>
      <c r="BG278" s="69"/>
      <c r="BH278" s="69"/>
      <c r="BI278" s="69"/>
      <c r="BJ278" s="68"/>
      <c r="BK278" s="69"/>
      <c r="BL278" s="67"/>
      <c r="BM278" s="67"/>
      <c r="BN278" s="56"/>
      <c r="BO278" s="56"/>
      <c r="BT278" s="63"/>
      <c r="BW278" s="56"/>
      <c r="BX278" s="56"/>
      <c r="BY278" s="56"/>
      <c r="BZ278" s="56"/>
      <c r="CA278" s="56"/>
      <c r="CF278" s="63"/>
      <c r="CI278" s="56"/>
      <c r="CJ278" s="56"/>
      <c r="CK278" s="56"/>
      <c r="CL278" s="56"/>
      <c r="CM278" s="56"/>
    </row>
    <row r="279" spans="18:93" ht="18" customHeight="1">
      <c r="R279" s="63"/>
      <c r="V279" s="170"/>
      <c r="W279" s="56"/>
      <c r="X279" s="56"/>
      <c r="Y279" s="56"/>
      <c r="AD279" s="63"/>
      <c r="AG279" s="56"/>
      <c r="AH279" s="56"/>
      <c r="AI279" s="56"/>
      <c r="AJ279" s="56"/>
      <c r="AK279" s="56"/>
      <c r="AO279" s="68"/>
      <c r="AP279" s="76"/>
      <c r="AQ279" s="67"/>
      <c r="AR279" s="68"/>
      <c r="AS279" s="69"/>
      <c r="AT279" s="69"/>
      <c r="AU279" s="69"/>
      <c r="AV279" s="69"/>
      <c r="AW279" s="69"/>
      <c r="AX279" s="68"/>
      <c r="AY279" s="69"/>
      <c r="AZ279" s="67"/>
      <c r="BA279" s="69"/>
      <c r="BB279" s="76"/>
      <c r="BC279" s="67"/>
      <c r="BD279" s="68"/>
      <c r="BE279" s="69"/>
      <c r="BF279" s="69"/>
      <c r="BG279" s="69"/>
      <c r="BH279" s="69"/>
      <c r="BI279" s="69"/>
      <c r="BJ279" s="68"/>
      <c r="BK279" s="69"/>
      <c r="BL279" s="67"/>
      <c r="BM279" s="67"/>
      <c r="BN279" s="56"/>
      <c r="BO279" s="56"/>
      <c r="BT279" s="63"/>
      <c r="BW279" s="56"/>
      <c r="BX279" s="56"/>
      <c r="BY279" s="56"/>
      <c r="BZ279" s="56"/>
      <c r="CA279" s="56"/>
      <c r="CF279" s="63"/>
      <c r="CI279" s="56"/>
      <c r="CJ279" s="56"/>
      <c r="CK279" s="56"/>
      <c r="CL279" s="56"/>
      <c r="CM279" s="56"/>
    </row>
    <row r="280" spans="18:93" ht="18" customHeight="1">
      <c r="AO280" s="68"/>
      <c r="AP280" s="67"/>
      <c r="AQ280" s="67"/>
      <c r="AR280" s="68"/>
      <c r="AS280" s="68"/>
      <c r="AT280" s="68"/>
      <c r="AU280" s="68"/>
      <c r="AV280" s="68"/>
      <c r="AW280" s="68"/>
      <c r="AX280" s="68"/>
      <c r="AY280" s="69"/>
      <c r="AZ280" s="67"/>
      <c r="BA280" s="68"/>
      <c r="BB280" s="67"/>
      <c r="BC280" s="67"/>
      <c r="BD280" s="68"/>
      <c r="BE280" s="68"/>
      <c r="BF280" s="68"/>
      <c r="BG280" s="68"/>
      <c r="BH280" s="68"/>
      <c r="BI280" s="68"/>
      <c r="BJ280" s="68"/>
      <c r="BK280" s="69"/>
      <c r="BL280" s="67"/>
      <c r="BM280" s="67"/>
    </row>
    <row r="281" spans="18:93" ht="18" customHeight="1">
      <c r="R281" s="63"/>
      <c r="S281" s="64"/>
      <c r="Y281" s="531"/>
      <c r="Z281" s="531"/>
      <c r="AA281" s="531"/>
      <c r="AD281" s="63"/>
      <c r="AE281" s="64"/>
      <c r="AK281" s="531"/>
      <c r="AL281" s="531"/>
      <c r="AM281" s="531"/>
      <c r="AO281" s="68"/>
      <c r="AP281" s="76"/>
      <c r="AQ281" s="77"/>
      <c r="AR281" s="68"/>
      <c r="AS281" s="68"/>
      <c r="AT281" s="68"/>
      <c r="AU281" s="68"/>
      <c r="AV281" s="68"/>
      <c r="AW281" s="533"/>
      <c r="AX281" s="533"/>
      <c r="AY281" s="533"/>
      <c r="AZ281" s="67"/>
      <c r="BA281" s="68"/>
      <c r="BB281" s="76"/>
      <c r="BC281" s="77"/>
      <c r="BD281" s="68"/>
      <c r="BE281" s="68"/>
      <c r="BF281" s="68"/>
      <c r="BG281" s="68"/>
      <c r="BH281" s="68"/>
      <c r="BI281" s="533"/>
      <c r="BJ281" s="533"/>
      <c r="BK281" s="533"/>
      <c r="BL281" s="67"/>
      <c r="BM281" s="67"/>
      <c r="BO281" s="531"/>
      <c r="BP281" s="531"/>
      <c r="BQ281" s="531"/>
      <c r="BT281" s="63"/>
      <c r="BU281" s="64"/>
      <c r="CA281" s="531"/>
      <c r="CB281" s="531"/>
      <c r="CC281" s="531"/>
      <c r="CF281" s="63"/>
      <c r="CG281" s="64"/>
      <c r="CM281" s="531"/>
      <c r="CN281" s="531"/>
      <c r="CO281" s="531"/>
    </row>
    <row r="282" spans="18:93" ht="18" customHeight="1">
      <c r="R282" s="63"/>
      <c r="V282" s="170"/>
      <c r="W282" s="56"/>
      <c r="X282" s="56"/>
      <c r="Y282" s="56"/>
      <c r="AD282" s="63"/>
      <c r="AG282" s="56"/>
      <c r="AH282" s="56"/>
      <c r="AI282" s="56"/>
      <c r="AJ282" s="56"/>
      <c r="AK282" s="56"/>
      <c r="AO282" s="68"/>
      <c r="AP282" s="76"/>
      <c r="AQ282" s="67"/>
      <c r="AR282" s="68"/>
      <c r="AS282" s="69"/>
      <c r="AT282" s="69"/>
      <c r="AU282" s="69"/>
      <c r="AV282" s="69"/>
      <c r="AW282" s="69"/>
      <c r="AX282" s="68"/>
      <c r="AY282" s="69"/>
      <c r="AZ282" s="67"/>
      <c r="BA282" s="69"/>
      <c r="BB282" s="76"/>
      <c r="BC282" s="67"/>
      <c r="BD282" s="68"/>
      <c r="BE282" s="69"/>
      <c r="BF282" s="69"/>
      <c r="BG282" s="69"/>
      <c r="BH282" s="69"/>
      <c r="BI282" s="69"/>
      <c r="BJ282" s="68"/>
      <c r="BK282" s="69"/>
      <c r="BL282" s="67"/>
      <c r="BM282" s="67"/>
      <c r="BN282" s="56"/>
      <c r="BO282" s="56"/>
      <c r="BT282" s="63"/>
      <c r="BW282" s="56"/>
      <c r="BX282" s="56"/>
      <c r="BY282" s="56"/>
      <c r="BZ282" s="56"/>
      <c r="CA282" s="56"/>
      <c r="CF282" s="63"/>
      <c r="CI282" s="56"/>
      <c r="CJ282" s="56"/>
      <c r="CK282" s="56"/>
      <c r="CL282" s="56"/>
      <c r="CM282" s="56"/>
    </row>
    <row r="283" spans="18:93" ht="18" customHeight="1">
      <c r="R283" s="63"/>
      <c r="V283" s="170"/>
      <c r="W283" s="56"/>
      <c r="X283" s="56"/>
      <c r="Y283" s="56"/>
      <c r="AD283" s="63"/>
      <c r="AG283" s="56"/>
      <c r="AH283" s="56"/>
      <c r="AI283" s="56"/>
      <c r="AJ283" s="56"/>
      <c r="AK283" s="56"/>
      <c r="AO283" s="68"/>
      <c r="AP283" s="76"/>
      <c r="AQ283" s="67"/>
      <c r="AR283" s="68"/>
      <c r="AS283" s="69"/>
      <c r="AT283" s="69"/>
      <c r="AU283" s="69"/>
      <c r="AV283" s="69"/>
      <c r="AW283" s="69"/>
      <c r="AX283" s="68"/>
      <c r="AY283" s="69"/>
      <c r="AZ283" s="67"/>
      <c r="BA283" s="69"/>
      <c r="BB283" s="76"/>
      <c r="BC283" s="67"/>
      <c r="BD283" s="68"/>
      <c r="BE283" s="69"/>
      <c r="BF283" s="69"/>
      <c r="BG283" s="69"/>
      <c r="BH283" s="69"/>
      <c r="BI283" s="69"/>
      <c r="BJ283" s="68"/>
      <c r="BK283" s="69"/>
      <c r="BL283" s="67"/>
      <c r="BM283" s="67"/>
      <c r="BN283" s="56"/>
      <c r="BO283" s="56"/>
      <c r="BT283" s="63"/>
      <c r="BW283" s="56"/>
      <c r="BX283" s="56"/>
      <c r="BY283" s="56"/>
      <c r="BZ283" s="56"/>
      <c r="CA283" s="56"/>
      <c r="CF283" s="63"/>
      <c r="CI283" s="56"/>
      <c r="CJ283" s="56"/>
      <c r="CK283" s="56"/>
      <c r="CL283" s="56"/>
      <c r="CM283" s="56"/>
    </row>
    <row r="284" spans="18:93" ht="18" customHeight="1">
      <c r="R284" s="63"/>
      <c r="V284" s="170"/>
      <c r="W284" s="56"/>
      <c r="X284" s="56"/>
      <c r="Y284" s="56"/>
      <c r="AD284" s="63"/>
      <c r="AG284" s="56"/>
      <c r="AH284" s="56"/>
      <c r="AI284" s="56"/>
      <c r="AJ284" s="56"/>
      <c r="AK284" s="56"/>
      <c r="AO284" s="68"/>
      <c r="AP284" s="76"/>
      <c r="AQ284" s="67"/>
      <c r="AR284" s="68"/>
      <c r="AS284" s="69"/>
      <c r="AT284" s="69"/>
      <c r="AU284" s="69"/>
      <c r="AV284" s="69"/>
      <c r="AW284" s="69"/>
      <c r="AX284" s="68"/>
      <c r="AY284" s="69"/>
      <c r="AZ284" s="67"/>
      <c r="BA284" s="69"/>
      <c r="BB284" s="76"/>
      <c r="BC284" s="67"/>
      <c r="BD284" s="68"/>
      <c r="BE284" s="69"/>
      <c r="BF284" s="69"/>
      <c r="BG284" s="69"/>
      <c r="BH284" s="69"/>
      <c r="BI284" s="69"/>
      <c r="BJ284" s="68"/>
      <c r="BK284" s="69"/>
      <c r="BL284" s="67"/>
      <c r="BM284" s="67"/>
      <c r="BN284" s="56"/>
      <c r="BO284" s="56"/>
      <c r="BT284" s="63"/>
      <c r="BW284" s="56"/>
      <c r="BX284" s="56"/>
      <c r="BY284" s="56"/>
      <c r="BZ284" s="56"/>
      <c r="CA284" s="56"/>
      <c r="CF284" s="63"/>
      <c r="CI284" s="56"/>
      <c r="CJ284" s="56"/>
      <c r="CK284" s="56"/>
      <c r="CL284" s="56"/>
      <c r="CM284" s="56"/>
    </row>
    <row r="285" spans="18:93" ht="18" customHeight="1">
      <c r="R285" s="63"/>
      <c r="V285" s="170"/>
      <c r="W285" s="56"/>
      <c r="X285" s="56"/>
      <c r="Y285" s="56"/>
      <c r="AD285" s="63"/>
      <c r="AG285" s="56"/>
      <c r="AH285" s="56"/>
      <c r="AI285" s="56"/>
      <c r="AJ285" s="56"/>
      <c r="AK285" s="56"/>
      <c r="AO285" s="68"/>
      <c r="AP285" s="76"/>
      <c r="AQ285" s="67"/>
      <c r="AR285" s="68"/>
      <c r="AS285" s="69"/>
      <c r="AT285" s="69"/>
      <c r="AU285" s="69"/>
      <c r="AV285" s="69"/>
      <c r="AW285" s="69"/>
      <c r="AX285" s="68"/>
      <c r="AY285" s="69"/>
      <c r="AZ285" s="67"/>
      <c r="BA285" s="69"/>
      <c r="BB285" s="76"/>
      <c r="BC285" s="67"/>
      <c r="BD285" s="68"/>
      <c r="BE285" s="69"/>
      <c r="BF285" s="69"/>
      <c r="BG285" s="69"/>
      <c r="BH285" s="69"/>
      <c r="BI285" s="69"/>
      <c r="BJ285" s="68"/>
      <c r="BK285" s="69"/>
      <c r="BL285" s="67"/>
      <c r="BM285" s="67"/>
      <c r="BN285" s="56"/>
      <c r="BO285" s="56"/>
      <c r="BT285" s="63"/>
      <c r="BW285" s="56"/>
      <c r="BX285" s="56"/>
      <c r="BY285" s="56"/>
      <c r="BZ285" s="56"/>
      <c r="CA285" s="56"/>
      <c r="CF285" s="63"/>
      <c r="CI285" s="56"/>
      <c r="CJ285" s="56"/>
      <c r="CK285" s="56"/>
      <c r="CL285" s="56"/>
      <c r="CM285" s="56"/>
    </row>
    <row r="286" spans="18:93" ht="18" customHeight="1">
      <c r="AO286" s="68"/>
      <c r="AP286" s="67"/>
      <c r="AQ286" s="67"/>
      <c r="AR286" s="68"/>
      <c r="AS286" s="68"/>
      <c r="AT286" s="68"/>
      <c r="AU286" s="68"/>
      <c r="AV286" s="68"/>
      <c r="AW286" s="68"/>
      <c r="AX286" s="68"/>
      <c r="AY286" s="69"/>
      <c r="AZ286" s="67"/>
      <c r="BA286" s="68"/>
      <c r="BB286" s="67"/>
      <c r="BC286" s="67"/>
      <c r="BD286" s="68"/>
      <c r="BE286" s="68"/>
      <c r="BF286" s="68"/>
      <c r="BG286" s="68"/>
      <c r="BH286" s="68"/>
      <c r="BI286" s="68"/>
      <c r="BJ286" s="68"/>
      <c r="BK286" s="69"/>
      <c r="BL286" s="67"/>
      <c r="BM286" s="67"/>
    </row>
    <row r="287" spans="18:93" ht="18" customHeight="1">
      <c r="R287" s="63"/>
      <c r="S287" s="64"/>
      <c r="Y287" s="531"/>
      <c r="Z287" s="531"/>
      <c r="AA287" s="531"/>
      <c r="AD287" s="63"/>
      <c r="AE287" s="64"/>
      <c r="AK287" s="531"/>
      <c r="AL287" s="531"/>
      <c r="AM287" s="531"/>
      <c r="AO287" s="68"/>
      <c r="AP287" s="76"/>
      <c r="AQ287" s="77"/>
      <c r="AR287" s="68"/>
      <c r="AS287" s="68"/>
      <c r="AT287" s="68"/>
      <c r="AU287" s="68"/>
      <c r="AV287" s="68"/>
      <c r="AW287" s="533"/>
      <c r="AX287" s="533"/>
      <c r="AY287" s="533"/>
      <c r="AZ287" s="67"/>
      <c r="BA287" s="68"/>
      <c r="BB287" s="76"/>
      <c r="BC287" s="77"/>
      <c r="BD287" s="68"/>
      <c r="BE287" s="68"/>
      <c r="BF287" s="68"/>
      <c r="BG287" s="68"/>
      <c r="BH287" s="68"/>
      <c r="BI287" s="533"/>
      <c r="BJ287" s="533"/>
      <c r="BK287" s="533"/>
      <c r="BL287" s="67"/>
      <c r="BM287" s="67"/>
      <c r="BO287" s="531"/>
      <c r="BP287" s="531"/>
      <c r="BQ287" s="531"/>
      <c r="BT287" s="63"/>
      <c r="BU287" s="64"/>
      <c r="CA287" s="531"/>
      <c r="CB287" s="531"/>
      <c r="CC287" s="531"/>
      <c r="CF287" s="63"/>
      <c r="CG287" s="64"/>
      <c r="CM287" s="531"/>
      <c r="CN287" s="531"/>
      <c r="CO287" s="531"/>
    </row>
    <row r="288" spans="18:93" ht="18" customHeight="1">
      <c r="R288" s="63"/>
      <c r="V288" s="170"/>
      <c r="W288" s="56"/>
      <c r="X288" s="56"/>
      <c r="Y288" s="56"/>
      <c r="AD288" s="63"/>
      <c r="AG288" s="56"/>
      <c r="AH288" s="56"/>
      <c r="AI288" s="56"/>
      <c r="AJ288" s="56"/>
      <c r="AK288" s="56"/>
      <c r="AO288" s="68"/>
      <c r="AP288" s="76"/>
      <c r="AQ288" s="67"/>
      <c r="AR288" s="68"/>
      <c r="AS288" s="69"/>
      <c r="AT288" s="69"/>
      <c r="AU288" s="69"/>
      <c r="AV288" s="69"/>
      <c r="AW288" s="69"/>
      <c r="AX288" s="68"/>
      <c r="AY288" s="69"/>
      <c r="AZ288" s="67"/>
      <c r="BA288" s="69"/>
      <c r="BB288" s="76"/>
      <c r="BC288" s="67"/>
      <c r="BD288" s="68"/>
      <c r="BE288" s="69"/>
      <c r="BF288" s="69"/>
      <c r="BG288" s="69"/>
      <c r="BH288" s="69"/>
      <c r="BI288" s="69"/>
      <c r="BJ288" s="68"/>
      <c r="BK288" s="69"/>
      <c r="BL288" s="67"/>
      <c r="BM288" s="67"/>
      <c r="BN288" s="56"/>
      <c r="BO288" s="56"/>
      <c r="BT288" s="63"/>
      <c r="BW288" s="56"/>
      <c r="BX288" s="56"/>
      <c r="BY288" s="56"/>
      <c r="BZ288" s="56"/>
      <c r="CA288" s="56"/>
      <c r="CF288" s="63"/>
      <c r="CI288" s="56"/>
      <c r="CJ288" s="56"/>
      <c r="CK288" s="56"/>
      <c r="CL288" s="56"/>
      <c r="CM288" s="56"/>
    </row>
    <row r="289" spans="18:93" ht="18" customHeight="1">
      <c r="R289" s="63"/>
      <c r="V289" s="170"/>
      <c r="W289" s="56"/>
      <c r="X289" s="56"/>
      <c r="Y289" s="56"/>
      <c r="AD289" s="63"/>
      <c r="AG289" s="56"/>
      <c r="AH289" s="56"/>
      <c r="AI289" s="56"/>
      <c r="AJ289" s="56"/>
      <c r="AK289" s="56"/>
      <c r="AO289" s="68"/>
      <c r="AP289" s="76"/>
      <c r="AQ289" s="67"/>
      <c r="AR289" s="68"/>
      <c r="AS289" s="69"/>
      <c r="AT289" s="69"/>
      <c r="AU289" s="69"/>
      <c r="AV289" s="69"/>
      <c r="AW289" s="69"/>
      <c r="AX289" s="68"/>
      <c r="AY289" s="69"/>
      <c r="AZ289" s="67"/>
      <c r="BA289" s="69"/>
      <c r="BB289" s="76"/>
      <c r="BC289" s="67"/>
      <c r="BD289" s="68"/>
      <c r="BE289" s="69"/>
      <c r="BF289" s="69"/>
      <c r="BG289" s="69"/>
      <c r="BH289" s="69"/>
      <c r="BI289" s="69"/>
      <c r="BJ289" s="68"/>
      <c r="BK289" s="69"/>
      <c r="BL289" s="67"/>
      <c r="BM289" s="67"/>
      <c r="BN289" s="56"/>
      <c r="BO289" s="56"/>
      <c r="BT289" s="63"/>
      <c r="BW289" s="56"/>
      <c r="BX289" s="56"/>
      <c r="BY289" s="56"/>
      <c r="BZ289" s="56"/>
      <c r="CA289" s="56"/>
      <c r="CF289" s="63"/>
      <c r="CI289" s="56"/>
      <c r="CJ289" s="56"/>
      <c r="CK289" s="56"/>
      <c r="CL289" s="56"/>
      <c r="CM289" s="56"/>
    </row>
    <row r="290" spans="18:93" ht="18" customHeight="1">
      <c r="R290" s="63"/>
      <c r="V290" s="170"/>
      <c r="W290" s="56"/>
      <c r="X290" s="56"/>
      <c r="Y290" s="56"/>
      <c r="AD290" s="63"/>
      <c r="AG290" s="56"/>
      <c r="AH290" s="56"/>
      <c r="AI290" s="56"/>
      <c r="AJ290" s="56"/>
      <c r="AK290" s="56"/>
      <c r="AO290" s="68"/>
      <c r="AP290" s="76"/>
      <c r="AQ290" s="67"/>
      <c r="AR290" s="68"/>
      <c r="AS290" s="69"/>
      <c r="AT290" s="69"/>
      <c r="AU290" s="69"/>
      <c r="AV290" s="69"/>
      <c r="AW290" s="69"/>
      <c r="AX290" s="68"/>
      <c r="AY290" s="69"/>
      <c r="AZ290" s="67"/>
      <c r="BA290" s="69"/>
      <c r="BB290" s="76"/>
      <c r="BC290" s="67"/>
      <c r="BD290" s="68"/>
      <c r="BE290" s="69"/>
      <c r="BF290" s="69"/>
      <c r="BG290" s="69"/>
      <c r="BH290" s="69"/>
      <c r="BI290" s="69"/>
      <c r="BJ290" s="68"/>
      <c r="BK290" s="69"/>
      <c r="BL290" s="67"/>
      <c r="BM290" s="67"/>
      <c r="BN290" s="56"/>
      <c r="BO290" s="56"/>
      <c r="BT290" s="63"/>
      <c r="BW290" s="56"/>
      <c r="BX290" s="56"/>
      <c r="BY290" s="56"/>
      <c r="BZ290" s="56"/>
      <c r="CA290" s="56"/>
      <c r="CF290" s="63"/>
      <c r="CI290" s="56"/>
      <c r="CJ290" s="56"/>
      <c r="CK290" s="56"/>
      <c r="CL290" s="56"/>
      <c r="CM290" s="56"/>
    </row>
    <row r="291" spans="18:93" ht="18" customHeight="1">
      <c r="R291" s="63"/>
      <c r="V291" s="170"/>
      <c r="W291" s="56"/>
      <c r="X291" s="56"/>
      <c r="Y291" s="56"/>
      <c r="AD291" s="63"/>
      <c r="AG291" s="56"/>
      <c r="AH291" s="56"/>
      <c r="AI291" s="56"/>
      <c r="AJ291" s="56"/>
      <c r="AK291" s="56"/>
      <c r="AO291" s="68"/>
      <c r="AP291" s="76"/>
      <c r="AQ291" s="67"/>
      <c r="AR291" s="68"/>
      <c r="AS291" s="69"/>
      <c r="AT291" s="69"/>
      <c r="AU291" s="69"/>
      <c r="AV291" s="69"/>
      <c r="AW291" s="69"/>
      <c r="AX291" s="68"/>
      <c r="AY291" s="69"/>
      <c r="AZ291" s="67"/>
      <c r="BA291" s="69"/>
      <c r="BB291" s="76"/>
      <c r="BC291" s="67"/>
      <c r="BD291" s="68"/>
      <c r="BE291" s="69"/>
      <c r="BF291" s="69"/>
      <c r="BG291" s="69"/>
      <c r="BH291" s="69"/>
      <c r="BI291" s="69"/>
      <c r="BJ291" s="68"/>
      <c r="BK291" s="69"/>
      <c r="BL291" s="67"/>
      <c r="BM291" s="67"/>
      <c r="BN291" s="56"/>
      <c r="BO291" s="56"/>
      <c r="BT291" s="63"/>
      <c r="BW291" s="56"/>
      <c r="BX291" s="56"/>
      <c r="BY291" s="56"/>
      <c r="BZ291" s="56"/>
      <c r="CA291" s="56"/>
      <c r="CF291" s="63"/>
      <c r="CI291" s="56"/>
      <c r="CJ291" s="56"/>
      <c r="CK291" s="56"/>
      <c r="CL291" s="56"/>
      <c r="CM291" s="56"/>
    </row>
    <row r="292" spans="18:93" ht="18" customHeight="1">
      <c r="AO292" s="68"/>
      <c r="AP292" s="67"/>
      <c r="AQ292" s="67"/>
      <c r="AR292" s="68"/>
      <c r="AS292" s="68"/>
      <c r="AT292" s="68"/>
      <c r="AU292" s="68"/>
      <c r="AV292" s="68"/>
      <c r="AW292" s="68"/>
      <c r="AX292" s="68"/>
      <c r="AY292" s="69"/>
      <c r="AZ292" s="67"/>
      <c r="BA292" s="68"/>
      <c r="BB292" s="67"/>
      <c r="BC292" s="67"/>
      <c r="BD292" s="68"/>
      <c r="BE292" s="68"/>
      <c r="BF292" s="68"/>
      <c r="BG292" s="68"/>
      <c r="BH292" s="68"/>
      <c r="BI292" s="68"/>
      <c r="BJ292" s="68"/>
      <c r="BK292" s="69"/>
      <c r="BL292" s="67"/>
      <c r="BM292" s="67"/>
    </row>
    <row r="293" spans="18:93" ht="18" customHeight="1">
      <c r="R293" s="63"/>
      <c r="S293" s="64"/>
      <c r="Y293" s="531"/>
      <c r="Z293" s="531"/>
      <c r="AA293" s="531"/>
      <c r="AD293" s="63"/>
      <c r="AE293" s="64"/>
      <c r="AK293" s="531"/>
      <c r="AL293" s="531"/>
      <c r="AM293" s="531"/>
      <c r="AO293" s="68"/>
      <c r="AP293" s="76"/>
      <c r="AQ293" s="77"/>
      <c r="AR293" s="68"/>
      <c r="AS293" s="68"/>
      <c r="AT293" s="68"/>
      <c r="AU293" s="68"/>
      <c r="AV293" s="68"/>
      <c r="AW293" s="533"/>
      <c r="AX293" s="533"/>
      <c r="AY293" s="533"/>
      <c r="AZ293" s="67"/>
      <c r="BA293" s="68"/>
      <c r="BB293" s="76"/>
      <c r="BC293" s="77"/>
      <c r="BD293" s="68"/>
      <c r="BE293" s="68"/>
      <c r="BF293" s="68"/>
      <c r="BG293" s="68"/>
      <c r="BH293" s="68"/>
      <c r="BI293" s="533"/>
      <c r="BJ293" s="533"/>
      <c r="BK293" s="533"/>
      <c r="BL293" s="67"/>
      <c r="BM293" s="67"/>
      <c r="BO293" s="531"/>
      <c r="BP293" s="531"/>
      <c r="BQ293" s="531"/>
      <c r="BT293" s="63"/>
      <c r="BU293" s="64"/>
      <c r="CA293" s="531"/>
      <c r="CB293" s="531"/>
      <c r="CC293" s="531"/>
      <c r="CF293" s="63"/>
      <c r="CG293" s="64"/>
      <c r="CM293" s="531"/>
      <c r="CN293" s="531"/>
      <c r="CO293" s="531"/>
    </row>
    <row r="294" spans="18:93" ht="18" customHeight="1">
      <c r="R294" s="63"/>
      <c r="V294" s="170"/>
      <c r="W294" s="56"/>
      <c r="X294" s="56"/>
      <c r="Y294" s="56"/>
      <c r="AD294" s="63"/>
      <c r="AG294" s="56"/>
      <c r="AH294" s="56"/>
      <c r="AI294" s="56"/>
      <c r="AJ294" s="56"/>
      <c r="AK294" s="56"/>
      <c r="AO294" s="68"/>
      <c r="AP294" s="76"/>
      <c r="AQ294" s="67"/>
      <c r="AR294" s="68"/>
      <c r="AS294" s="69"/>
      <c r="AT294" s="69"/>
      <c r="AU294" s="69"/>
      <c r="AV294" s="69"/>
      <c r="AW294" s="69"/>
      <c r="AX294" s="68"/>
      <c r="AY294" s="69"/>
      <c r="AZ294" s="67"/>
      <c r="BA294" s="69"/>
      <c r="BB294" s="76"/>
      <c r="BC294" s="67"/>
      <c r="BD294" s="68"/>
      <c r="BE294" s="69"/>
      <c r="BF294" s="69"/>
      <c r="BG294" s="69"/>
      <c r="BH294" s="69"/>
      <c r="BI294" s="69"/>
      <c r="BJ294" s="68"/>
      <c r="BK294" s="69"/>
      <c r="BL294" s="67"/>
      <c r="BM294" s="67"/>
      <c r="BN294" s="56"/>
      <c r="BO294" s="56"/>
      <c r="BT294" s="63"/>
      <c r="BW294" s="56"/>
      <c r="BX294" s="56"/>
      <c r="BY294" s="56"/>
      <c r="BZ294" s="56"/>
      <c r="CA294" s="56"/>
      <c r="CF294" s="63"/>
      <c r="CI294" s="56"/>
      <c r="CJ294" s="56"/>
      <c r="CK294" s="56"/>
      <c r="CL294" s="56"/>
      <c r="CM294" s="56"/>
    </row>
    <row r="295" spans="18:93" ht="18" customHeight="1">
      <c r="R295" s="63"/>
      <c r="V295" s="170"/>
      <c r="W295" s="56"/>
      <c r="X295" s="56"/>
      <c r="Y295" s="56"/>
      <c r="AD295" s="63"/>
      <c r="AG295" s="56"/>
      <c r="AH295" s="56"/>
      <c r="AI295" s="56"/>
      <c r="AJ295" s="56"/>
      <c r="AK295" s="56"/>
      <c r="AO295" s="68"/>
      <c r="AP295" s="76"/>
      <c r="AQ295" s="67"/>
      <c r="AR295" s="68"/>
      <c r="AS295" s="69"/>
      <c r="AT295" s="69"/>
      <c r="AU295" s="69"/>
      <c r="AV295" s="69"/>
      <c r="AW295" s="69"/>
      <c r="AX295" s="68"/>
      <c r="AY295" s="69"/>
      <c r="AZ295" s="67"/>
      <c r="BA295" s="69"/>
      <c r="BB295" s="76"/>
      <c r="BC295" s="67"/>
      <c r="BD295" s="68"/>
      <c r="BE295" s="69"/>
      <c r="BF295" s="69"/>
      <c r="BG295" s="69"/>
      <c r="BH295" s="69"/>
      <c r="BI295" s="69"/>
      <c r="BJ295" s="68"/>
      <c r="BK295" s="69"/>
      <c r="BL295" s="67"/>
      <c r="BM295" s="67"/>
      <c r="BN295" s="56"/>
      <c r="BO295" s="56"/>
      <c r="BT295" s="63"/>
      <c r="BW295" s="56"/>
      <c r="BX295" s="56"/>
      <c r="BY295" s="56"/>
      <c r="BZ295" s="56"/>
      <c r="CA295" s="56"/>
      <c r="CF295" s="63"/>
      <c r="CI295" s="56"/>
      <c r="CJ295" s="56"/>
      <c r="CK295" s="56"/>
      <c r="CL295" s="56"/>
      <c r="CM295" s="56"/>
    </row>
    <row r="296" spans="18:93" ht="18" customHeight="1">
      <c r="R296" s="63"/>
      <c r="V296" s="170"/>
      <c r="W296" s="56"/>
      <c r="X296" s="56"/>
      <c r="Y296" s="56"/>
      <c r="AD296" s="63"/>
      <c r="AG296" s="56"/>
      <c r="AH296" s="56"/>
      <c r="AI296" s="56"/>
      <c r="AJ296" s="56"/>
      <c r="AK296" s="56"/>
      <c r="AO296" s="68"/>
      <c r="AP296" s="76"/>
      <c r="AQ296" s="67"/>
      <c r="AR296" s="68"/>
      <c r="AS296" s="69"/>
      <c r="AT296" s="69"/>
      <c r="AU296" s="69"/>
      <c r="AV296" s="69"/>
      <c r="AW296" s="69"/>
      <c r="AX296" s="68"/>
      <c r="AY296" s="69"/>
      <c r="AZ296" s="67"/>
      <c r="BA296" s="69"/>
      <c r="BB296" s="76"/>
      <c r="BC296" s="67"/>
      <c r="BD296" s="68"/>
      <c r="BE296" s="69"/>
      <c r="BF296" s="69"/>
      <c r="BG296" s="69"/>
      <c r="BH296" s="69"/>
      <c r="BI296" s="69"/>
      <c r="BJ296" s="68"/>
      <c r="BK296" s="69"/>
      <c r="BL296" s="67"/>
      <c r="BM296" s="67"/>
      <c r="BN296" s="56"/>
      <c r="BO296" s="56"/>
      <c r="BT296" s="63"/>
      <c r="BW296" s="56"/>
      <c r="BX296" s="56"/>
      <c r="BY296" s="56"/>
      <c r="BZ296" s="56"/>
      <c r="CA296" s="56"/>
      <c r="CF296" s="63"/>
      <c r="CI296" s="56"/>
      <c r="CJ296" s="56"/>
      <c r="CK296" s="56"/>
      <c r="CL296" s="56"/>
      <c r="CM296" s="56"/>
    </row>
    <row r="297" spans="18:93" ht="18" customHeight="1">
      <c r="R297" s="63"/>
      <c r="V297" s="170"/>
      <c r="W297" s="56"/>
      <c r="X297" s="56"/>
      <c r="Y297" s="56"/>
      <c r="AD297" s="63"/>
      <c r="AG297" s="56"/>
      <c r="AH297" s="56"/>
      <c r="AI297" s="56"/>
      <c r="AJ297" s="56"/>
      <c r="AK297" s="56"/>
      <c r="AO297" s="68"/>
      <c r="AP297" s="76"/>
      <c r="AQ297" s="67"/>
      <c r="AR297" s="68"/>
      <c r="AS297" s="69"/>
      <c r="AT297" s="69"/>
      <c r="AU297" s="69"/>
      <c r="AV297" s="69"/>
      <c r="AW297" s="69"/>
      <c r="AX297" s="68"/>
      <c r="AY297" s="69"/>
      <c r="AZ297" s="67"/>
      <c r="BA297" s="69"/>
      <c r="BB297" s="76"/>
      <c r="BC297" s="67"/>
      <c r="BD297" s="68"/>
      <c r="BE297" s="69"/>
      <c r="BF297" s="69"/>
      <c r="BG297" s="69"/>
      <c r="BH297" s="69"/>
      <c r="BI297" s="69"/>
      <c r="BJ297" s="68"/>
      <c r="BK297" s="69"/>
      <c r="BL297" s="67"/>
      <c r="BM297" s="67"/>
      <c r="BN297" s="56"/>
      <c r="BO297" s="56"/>
      <c r="BT297" s="63"/>
      <c r="BW297" s="56"/>
      <c r="BX297" s="56"/>
      <c r="BY297" s="56"/>
      <c r="BZ297" s="56"/>
      <c r="CA297" s="56"/>
      <c r="CF297" s="63"/>
      <c r="CI297" s="56"/>
      <c r="CJ297" s="56"/>
      <c r="CK297" s="56"/>
      <c r="CL297" s="56"/>
      <c r="CM297" s="56"/>
    </row>
    <row r="298" spans="18:93" ht="18" customHeight="1">
      <c r="AO298" s="68"/>
      <c r="AP298" s="67"/>
      <c r="AQ298" s="67"/>
      <c r="AR298" s="68"/>
      <c r="AS298" s="68"/>
      <c r="AT298" s="68"/>
      <c r="AU298" s="68"/>
      <c r="AV298" s="68"/>
      <c r="AW298" s="68"/>
      <c r="AX298" s="68"/>
      <c r="AY298" s="69"/>
      <c r="AZ298" s="67"/>
      <c r="BA298" s="68"/>
      <c r="BB298" s="67"/>
      <c r="BC298" s="67"/>
      <c r="BD298" s="68"/>
      <c r="BE298" s="68"/>
      <c r="BF298" s="68"/>
      <c r="BG298" s="68"/>
      <c r="BH298" s="68"/>
      <c r="BI298" s="68"/>
      <c r="BJ298" s="68"/>
      <c r="BK298" s="69"/>
      <c r="BL298" s="67"/>
      <c r="BM298" s="67"/>
    </row>
    <row r="299" spans="18:93" ht="18" customHeight="1">
      <c r="R299" s="63"/>
      <c r="S299" s="64"/>
      <c r="Y299" s="531"/>
      <c r="Z299" s="531"/>
      <c r="AA299" s="531"/>
      <c r="AD299" s="63"/>
      <c r="AE299" s="64"/>
      <c r="AK299" s="531"/>
      <c r="AL299" s="531"/>
      <c r="AM299" s="531"/>
      <c r="AO299" s="68"/>
      <c r="AP299" s="76"/>
      <c r="AQ299" s="77"/>
      <c r="AR299" s="68"/>
      <c r="AS299" s="68"/>
      <c r="AT299" s="68"/>
      <c r="AU299" s="68"/>
      <c r="AV299" s="68"/>
      <c r="AW299" s="533"/>
      <c r="AX299" s="533"/>
      <c r="AY299" s="533"/>
      <c r="AZ299" s="67"/>
      <c r="BA299" s="68"/>
      <c r="BB299" s="76"/>
      <c r="BC299" s="77"/>
      <c r="BD299" s="68"/>
      <c r="BE299" s="68"/>
      <c r="BF299" s="68"/>
      <c r="BG299" s="68"/>
      <c r="BH299" s="68"/>
      <c r="BI299" s="533"/>
      <c r="BJ299" s="533"/>
      <c r="BK299" s="533"/>
      <c r="BL299" s="67"/>
      <c r="BM299" s="67"/>
      <c r="BO299" s="531"/>
      <c r="BP299" s="531"/>
      <c r="BQ299" s="531"/>
      <c r="BT299" s="63"/>
      <c r="BU299" s="64"/>
      <c r="CA299" s="531"/>
      <c r="CB299" s="531"/>
      <c r="CC299" s="531"/>
      <c r="CF299" s="63"/>
      <c r="CG299" s="64"/>
      <c r="CM299" s="531"/>
      <c r="CN299" s="531"/>
      <c r="CO299" s="531"/>
    </row>
    <row r="300" spans="18:93" ht="18" customHeight="1">
      <c r="R300" s="63"/>
      <c r="V300" s="170"/>
      <c r="W300" s="56"/>
      <c r="X300" s="56"/>
      <c r="Y300" s="56"/>
      <c r="AD300" s="63"/>
      <c r="AG300" s="56"/>
      <c r="AH300" s="56"/>
      <c r="AI300" s="56"/>
      <c r="AJ300" s="56"/>
      <c r="AK300" s="56"/>
      <c r="AO300" s="68"/>
      <c r="AP300" s="76"/>
      <c r="AQ300" s="67"/>
      <c r="AR300" s="68"/>
      <c r="AS300" s="69"/>
      <c r="AT300" s="69"/>
      <c r="AU300" s="69"/>
      <c r="AV300" s="69"/>
      <c r="AW300" s="69"/>
      <c r="AX300" s="68"/>
      <c r="AY300" s="69"/>
      <c r="AZ300" s="67"/>
      <c r="BA300" s="69"/>
      <c r="BB300" s="76"/>
      <c r="BC300" s="67"/>
      <c r="BD300" s="68"/>
      <c r="BE300" s="69"/>
      <c r="BF300" s="69"/>
      <c r="BG300" s="69"/>
      <c r="BH300" s="69"/>
      <c r="BI300" s="69"/>
      <c r="BJ300" s="68"/>
      <c r="BK300" s="69"/>
      <c r="BL300" s="67"/>
      <c r="BM300" s="67"/>
      <c r="BN300" s="56"/>
      <c r="BO300" s="56"/>
      <c r="BT300" s="63"/>
      <c r="BW300" s="56"/>
      <c r="BX300" s="56"/>
      <c r="BY300" s="56"/>
      <c r="BZ300" s="56"/>
      <c r="CA300" s="56"/>
      <c r="CF300" s="63"/>
      <c r="CI300" s="56"/>
      <c r="CJ300" s="56"/>
      <c r="CK300" s="56"/>
      <c r="CL300" s="56"/>
      <c r="CM300" s="56"/>
    </row>
    <row r="301" spans="18:93" ht="18" customHeight="1">
      <c r="R301" s="63"/>
      <c r="V301" s="170"/>
      <c r="W301" s="56"/>
      <c r="X301" s="56"/>
      <c r="Y301" s="56"/>
      <c r="AD301" s="63"/>
      <c r="AG301" s="56"/>
      <c r="AH301" s="56"/>
      <c r="AI301" s="56"/>
      <c r="AJ301" s="56"/>
      <c r="AK301" s="56"/>
      <c r="AO301" s="68"/>
      <c r="AP301" s="76"/>
      <c r="AQ301" s="67"/>
      <c r="AR301" s="68"/>
      <c r="AS301" s="69"/>
      <c r="AT301" s="69"/>
      <c r="AU301" s="69"/>
      <c r="AV301" s="69"/>
      <c r="AW301" s="69"/>
      <c r="AX301" s="68"/>
      <c r="AY301" s="69"/>
      <c r="AZ301" s="67"/>
      <c r="BA301" s="69"/>
      <c r="BB301" s="76"/>
      <c r="BC301" s="67"/>
      <c r="BD301" s="68"/>
      <c r="BE301" s="69"/>
      <c r="BF301" s="69"/>
      <c r="BG301" s="69"/>
      <c r="BH301" s="69"/>
      <c r="BI301" s="69"/>
      <c r="BJ301" s="68"/>
      <c r="BK301" s="69"/>
      <c r="BL301" s="67"/>
      <c r="BM301" s="67"/>
      <c r="BN301" s="56"/>
      <c r="BO301" s="56"/>
      <c r="BT301" s="63"/>
      <c r="BW301" s="56"/>
      <c r="BX301" s="56"/>
      <c r="BY301" s="56"/>
      <c r="BZ301" s="56"/>
      <c r="CA301" s="56"/>
      <c r="CF301" s="63"/>
      <c r="CI301" s="56"/>
      <c r="CJ301" s="56"/>
      <c r="CK301" s="56"/>
      <c r="CL301" s="56"/>
      <c r="CM301" s="56"/>
    </row>
    <row r="302" spans="18:93" ht="18" customHeight="1">
      <c r="R302" s="63"/>
      <c r="V302" s="170"/>
      <c r="W302" s="56"/>
      <c r="X302" s="56"/>
      <c r="Y302" s="56"/>
      <c r="AD302" s="63"/>
      <c r="AG302" s="56"/>
      <c r="AH302" s="56"/>
      <c r="AI302" s="56"/>
      <c r="AJ302" s="56"/>
      <c r="AK302" s="56"/>
      <c r="AO302" s="68"/>
      <c r="AP302" s="76"/>
      <c r="AQ302" s="67"/>
      <c r="AR302" s="68"/>
      <c r="AS302" s="69"/>
      <c r="AT302" s="69"/>
      <c r="AU302" s="69"/>
      <c r="AV302" s="69"/>
      <c r="AW302" s="69"/>
      <c r="AX302" s="68"/>
      <c r="AY302" s="69"/>
      <c r="AZ302" s="67"/>
      <c r="BA302" s="69"/>
      <c r="BB302" s="76"/>
      <c r="BC302" s="67"/>
      <c r="BD302" s="68"/>
      <c r="BE302" s="69"/>
      <c r="BF302" s="69"/>
      <c r="BG302" s="69"/>
      <c r="BH302" s="69"/>
      <c r="BI302" s="69"/>
      <c r="BJ302" s="68"/>
      <c r="BK302" s="69"/>
      <c r="BL302" s="67"/>
      <c r="BM302" s="67"/>
      <c r="BN302" s="56"/>
      <c r="BO302" s="56"/>
      <c r="BT302" s="63"/>
      <c r="BW302" s="56"/>
      <c r="BX302" s="56"/>
      <c r="BY302" s="56"/>
      <c r="BZ302" s="56"/>
      <c r="CA302" s="56"/>
      <c r="CF302" s="63"/>
      <c r="CI302" s="56"/>
      <c r="CJ302" s="56"/>
      <c r="CK302" s="56"/>
      <c r="CL302" s="56"/>
      <c r="CM302" s="56"/>
    </row>
    <row r="303" spans="18:93" ht="18" customHeight="1">
      <c r="R303" s="63"/>
      <c r="V303" s="170"/>
      <c r="W303" s="56"/>
      <c r="X303" s="56"/>
      <c r="Y303" s="56"/>
      <c r="AD303" s="63"/>
      <c r="AG303" s="56"/>
      <c r="AH303" s="56"/>
      <c r="AI303" s="56"/>
      <c r="AJ303" s="56"/>
      <c r="AK303" s="56"/>
      <c r="AO303" s="68"/>
      <c r="AP303" s="76"/>
      <c r="AQ303" s="67"/>
      <c r="AR303" s="68"/>
      <c r="AS303" s="69"/>
      <c r="AT303" s="69"/>
      <c r="AU303" s="69"/>
      <c r="AV303" s="69"/>
      <c r="AW303" s="69"/>
      <c r="AX303" s="68"/>
      <c r="AY303" s="69"/>
      <c r="AZ303" s="67"/>
      <c r="BA303" s="69"/>
      <c r="BB303" s="76"/>
      <c r="BC303" s="67"/>
      <c r="BD303" s="68"/>
      <c r="BE303" s="69"/>
      <c r="BF303" s="69"/>
      <c r="BG303" s="69"/>
      <c r="BH303" s="69"/>
      <c r="BI303" s="69"/>
      <c r="BJ303" s="68"/>
      <c r="BK303" s="69"/>
      <c r="BL303" s="67"/>
      <c r="BM303" s="67"/>
      <c r="BN303" s="56"/>
      <c r="BO303" s="56"/>
      <c r="BT303" s="63"/>
      <c r="BW303" s="56"/>
      <c r="BX303" s="56"/>
      <c r="BY303" s="56"/>
      <c r="BZ303" s="56"/>
      <c r="CA303" s="56"/>
      <c r="CF303" s="63"/>
      <c r="CI303" s="56"/>
      <c r="CJ303" s="56"/>
      <c r="CK303" s="56"/>
      <c r="CL303" s="56"/>
      <c r="CM303" s="56"/>
    </row>
    <row r="304" spans="18:93" ht="18" customHeight="1">
      <c r="AO304" s="68"/>
      <c r="AP304" s="67"/>
      <c r="AQ304" s="67"/>
      <c r="AR304" s="68"/>
      <c r="AS304" s="68"/>
      <c r="AT304" s="68"/>
      <c r="AU304" s="68"/>
      <c r="AV304" s="68"/>
      <c r="AW304" s="68"/>
      <c r="AX304" s="68"/>
      <c r="AY304" s="69"/>
      <c r="AZ304" s="67"/>
      <c r="BA304" s="68"/>
      <c r="BB304" s="67"/>
      <c r="BC304" s="67"/>
      <c r="BD304" s="68"/>
      <c r="BE304" s="68"/>
      <c r="BF304" s="68"/>
      <c r="BG304" s="68"/>
      <c r="BH304" s="68"/>
      <c r="BI304" s="68"/>
      <c r="BJ304" s="68"/>
      <c r="BK304" s="69"/>
      <c r="BL304" s="67"/>
      <c r="BM304" s="67"/>
    </row>
    <row r="305" spans="18:93" ht="18" customHeight="1">
      <c r="R305" s="63"/>
      <c r="S305" s="64"/>
      <c r="Y305" s="531"/>
      <c r="Z305" s="531"/>
      <c r="AA305" s="531"/>
      <c r="AD305" s="63"/>
      <c r="AE305" s="64"/>
      <c r="AK305" s="531"/>
      <c r="AL305" s="531"/>
      <c r="AM305" s="531"/>
      <c r="AO305" s="68"/>
      <c r="AP305" s="76"/>
      <c r="AQ305" s="77"/>
      <c r="AR305" s="68"/>
      <c r="AS305" s="68"/>
      <c r="AT305" s="68"/>
      <c r="AU305" s="68"/>
      <c r="AV305" s="68"/>
      <c r="AW305" s="533"/>
      <c r="AX305" s="533"/>
      <c r="AY305" s="533"/>
      <c r="AZ305" s="67"/>
      <c r="BA305" s="68"/>
      <c r="BB305" s="76"/>
      <c r="BC305" s="77"/>
      <c r="BD305" s="68"/>
      <c r="BE305" s="68"/>
      <c r="BF305" s="68"/>
      <c r="BG305" s="68"/>
      <c r="BH305" s="68"/>
      <c r="BI305" s="533"/>
      <c r="BJ305" s="533"/>
      <c r="BK305" s="533"/>
      <c r="BL305" s="67"/>
      <c r="BM305" s="67"/>
      <c r="BO305" s="531"/>
      <c r="BP305" s="531"/>
      <c r="BQ305" s="531"/>
      <c r="BT305" s="63"/>
      <c r="BU305" s="64"/>
      <c r="CA305" s="531"/>
      <c r="CB305" s="531"/>
      <c r="CC305" s="531"/>
      <c r="CF305" s="63"/>
      <c r="CG305" s="64"/>
      <c r="CM305" s="531"/>
      <c r="CN305" s="531"/>
      <c r="CO305" s="531"/>
    </row>
    <row r="306" spans="18:93" ht="18" customHeight="1">
      <c r="R306" s="63"/>
      <c r="V306" s="170"/>
      <c r="W306" s="56"/>
      <c r="X306" s="56"/>
      <c r="Y306" s="56"/>
      <c r="AD306" s="63"/>
      <c r="AG306" s="56"/>
      <c r="AH306" s="56"/>
      <c r="AI306" s="56"/>
      <c r="AJ306" s="56"/>
      <c r="AK306" s="56"/>
      <c r="AO306" s="68"/>
      <c r="AP306" s="76"/>
      <c r="AQ306" s="67"/>
      <c r="AR306" s="68"/>
      <c r="AS306" s="69"/>
      <c r="AT306" s="69"/>
      <c r="AU306" s="69"/>
      <c r="AV306" s="69"/>
      <c r="AW306" s="69"/>
      <c r="AX306" s="68"/>
      <c r="AY306" s="69"/>
      <c r="AZ306" s="67"/>
      <c r="BA306" s="69"/>
      <c r="BB306" s="76"/>
      <c r="BC306" s="67"/>
      <c r="BD306" s="68"/>
      <c r="BE306" s="69"/>
      <c r="BF306" s="69"/>
      <c r="BG306" s="69"/>
      <c r="BH306" s="69"/>
      <c r="BI306" s="69"/>
      <c r="BJ306" s="68"/>
      <c r="BK306" s="69"/>
      <c r="BL306" s="67"/>
      <c r="BM306" s="67"/>
      <c r="BN306" s="56"/>
      <c r="BO306" s="56"/>
      <c r="BT306" s="63"/>
      <c r="BW306" s="56"/>
      <c r="BX306" s="56"/>
      <c r="BY306" s="56"/>
      <c r="BZ306" s="56"/>
      <c r="CA306" s="56"/>
      <c r="CF306" s="63"/>
      <c r="CI306" s="56"/>
      <c r="CJ306" s="56"/>
      <c r="CK306" s="56"/>
      <c r="CL306" s="56"/>
      <c r="CM306" s="56"/>
    </row>
    <row r="307" spans="18:93" ht="18" customHeight="1">
      <c r="R307" s="63"/>
      <c r="V307" s="170"/>
      <c r="W307" s="56"/>
      <c r="X307" s="56"/>
      <c r="Y307" s="56"/>
      <c r="AD307" s="63"/>
      <c r="AG307" s="56"/>
      <c r="AH307" s="56"/>
      <c r="AI307" s="56"/>
      <c r="AJ307" s="56"/>
      <c r="AK307" s="56"/>
      <c r="AO307" s="68"/>
      <c r="AP307" s="76"/>
      <c r="AQ307" s="67"/>
      <c r="AR307" s="68"/>
      <c r="AS307" s="69"/>
      <c r="AT307" s="69"/>
      <c r="AU307" s="69"/>
      <c r="AV307" s="69"/>
      <c r="AW307" s="69"/>
      <c r="AX307" s="68"/>
      <c r="AY307" s="69"/>
      <c r="AZ307" s="67"/>
      <c r="BA307" s="69"/>
      <c r="BB307" s="76"/>
      <c r="BC307" s="67"/>
      <c r="BD307" s="68"/>
      <c r="BE307" s="69"/>
      <c r="BF307" s="69"/>
      <c r="BG307" s="69"/>
      <c r="BH307" s="69"/>
      <c r="BI307" s="69"/>
      <c r="BJ307" s="68"/>
      <c r="BK307" s="69"/>
      <c r="BL307" s="67"/>
      <c r="BM307" s="67"/>
      <c r="BN307" s="56"/>
      <c r="BO307" s="56"/>
      <c r="BT307" s="63"/>
      <c r="BW307" s="56"/>
      <c r="BX307" s="56"/>
      <c r="BY307" s="56"/>
      <c r="BZ307" s="56"/>
      <c r="CA307" s="56"/>
      <c r="CF307" s="63"/>
      <c r="CI307" s="56"/>
      <c r="CJ307" s="56"/>
      <c r="CK307" s="56"/>
      <c r="CL307" s="56"/>
      <c r="CM307" s="56"/>
    </row>
    <row r="308" spans="18:93" ht="18" customHeight="1">
      <c r="R308" s="63"/>
      <c r="V308" s="170"/>
      <c r="W308" s="56"/>
      <c r="X308" s="56"/>
      <c r="Y308" s="56"/>
      <c r="AD308" s="63"/>
      <c r="AG308" s="56"/>
      <c r="AH308" s="56"/>
      <c r="AI308" s="56"/>
      <c r="AJ308" s="56"/>
      <c r="AK308" s="56"/>
      <c r="AO308" s="68"/>
      <c r="AP308" s="76"/>
      <c r="AQ308" s="67"/>
      <c r="AR308" s="68"/>
      <c r="AS308" s="69"/>
      <c r="AT308" s="69"/>
      <c r="AU308" s="69"/>
      <c r="AV308" s="69"/>
      <c r="AW308" s="69"/>
      <c r="AX308" s="68"/>
      <c r="AY308" s="69"/>
      <c r="AZ308" s="67"/>
      <c r="BA308" s="69"/>
      <c r="BB308" s="76"/>
      <c r="BC308" s="67"/>
      <c r="BD308" s="68"/>
      <c r="BE308" s="69"/>
      <c r="BF308" s="69"/>
      <c r="BG308" s="69"/>
      <c r="BH308" s="69"/>
      <c r="BI308" s="69"/>
      <c r="BJ308" s="68"/>
      <c r="BK308" s="69"/>
      <c r="BL308" s="67"/>
      <c r="BM308" s="67"/>
      <c r="BN308" s="56"/>
      <c r="BO308" s="56"/>
      <c r="BT308" s="63"/>
      <c r="BW308" s="56"/>
      <c r="BX308" s="56"/>
      <c r="BY308" s="56"/>
      <c r="BZ308" s="56"/>
      <c r="CA308" s="56"/>
      <c r="CF308" s="63"/>
      <c r="CI308" s="56"/>
      <c r="CJ308" s="56"/>
      <c r="CK308" s="56"/>
      <c r="CL308" s="56"/>
      <c r="CM308" s="56"/>
    </row>
    <row r="309" spans="18:93" ht="18" customHeight="1">
      <c r="R309" s="63"/>
      <c r="V309" s="170"/>
      <c r="W309" s="56"/>
      <c r="X309" s="56"/>
      <c r="Y309" s="56"/>
      <c r="AD309" s="63"/>
      <c r="AG309" s="56"/>
      <c r="AH309" s="56"/>
      <c r="AI309" s="56"/>
      <c r="AJ309" s="56"/>
      <c r="AK309" s="56"/>
      <c r="AO309" s="68"/>
      <c r="AP309" s="76"/>
      <c r="AQ309" s="67"/>
      <c r="AR309" s="68"/>
      <c r="AS309" s="69"/>
      <c r="AT309" s="69"/>
      <c r="AU309" s="69"/>
      <c r="AV309" s="69"/>
      <c r="AW309" s="69"/>
      <c r="AX309" s="68"/>
      <c r="AY309" s="69"/>
      <c r="AZ309" s="67"/>
      <c r="BA309" s="69"/>
      <c r="BB309" s="76"/>
      <c r="BC309" s="67"/>
      <c r="BD309" s="68"/>
      <c r="BE309" s="69"/>
      <c r="BF309" s="69"/>
      <c r="BG309" s="69"/>
      <c r="BH309" s="69"/>
      <c r="BI309" s="69"/>
      <c r="BJ309" s="68"/>
      <c r="BK309" s="69"/>
      <c r="BL309" s="67"/>
      <c r="BM309" s="67"/>
      <c r="BN309" s="56"/>
      <c r="BO309" s="56"/>
      <c r="BT309" s="63"/>
      <c r="BW309" s="56"/>
      <c r="BX309" s="56"/>
      <c r="BY309" s="56"/>
      <c r="BZ309" s="56"/>
      <c r="CA309" s="56"/>
      <c r="CF309" s="63"/>
      <c r="CI309" s="56"/>
      <c r="CJ309" s="56"/>
      <c r="CK309" s="56"/>
      <c r="CL309" s="56"/>
      <c r="CM309" s="56"/>
    </row>
    <row r="310" spans="18:93" ht="18" customHeight="1">
      <c r="AO310" s="68"/>
      <c r="AP310" s="67"/>
      <c r="AQ310" s="67"/>
      <c r="AR310" s="68"/>
      <c r="AS310" s="68"/>
      <c r="AT310" s="68"/>
      <c r="AU310" s="68"/>
      <c r="AV310" s="68"/>
      <c r="AW310" s="68"/>
      <c r="AX310" s="68"/>
      <c r="AY310" s="69"/>
      <c r="AZ310" s="67"/>
      <c r="BA310" s="68"/>
      <c r="BB310" s="67"/>
      <c r="BC310" s="67"/>
      <c r="BD310" s="68"/>
      <c r="BE310" s="68"/>
      <c r="BF310" s="68"/>
      <c r="BG310" s="68"/>
      <c r="BH310" s="68"/>
      <c r="BI310" s="68"/>
      <c r="BJ310" s="68"/>
      <c r="BK310" s="69"/>
      <c r="BL310" s="67"/>
      <c r="BM310" s="67"/>
    </row>
    <row r="311" spans="18:93" ht="18" customHeight="1">
      <c r="R311" s="63"/>
      <c r="S311" s="64"/>
      <c r="Y311" s="531"/>
      <c r="Z311" s="531"/>
      <c r="AA311" s="531"/>
      <c r="AD311" s="63"/>
      <c r="AE311" s="64"/>
      <c r="AK311" s="531"/>
      <c r="AL311" s="531"/>
      <c r="AM311" s="531"/>
      <c r="AO311" s="68"/>
      <c r="AP311" s="76"/>
      <c r="AQ311" s="77"/>
      <c r="AR311" s="68"/>
      <c r="AS311" s="68"/>
      <c r="AT311" s="68"/>
      <c r="AU311" s="68"/>
      <c r="AV311" s="68"/>
      <c r="AW311" s="533"/>
      <c r="AX311" s="533"/>
      <c r="AY311" s="533"/>
      <c r="AZ311" s="67"/>
      <c r="BA311" s="68"/>
      <c r="BB311" s="76"/>
      <c r="BC311" s="77"/>
      <c r="BD311" s="68"/>
      <c r="BE311" s="68"/>
      <c r="BF311" s="68"/>
      <c r="BG311" s="68"/>
      <c r="BH311" s="68"/>
      <c r="BI311" s="533"/>
      <c r="BJ311" s="533"/>
      <c r="BK311" s="533"/>
      <c r="BL311" s="67"/>
      <c r="BM311" s="67"/>
      <c r="BO311" s="531"/>
      <c r="BP311" s="531"/>
      <c r="BQ311" s="531"/>
      <c r="BT311" s="63"/>
      <c r="BU311" s="64"/>
      <c r="CA311" s="531"/>
      <c r="CB311" s="531"/>
      <c r="CC311" s="531"/>
      <c r="CF311" s="63"/>
      <c r="CG311" s="64"/>
      <c r="CM311" s="531"/>
      <c r="CN311" s="531"/>
      <c r="CO311" s="531"/>
    </row>
    <row r="312" spans="18:93" ht="18" customHeight="1">
      <c r="R312" s="63"/>
      <c r="V312" s="170"/>
      <c r="W312" s="56"/>
      <c r="X312" s="56"/>
      <c r="Y312" s="56"/>
      <c r="AD312" s="63"/>
      <c r="AG312" s="56"/>
      <c r="AH312" s="56"/>
      <c r="AI312" s="56"/>
      <c r="AJ312" s="56"/>
      <c r="AK312" s="56"/>
      <c r="AO312" s="68"/>
      <c r="AP312" s="76"/>
      <c r="AQ312" s="67"/>
      <c r="AR312" s="68"/>
      <c r="AS312" s="69"/>
      <c r="AT312" s="69"/>
      <c r="AU312" s="69"/>
      <c r="AV312" s="69"/>
      <c r="AW312" s="69"/>
      <c r="AX312" s="68"/>
      <c r="AY312" s="69"/>
      <c r="AZ312" s="67"/>
      <c r="BA312" s="69"/>
      <c r="BB312" s="76"/>
      <c r="BC312" s="67"/>
      <c r="BD312" s="68"/>
      <c r="BE312" s="69"/>
      <c r="BF312" s="69"/>
      <c r="BG312" s="69"/>
      <c r="BH312" s="69"/>
      <c r="BI312" s="69"/>
      <c r="BJ312" s="68"/>
      <c r="BK312" s="69"/>
      <c r="BL312" s="67"/>
      <c r="BM312" s="67"/>
      <c r="BN312" s="56"/>
      <c r="BO312" s="56"/>
      <c r="BT312" s="63"/>
      <c r="BW312" s="56"/>
      <c r="BX312" s="56"/>
      <c r="BY312" s="56"/>
      <c r="BZ312" s="56"/>
      <c r="CA312" s="56"/>
      <c r="CF312" s="63"/>
      <c r="CI312" s="56"/>
      <c r="CJ312" s="56"/>
      <c r="CK312" s="56"/>
      <c r="CL312" s="56"/>
      <c r="CM312" s="56"/>
    </row>
    <row r="313" spans="18:93" ht="18" customHeight="1">
      <c r="R313" s="63"/>
      <c r="V313" s="170"/>
      <c r="W313" s="56"/>
      <c r="X313" s="56"/>
      <c r="Y313" s="56"/>
      <c r="AD313" s="63"/>
      <c r="AG313" s="56"/>
      <c r="AH313" s="56"/>
      <c r="AI313" s="56"/>
      <c r="AJ313" s="56"/>
      <c r="AK313" s="56"/>
      <c r="AO313" s="68"/>
      <c r="AP313" s="76"/>
      <c r="AQ313" s="67"/>
      <c r="AR313" s="68"/>
      <c r="AS313" s="69"/>
      <c r="AT313" s="69"/>
      <c r="AU313" s="69"/>
      <c r="AV313" s="69"/>
      <c r="AW313" s="69"/>
      <c r="AX313" s="68"/>
      <c r="AY313" s="69"/>
      <c r="AZ313" s="67"/>
      <c r="BA313" s="69"/>
      <c r="BB313" s="76"/>
      <c r="BC313" s="67"/>
      <c r="BD313" s="68"/>
      <c r="BE313" s="69"/>
      <c r="BF313" s="69"/>
      <c r="BG313" s="69"/>
      <c r="BH313" s="69"/>
      <c r="BI313" s="69"/>
      <c r="BJ313" s="68"/>
      <c r="BK313" s="69"/>
      <c r="BL313" s="67"/>
      <c r="BM313" s="67"/>
      <c r="BN313" s="56"/>
      <c r="BO313" s="56"/>
      <c r="BT313" s="63"/>
      <c r="BW313" s="56"/>
      <c r="BX313" s="56"/>
      <c r="BY313" s="56"/>
      <c r="BZ313" s="56"/>
      <c r="CA313" s="56"/>
      <c r="CF313" s="63"/>
      <c r="CI313" s="56"/>
      <c r="CJ313" s="56"/>
      <c r="CK313" s="56"/>
      <c r="CL313" s="56"/>
      <c r="CM313" s="56"/>
    </row>
    <row r="314" spans="18:93" ht="18" customHeight="1">
      <c r="R314" s="63"/>
      <c r="V314" s="170"/>
      <c r="W314" s="56"/>
      <c r="X314" s="56"/>
      <c r="Y314" s="56"/>
      <c r="AD314" s="63"/>
      <c r="AG314" s="56"/>
      <c r="AH314" s="56"/>
      <c r="AI314" s="56"/>
      <c r="AJ314" s="56"/>
      <c r="AK314" s="56"/>
      <c r="AO314" s="68"/>
      <c r="AP314" s="76"/>
      <c r="AQ314" s="67"/>
      <c r="AR314" s="68"/>
      <c r="AS314" s="69"/>
      <c r="AT314" s="69"/>
      <c r="AU314" s="69"/>
      <c r="AV314" s="69"/>
      <c r="AW314" s="69"/>
      <c r="AX314" s="68"/>
      <c r="AY314" s="69"/>
      <c r="AZ314" s="67"/>
      <c r="BA314" s="69"/>
      <c r="BB314" s="76"/>
      <c r="BC314" s="67"/>
      <c r="BD314" s="68"/>
      <c r="BE314" s="69"/>
      <c r="BF314" s="69"/>
      <c r="BG314" s="69"/>
      <c r="BH314" s="69"/>
      <c r="BI314" s="69"/>
      <c r="BJ314" s="68"/>
      <c r="BK314" s="69"/>
      <c r="BL314" s="67"/>
      <c r="BM314" s="67"/>
      <c r="BN314" s="56"/>
      <c r="BO314" s="56"/>
      <c r="BT314" s="63"/>
      <c r="BW314" s="56"/>
      <c r="BX314" s="56"/>
      <c r="BY314" s="56"/>
      <c r="BZ314" s="56"/>
      <c r="CA314" s="56"/>
      <c r="CF314" s="63"/>
      <c r="CI314" s="56"/>
      <c r="CJ314" s="56"/>
      <c r="CK314" s="56"/>
      <c r="CL314" s="56"/>
      <c r="CM314" s="56"/>
    </row>
    <row r="315" spans="18:93" ht="18" customHeight="1">
      <c r="R315" s="63"/>
      <c r="V315" s="170"/>
      <c r="W315" s="56"/>
      <c r="X315" s="56"/>
      <c r="Y315" s="56"/>
      <c r="AD315" s="63"/>
      <c r="AG315" s="56"/>
      <c r="AH315" s="56"/>
      <c r="AI315" s="56"/>
      <c r="AJ315" s="56"/>
      <c r="AK315" s="56"/>
      <c r="AO315" s="68"/>
      <c r="AP315" s="76"/>
      <c r="AQ315" s="67"/>
      <c r="AR315" s="68"/>
      <c r="AS315" s="69"/>
      <c r="AT315" s="69"/>
      <c r="AU315" s="69"/>
      <c r="AV315" s="69"/>
      <c r="AW315" s="69"/>
      <c r="AX315" s="68"/>
      <c r="AY315" s="69"/>
      <c r="AZ315" s="67"/>
      <c r="BA315" s="69"/>
      <c r="BB315" s="76"/>
      <c r="BC315" s="67"/>
      <c r="BD315" s="68"/>
      <c r="BE315" s="69"/>
      <c r="BF315" s="69"/>
      <c r="BG315" s="69"/>
      <c r="BH315" s="69"/>
      <c r="BI315" s="69"/>
      <c r="BJ315" s="68"/>
      <c r="BK315" s="69"/>
      <c r="BL315" s="67"/>
      <c r="BM315" s="67"/>
      <c r="BN315" s="56"/>
      <c r="BO315" s="56"/>
      <c r="BT315" s="63"/>
      <c r="BW315" s="56"/>
      <c r="BX315" s="56"/>
      <c r="BY315" s="56"/>
      <c r="BZ315" s="56"/>
      <c r="CA315" s="56"/>
      <c r="CF315" s="63"/>
      <c r="CI315" s="56"/>
      <c r="CJ315" s="56"/>
      <c r="CK315" s="56"/>
      <c r="CL315" s="56"/>
      <c r="CM315" s="56"/>
    </row>
    <row r="316" spans="18:93" ht="18" customHeight="1">
      <c r="AO316" s="68"/>
      <c r="AP316" s="67"/>
      <c r="AQ316" s="67"/>
      <c r="AR316" s="68"/>
      <c r="AS316" s="68"/>
      <c r="AT316" s="68"/>
      <c r="AU316" s="68"/>
      <c r="AV316" s="68"/>
      <c r="AW316" s="68"/>
      <c r="AX316" s="68"/>
      <c r="AY316" s="69"/>
      <c r="AZ316" s="67"/>
      <c r="BA316" s="68"/>
      <c r="BB316" s="67"/>
      <c r="BC316" s="67"/>
      <c r="BD316" s="68"/>
      <c r="BE316" s="68"/>
      <c r="BF316" s="68"/>
      <c r="BG316" s="68"/>
      <c r="BH316" s="68"/>
      <c r="BI316" s="68"/>
      <c r="BJ316" s="68"/>
      <c r="BK316" s="69"/>
      <c r="BL316" s="67"/>
      <c r="BM316" s="67"/>
    </row>
    <row r="317" spans="18:93" ht="18" customHeight="1">
      <c r="R317" s="63"/>
      <c r="S317" s="64"/>
      <c r="Y317" s="531"/>
      <c r="Z317" s="531"/>
      <c r="AA317" s="531"/>
      <c r="AD317" s="63"/>
      <c r="AE317" s="64"/>
      <c r="AK317" s="531"/>
      <c r="AL317" s="531"/>
      <c r="AM317" s="531"/>
      <c r="AO317" s="68"/>
      <c r="AP317" s="76"/>
      <c r="AQ317" s="77"/>
      <c r="AR317" s="68"/>
      <c r="AS317" s="68"/>
      <c r="AT317" s="68"/>
      <c r="AU317" s="68"/>
      <c r="AV317" s="68"/>
      <c r="AW317" s="533"/>
      <c r="AX317" s="533"/>
      <c r="AY317" s="533"/>
      <c r="AZ317" s="67"/>
      <c r="BA317" s="68"/>
      <c r="BB317" s="76"/>
      <c r="BC317" s="77"/>
      <c r="BD317" s="68"/>
      <c r="BE317" s="68"/>
      <c r="BF317" s="68"/>
      <c r="BG317" s="68"/>
      <c r="BH317" s="68"/>
      <c r="BI317" s="533"/>
      <c r="BJ317" s="533"/>
      <c r="BK317" s="533"/>
      <c r="BL317" s="67"/>
      <c r="BM317" s="67"/>
      <c r="BO317" s="531"/>
      <c r="BP317" s="531"/>
      <c r="BQ317" s="531"/>
      <c r="BT317" s="63"/>
      <c r="BU317" s="64"/>
      <c r="CA317" s="531"/>
      <c r="CB317" s="531"/>
      <c r="CC317" s="531"/>
      <c r="CF317" s="63"/>
      <c r="CG317" s="64"/>
      <c r="CM317" s="531"/>
      <c r="CN317" s="531"/>
      <c r="CO317" s="531"/>
    </row>
    <row r="318" spans="18:93" ht="18" customHeight="1">
      <c r="R318" s="63"/>
      <c r="V318" s="170"/>
      <c r="W318" s="56"/>
      <c r="X318" s="56"/>
      <c r="Y318" s="56"/>
      <c r="AD318" s="63"/>
      <c r="AG318" s="56"/>
      <c r="AH318" s="56"/>
      <c r="AI318" s="56"/>
      <c r="AJ318" s="56"/>
      <c r="AK318" s="56"/>
      <c r="AO318" s="68"/>
      <c r="AP318" s="76"/>
      <c r="AQ318" s="67"/>
      <c r="AR318" s="68"/>
      <c r="AS318" s="69"/>
      <c r="AT318" s="69"/>
      <c r="AU318" s="69"/>
      <c r="AV318" s="69"/>
      <c r="AW318" s="69"/>
      <c r="AX318" s="68"/>
      <c r="AY318" s="69"/>
      <c r="AZ318" s="67"/>
      <c r="BA318" s="69"/>
      <c r="BB318" s="76"/>
      <c r="BC318" s="67"/>
      <c r="BD318" s="68"/>
      <c r="BE318" s="69"/>
      <c r="BF318" s="69"/>
      <c r="BG318" s="69"/>
      <c r="BH318" s="69"/>
      <c r="BI318" s="69"/>
      <c r="BJ318" s="68"/>
      <c r="BK318" s="69"/>
      <c r="BL318" s="67"/>
      <c r="BM318" s="67"/>
      <c r="BN318" s="56"/>
      <c r="BO318" s="56"/>
      <c r="BT318" s="63"/>
      <c r="BW318" s="56"/>
      <c r="BX318" s="56"/>
      <c r="BY318" s="56"/>
      <c r="BZ318" s="56"/>
      <c r="CA318" s="56"/>
      <c r="CF318" s="63"/>
      <c r="CI318" s="56"/>
      <c r="CJ318" s="56"/>
      <c r="CK318" s="56"/>
      <c r="CL318" s="56"/>
      <c r="CM318" s="56"/>
    </row>
    <row r="319" spans="18:93" ht="18" customHeight="1">
      <c r="R319" s="63"/>
      <c r="V319" s="170"/>
      <c r="W319" s="56"/>
      <c r="X319" s="56"/>
      <c r="Y319" s="56"/>
      <c r="AD319" s="63"/>
      <c r="AG319" s="56"/>
      <c r="AH319" s="56"/>
      <c r="AI319" s="56"/>
      <c r="AJ319" s="56"/>
      <c r="AK319" s="56"/>
      <c r="AO319" s="68"/>
      <c r="AP319" s="76"/>
      <c r="AQ319" s="67"/>
      <c r="AR319" s="68"/>
      <c r="AS319" s="69"/>
      <c r="AT319" s="69"/>
      <c r="AU319" s="69"/>
      <c r="AV319" s="69"/>
      <c r="AW319" s="69"/>
      <c r="AX319" s="68"/>
      <c r="AY319" s="69"/>
      <c r="AZ319" s="67"/>
      <c r="BA319" s="69"/>
      <c r="BB319" s="76"/>
      <c r="BC319" s="67"/>
      <c r="BD319" s="68"/>
      <c r="BE319" s="69"/>
      <c r="BF319" s="69"/>
      <c r="BG319" s="69"/>
      <c r="BH319" s="69"/>
      <c r="BI319" s="69"/>
      <c r="BJ319" s="68"/>
      <c r="BK319" s="69"/>
      <c r="BL319" s="67"/>
      <c r="BM319" s="67"/>
      <c r="BN319" s="56"/>
      <c r="BO319" s="56"/>
      <c r="BT319" s="63"/>
      <c r="BW319" s="56"/>
      <c r="BX319" s="56"/>
      <c r="BY319" s="56"/>
      <c r="BZ319" s="56"/>
      <c r="CA319" s="56"/>
      <c r="CF319" s="63"/>
      <c r="CI319" s="56"/>
      <c r="CJ319" s="56"/>
      <c r="CK319" s="56"/>
      <c r="CL319" s="56"/>
      <c r="CM319" s="56"/>
    </row>
    <row r="320" spans="18:93" ht="18" customHeight="1">
      <c r="R320" s="63"/>
      <c r="V320" s="170"/>
      <c r="W320" s="56"/>
      <c r="X320" s="56"/>
      <c r="Y320" s="56"/>
      <c r="AD320" s="63"/>
      <c r="AG320" s="56"/>
      <c r="AH320" s="56"/>
      <c r="AI320" s="56"/>
      <c r="AJ320" s="56"/>
      <c r="AK320" s="56"/>
      <c r="AO320" s="68"/>
      <c r="AP320" s="76"/>
      <c r="AQ320" s="67"/>
      <c r="AR320" s="68"/>
      <c r="AS320" s="69"/>
      <c r="AT320" s="69"/>
      <c r="AU320" s="69"/>
      <c r="AV320" s="69"/>
      <c r="AW320" s="69"/>
      <c r="AX320" s="68"/>
      <c r="AY320" s="69"/>
      <c r="AZ320" s="67"/>
      <c r="BA320" s="69"/>
      <c r="BB320" s="76"/>
      <c r="BC320" s="67"/>
      <c r="BD320" s="68"/>
      <c r="BE320" s="69"/>
      <c r="BF320" s="69"/>
      <c r="BG320" s="69"/>
      <c r="BH320" s="69"/>
      <c r="BI320" s="69"/>
      <c r="BJ320" s="68"/>
      <c r="BK320" s="69"/>
      <c r="BL320" s="67"/>
      <c r="BM320" s="67"/>
      <c r="BN320" s="56"/>
      <c r="BO320" s="56"/>
      <c r="BT320" s="63"/>
      <c r="BW320" s="56"/>
      <c r="BX320" s="56"/>
      <c r="BY320" s="56"/>
      <c r="BZ320" s="56"/>
      <c r="CA320" s="56"/>
      <c r="CF320" s="63"/>
      <c r="CI320" s="56"/>
      <c r="CJ320" s="56"/>
      <c r="CK320" s="56"/>
      <c r="CL320" s="56"/>
      <c r="CM320" s="56"/>
    </row>
    <row r="321" spans="18:93" ht="18" customHeight="1">
      <c r="R321" s="63"/>
      <c r="V321" s="170"/>
      <c r="W321" s="56"/>
      <c r="X321" s="56"/>
      <c r="Y321" s="56"/>
      <c r="AD321" s="63"/>
      <c r="AG321" s="56"/>
      <c r="AH321" s="56"/>
      <c r="AI321" s="56"/>
      <c r="AJ321" s="56"/>
      <c r="AK321" s="56"/>
      <c r="AO321" s="68"/>
      <c r="AP321" s="76"/>
      <c r="AQ321" s="67"/>
      <c r="AR321" s="68"/>
      <c r="AS321" s="69"/>
      <c r="AT321" s="69"/>
      <c r="AU321" s="69"/>
      <c r="AV321" s="69"/>
      <c r="AW321" s="69"/>
      <c r="AX321" s="68"/>
      <c r="AY321" s="69"/>
      <c r="AZ321" s="67"/>
      <c r="BA321" s="69"/>
      <c r="BB321" s="76"/>
      <c r="BC321" s="67"/>
      <c r="BD321" s="68"/>
      <c r="BE321" s="69"/>
      <c r="BF321" s="69"/>
      <c r="BG321" s="69"/>
      <c r="BH321" s="69"/>
      <c r="BI321" s="69"/>
      <c r="BJ321" s="68"/>
      <c r="BK321" s="69"/>
      <c r="BL321" s="67"/>
      <c r="BM321" s="67"/>
      <c r="BN321" s="56"/>
      <c r="BO321" s="56"/>
      <c r="BT321" s="63"/>
      <c r="BW321" s="56"/>
      <c r="BX321" s="56"/>
      <c r="BY321" s="56"/>
      <c r="BZ321" s="56"/>
      <c r="CA321" s="56"/>
      <c r="CF321" s="63"/>
      <c r="CI321" s="56"/>
      <c r="CJ321" s="56"/>
      <c r="CK321" s="56"/>
      <c r="CL321" s="56"/>
      <c r="CM321" s="56"/>
    </row>
    <row r="322" spans="18:93" ht="18" customHeight="1">
      <c r="AO322" s="68"/>
      <c r="AP322" s="67"/>
      <c r="AQ322" s="67"/>
      <c r="AR322" s="68"/>
      <c r="AS322" s="68"/>
      <c r="AT322" s="68"/>
      <c r="AU322" s="68"/>
      <c r="AV322" s="68"/>
      <c r="AW322" s="68"/>
      <c r="AX322" s="68"/>
      <c r="AY322" s="69"/>
      <c r="AZ322" s="67"/>
      <c r="BA322" s="68"/>
      <c r="BB322" s="67"/>
      <c r="BC322" s="67"/>
      <c r="BD322" s="68"/>
      <c r="BE322" s="68"/>
      <c r="BF322" s="68"/>
      <c r="BG322" s="68"/>
      <c r="BH322" s="68"/>
      <c r="BI322" s="68"/>
      <c r="BJ322" s="68"/>
      <c r="BK322" s="69"/>
      <c r="BL322" s="67"/>
      <c r="BM322" s="67"/>
    </row>
    <row r="323" spans="18:93" ht="18" customHeight="1">
      <c r="R323" s="63"/>
      <c r="S323" s="64"/>
      <c r="Y323" s="531"/>
      <c r="Z323" s="531"/>
      <c r="AA323" s="531"/>
      <c r="AD323" s="63"/>
      <c r="AE323" s="64"/>
      <c r="AK323" s="531"/>
      <c r="AL323" s="531"/>
      <c r="AM323" s="531"/>
      <c r="AO323" s="68"/>
      <c r="AP323" s="76"/>
      <c r="AQ323" s="77"/>
      <c r="AR323" s="68"/>
      <c r="AS323" s="68"/>
      <c r="AT323" s="68"/>
      <c r="AU323" s="68"/>
      <c r="AV323" s="68"/>
      <c r="AW323" s="533"/>
      <c r="AX323" s="533"/>
      <c r="AY323" s="533"/>
      <c r="AZ323" s="67"/>
      <c r="BA323" s="68"/>
      <c r="BB323" s="76"/>
      <c r="BC323" s="77"/>
      <c r="BD323" s="68"/>
      <c r="BE323" s="68"/>
      <c r="BF323" s="68"/>
      <c r="BG323" s="68"/>
      <c r="BH323" s="68"/>
      <c r="BI323" s="533"/>
      <c r="BJ323" s="533"/>
      <c r="BK323" s="533"/>
      <c r="BL323" s="67"/>
      <c r="BM323" s="67"/>
      <c r="BO323" s="531"/>
      <c r="BP323" s="531"/>
      <c r="BQ323" s="531"/>
      <c r="BT323" s="63"/>
      <c r="BU323" s="64"/>
      <c r="CA323" s="531"/>
      <c r="CB323" s="531"/>
      <c r="CC323" s="531"/>
      <c r="CF323" s="63"/>
      <c r="CG323" s="64"/>
      <c r="CM323" s="531"/>
      <c r="CN323" s="531"/>
      <c r="CO323" s="531"/>
    </row>
    <row r="324" spans="18:93" ht="18" customHeight="1">
      <c r="R324" s="63"/>
      <c r="V324" s="170"/>
      <c r="W324" s="56"/>
      <c r="X324" s="56"/>
      <c r="Y324" s="56"/>
      <c r="AD324" s="63"/>
      <c r="AG324" s="56"/>
      <c r="AH324" s="56"/>
      <c r="AI324" s="56"/>
      <c r="AJ324" s="56"/>
      <c r="AK324" s="56"/>
      <c r="AO324" s="68"/>
      <c r="AP324" s="76"/>
      <c r="AQ324" s="67"/>
      <c r="AR324" s="68"/>
      <c r="AS324" s="69"/>
      <c r="AT324" s="69"/>
      <c r="AU324" s="69"/>
      <c r="AV324" s="69"/>
      <c r="AW324" s="69"/>
      <c r="AX324" s="68"/>
      <c r="AY324" s="69"/>
      <c r="AZ324" s="67"/>
      <c r="BA324" s="69"/>
      <c r="BB324" s="76"/>
      <c r="BC324" s="67"/>
      <c r="BD324" s="68"/>
      <c r="BE324" s="69"/>
      <c r="BF324" s="69"/>
      <c r="BG324" s="69"/>
      <c r="BH324" s="69"/>
      <c r="BI324" s="69"/>
      <c r="BJ324" s="68"/>
      <c r="BK324" s="69"/>
      <c r="BL324" s="67"/>
      <c r="BM324" s="67"/>
      <c r="BN324" s="56"/>
      <c r="BO324" s="56"/>
      <c r="BT324" s="63"/>
      <c r="BW324" s="56"/>
      <c r="BX324" s="56"/>
      <c r="BY324" s="56"/>
      <c r="BZ324" s="56"/>
      <c r="CA324" s="56"/>
      <c r="CF324" s="63"/>
      <c r="CI324" s="56"/>
      <c r="CJ324" s="56"/>
      <c r="CK324" s="56"/>
      <c r="CL324" s="56"/>
      <c r="CM324" s="56"/>
    </row>
    <row r="325" spans="18:93" ht="18" customHeight="1">
      <c r="R325" s="63"/>
      <c r="V325" s="170"/>
      <c r="W325" s="56"/>
      <c r="X325" s="56"/>
      <c r="Y325" s="56"/>
      <c r="AD325" s="63"/>
      <c r="AG325" s="56"/>
      <c r="AH325" s="56"/>
      <c r="AI325" s="56"/>
      <c r="AJ325" s="56"/>
      <c r="AK325" s="56"/>
      <c r="AO325" s="68"/>
      <c r="AP325" s="76"/>
      <c r="AQ325" s="67"/>
      <c r="AR325" s="68"/>
      <c r="AS325" s="69"/>
      <c r="AT325" s="69"/>
      <c r="AU325" s="69"/>
      <c r="AV325" s="69"/>
      <c r="AW325" s="69"/>
      <c r="AX325" s="68"/>
      <c r="AY325" s="69"/>
      <c r="AZ325" s="67"/>
      <c r="BA325" s="69"/>
      <c r="BB325" s="76"/>
      <c r="BC325" s="67"/>
      <c r="BD325" s="68"/>
      <c r="BE325" s="69"/>
      <c r="BF325" s="69"/>
      <c r="BG325" s="69"/>
      <c r="BH325" s="69"/>
      <c r="BI325" s="69"/>
      <c r="BJ325" s="68"/>
      <c r="BK325" s="69"/>
      <c r="BL325" s="67"/>
      <c r="BM325" s="67"/>
      <c r="BN325" s="56"/>
      <c r="BO325" s="56"/>
      <c r="BT325" s="63"/>
      <c r="BW325" s="56"/>
      <c r="BX325" s="56"/>
      <c r="BY325" s="56"/>
      <c r="BZ325" s="56"/>
      <c r="CA325" s="56"/>
      <c r="CF325" s="63"/>
      <c r="CI325" s="56"/>
      <c r="CJ325" s="56"/>
      <c r="CK325" s="56"/>
      <c r="CL325" s="56"/>
      <c r="CM325" s="56"/>
    </row>
    <row r="326" spans="18:93" ht="18" customHeight="1">
      <c r="R326" s="63"/>
      <c r="V326" s="170"/>
      <c r="W326" s="56"/>
      <c r="X326" s="56"/>
      <c r="Y326" s="56"/>
      <c r="AD326" s="63"/>
      <c r="AG326" s="56"/>
      <c r="AH326" s="56"/>
      <c r="AI326" s="56"/>
      <c r="AJ326" s="56"/>
      <c r="AK326" s="56"/>
      <c r="AO326" s="68"/>
      <c r="AP326" s="76"/>
      <c r="AQ326" s="67"/>
      <c r="AR326" s="68"/>
      <c r="AS326" s="69"/>
      <c r="AT326" s="69"/>
      <c r="AU326" s="69"/>
      <c r="AV326" s="69"/>
      <c r="AW326" s="69"/>
      <c r="AX326" s="68"/>
      <c r="AY326" s="69"/>
      <c r="AZ326" s="67"/>
      <c r="BA326" s="69"/>
      <c r="BB326" s="76"/>
      <c r="BC326" s="67"/>
      <c r="BD326" s="68"/>
      <c r="BE326" s="69"/>
      <c r="BF326" s="69"/>
      <c r="BG326" s="69"/>
      <c r="BH326" s="69"/>
      <c r="BI326" s="69"/>
      <c r="BJ326" s="68"/>
      <c r="BK326" s="69"/>
      <c r="BL326" s="67"/>
      <c r="BM326" s="67"/>
      <c r="BN326" s="56"/>
      <c r="BO326" s="56"/>
      <c r="BT326" s="63"/>
      <c r="BW326" s="56"/>
      <c r="BX326" s="56"/>
      <c r="BY326" s="56"/>
      <c r="BZ326" s="56"/>
      <c r="CA326" s="56"/>
      <c r="CF326" s="63"/>
      <c r="CI326" s="56"/>
      <c r="CJ326" s="56"/>
      <c r="CK326" s="56"/>
      <c r="CL326" s="56"/>
      <c r="CM326" s="56"/>
    </row>
    <row r="327" spans="18:93" ht="18" customHeight="1">
      <c r="R327" s="63"/>
      <c r="V327" s="170"/>
      <c r="W327" s="56"/>
      <c r="X327" s="56"/>
      <c r="Y327" s="56"/>
      <c r="AD327" s="63"/>
      <c r="AG327" s="56"/>
      <c r="AH327" s="56"/>
      <c r="AI327" s="56"/>
      <c r="AJ327" s="56"/>
      <c r="AK327" s="56"/>
      <c r="AO327" s="68"/>
      <c r="AP327" s="76"/>
      <c r="AQ327" s="67"/>
      <c r="AR327" s="68"/>
      <c r="AS327" s="69"/>
      <c r="AT327" s="69"/>
      <c r="AU327" s="69"/>
      <c r="AV327" s="69"/>
      <c r="AW327" s="69"/>
      <c r="AX327" s="68"/>
      <c r="AY327" s="69"/>
      <c r="AZ327" s="67"/>
      <c r="BA327" s="69"/>
      <c r="BB327" s="76"/>
      <c r="BC327" s="67"/>
      <c r="BD327" s="68"/>
      <c r="BE327" s="69"/>
      <c r="BF327" s="69"/>
      <c r="BG327" s="69"/>
      <c r="BH327" s="69"/>
      <c r="BI327" s="69"/>
      <c r="BJ327" s="68"/>
      <c r="BK327" s="69"/>
      <c r="BL327" s="67"/>
      <c r="BM327" s="67"/>
      <c r="BN327" s="56"/>
      <c r="BO327" s="56"/>
      <c r="BT327" s="63"/>
      <c r="BW327" s="56"/>
      <c r="BX327" s="56"/>
      <c r="BY327" s="56"/>
      <c r="BZ327" s="56"/>
      <c r="CA327" s="56"/>
      <c r="CF327" s="63"/>
      <c r="CI327" s="56"/>
      <c r="CJ327" s="56"/>
      <c r="CK327" s="56"/>
      <c r="CL327" s="56"/>
      <c r="CM327" s="56"/>
    </row>
    <row r="328" spans="18:93" ht="18" customHeight="1">
      <c r="AO328" s="68"/>
      <c r="AP328" s="67"/>
      <c r="AQ328" s="67"/>
      <c r="AR328" s="68"/>
      <c r="AS328" s="68"/>
      <c r="AT328" s="68"/>
      <c r="AU328" s="68"/>
      <c r="AV328" s="68"/>
      <c r="AW328" s="68"/>
      <c r="AX328" s="68"/>
      <c r="AY328" s="69"/>
      <c r="AZ328" s="67"/>
      <c r="BA328" s="68"/>
      <c r="BB328" s="67"/>
      <c r="BC328" s="67"/>
      <c r="BD328" s="68"/>
      <c r="BE328" s="68"/>
      <c r="BF328" s="68"/>
      <c r="BG328" s="68"/>
      <c r="BH328" s="68"/>
      <c r="BI328" s="68"/>
      <c r="BJ328" s="68"/>
      <c r="BK328" s="69"/>
      <c r="BL328" s="67"/>
      <c r="BM328" s="67"/>
    </row>
    <row r="329" spans="18:93" ht="18" customHeight="1">
      <c r="R329" s="63"/>
      <c r="S329" s="64"/>
      <c r="Y329" s="531"/>
      <c r="Z329" s="531"/>
      <c r="AA329" s="531"/>
      <c r="AD329" s="63"/>
      <c r="AE329" s="64"/>
      <c r="AK329" s="531"/>
      <c r="AL329" s="531"/>
      <c r="AM329" s="531"/>
      <c r="AO329" s="68"/>
      <c r="AP329" s="76"/>
      <c r="AQ329" s="77"/>
      <c r="AR329" s="68"/>
      <c r="AS329" s="68"/>
      <c r="AT329" s="68"/>
      <c r="AU329" s="68"/>
      <c r="AV329" s="68"/>
      <c r="AW329" s="533"/>
      <c r="AX329" s="533"/>
      <c r="AY329" s="533"/>
      <c r="AZ329" s="67"/>
      <c r="BA329" s="68"/>
      <c r="BB329" s="76"/>
      <c r="BC329" s="77"/>
      <c r="BD329" s="68"/>
      <c r="BE329" s="68"/>
      <c r="BF329" s="68"/>
      <c r="BG329" s="68"/>
      <c r="BH329" s="68"/>
      <c r="BI329" s="533"/>
      <c r="BJ329" s="533"/>
      <c r="BK329" s="533"/>
      <c r="BL329" s="67"/>
      <c r="BM329" s="67"/>
      <c r="BO329" s="531"/>
      <c r="BP329" s="531"/>
      <c r="BQ329" s="531"/>
      <c r="BT329" s="63"/>
      <c r="BU329" s="64"/>
      <c r="CA329" s="531"/>
      <c r="CB329" s="531"/>
      <c r="CC329" s="531"/>
      <c r="CF329" s="63"/>
      <c r="CG329" s="64"/>
      <c r="CM329" s="531"/>
      <c r="CN329" s="531"/>
      <c r="CO329" s="531"/>
    </row>
    <row r="330" spans="18:93" ht="18" customHeight="1">
      <c r="R330" s="63"/>
      <c r="V330" s="170"/>
      <c r="W330" s="56"/>
      <c r="X330" s="56"/>
      <c r="Y330" s="56"/>
      <c r="AD330" s="63"/>
      <c r="AG330" s="56"/>
      <c r="AH330" s="56"/>
      <c r="AI330" s="56"/>
      <c r="AJ330" s="56"/>
      <c r="AK330" s="56"/>
      <c r="AO330" s="68"/>
      <c r="AP330" s="76"/>
      <c r="AQ330" s="67"/>
      <c r="AR330" s="68"/>
      <c r="AS330" s="69"/>
      <c r="AT330" s="69"/>
      <c r="AU330" s="69"/>
      <c r="AV330" s="69"/>
      <c r="AW330" s="69"/>
      <c r="AX330" s="68"/>
      <c r="AY330" s="69"/>
      <c r="AZ330" s="67"/>
      <c r="BA330" s="69"/>
      <c r="BB330" s="76"/>
      <c r="BC330" s="67"/>
      <c r="BD330" s="68"/>
      <c r="BE330" s="69"/>
      <c r="BF330" s="69"/>
      <c r="BG330" s="69"/>
      <c r="BH330" s="69"/>
      <c r="BI330" s="69"/>
      <c r="BJ330" s="68"/>
      <c r="BK330" s="69"/>
      <c r="BL330" s="67"/>
      <c r="BM330" s="67"/>
      <c r="BN330" s="56"/>
      <c r="BO330" s="56"/>
      <c r="BT330" s="63"/>
      <c r="BW330" s="56"/>
      <c r="BX330" s="56"/>
      <c r="BY330" s="56"/>
      <c r="BZ330" s="56"/>
      <c r="CA330" s="56"/>
      <c r="CF330" s="63"/>
      <c r="CI330" s="56"/>
      <c r="CJ330" s="56"/>
      <c r="CK330" s="56"/>
      <c r="CL330" s="56"/>
      <c r="CM330" s="56"/>
    </row>
    <row r="331" spans="18:93" ht="18" customHeight="1">
      <c r="R331" s="63"/>
      <c r="V331" s="170"/>
      <c r="W331" s="56"/>
      <c r="X331" s="56"/>
      <c r="Y331" s="56"/>
      <c r="AD331" s="63"/>
      <c r="AG331" s="56"/>
      <c r="AH331" s="56"/>
      <c r="AI331" s="56"/>
      <c r="AJ331" s="56"/>
      <c r="AK331" s="56"/>
      <c r="AO331" s="68"/>
      <c r="AP331" s="76"/>
      <c r="AQ331" s="67"/>
      <c r="AR331" s="68"/>
      <c r="AS331" s="69"/>
      <c r="AT331" s="69"/>
      <c r="AU331" s="69"/>
      <c r="AV331" s="69"/>
      <c r="AW331" s="69"/>
      <c r="AX331" s="68"/>
      <c r="AY331" s="69"/>
      <c r="AZ331" s="67"/>
      <c r="BA331" s="69"/>
      <c r="BB331" s="76"/>
      <c r="BC331" s="67"/>
      <c r="BD331" s="68"/>
      <c r="BE331" s="69"/>
      <c r="BF331" s="69"/>
      <c r="BG331" s="69"/>
      <c r="BH331" s="69"/>
      <c r="BI331" s="69"/>
      <c r="BJ331" s="68"/>
      <c r="BK331" s="69"/>
      <c r="BL331" s="67"/>
      <c r="BM331" s="67"/>
      <c r="BN331" s="56"/>
      <c r="BO331" s="56"/>
      <c r="BT331" s="63"/>
      <c r="BW331" s="56"/>
      <c r="BX331" s="56"/>
      <c r="BY331" s="56"/>
      <c r="BZ331" s="56"/>
      <c r="CA331" s="56"/>
      <c r="CF331" s="63"/>
      <c r="CI331" s="56"/>
      <c r="CJ331" s="56"/>
      <c r="CK331" s="56"/>
      <c r="CL331" s="56"/>
      <c r="CM331" s="56"/>
    </row>
    <row r="332" spans="18:93" ht="18" customHeight="1">
      <c r="R332" s="63"/>
      <c r="V332" s="170"/>
      <c r="W332" s="56"/>
      <c r="X332" s="56"/>
      <c r="Y332" s="56"/>
      <c r="AD332" s="63"/>
      <c r="AG332" s="56"/>
      <c r="AH332" s="56"/>
      <c r="AI332" s="56"/>
      <c r="AJ332" s="56"/>
      <c r="AK332" s="56"/>
      <c r="AO332" s="68"/>
      <c r="AP332" s="76"/>
      <c r="AQ332" s="67"/>
      <c r="AR332" s="68"/>
      <c r="AS332" s="69"/>
      <c r="AT332" s="69"/>
      <c r="AU332" s="69"/>
      <c r="AV332" s="69"/>
      <c r="AW332" s="69"/>
      <c r="AX332" s="68"/>
      <c r="AY332" s="69"/>
      <c r="AZ332" s="67"/>
      <c r="BA332" s="69"/>
      <c r="BB332" s="76"/>
      <c r="BC332" s="67"/>
      <c r="BD332" s="68"/>
      <c r="BE332" s="69"/>
      <c r="BF332" s="69"/>
      <c r="BG332" s="69"/>
      <c r="BH332" s="69"/>
      <c r="BI332" s="69"/>
      <c r="BJ332" s="68"/>
      <c r="BK332" s="69"/>
      <c r="BL332" s="67"/>
      <c r="BM332" s="67"/>
      <c r="BN332" s="56"/>
      <c r="BO332" s="56"/>
      <c r="BT332" s="63"/>
      <c r="BW332" s="56"/>
      <c r="BX332" s="56"/>
      <c r="BY332" s="56"/>
      <c r="BZ332" s="56"/>
      <c r="CA332" s="56"/>
      <c r="CF332" s="63"/>
      <c r="CI332" s="56"/>
      <c r="CJ332" s="56"/>
      <c r="CK332" s="56"/>
      <c r="CL332" s="56"/>
      <c r="CM332" s="56"/>
    </row>
    <row r="333" spans="18:93" ht="18" customHeight="1">
      <c r="R333" s="63"/>
      <c r="V333" s="170"/>
      <c r="W333" s="56"/>
      <c r="X333" s="56"/>
      <c r="Y333" s="56"/>
      <c r="AD333" s="63"/>
      <c r="AG333" s="56"/>
      <c r="AH333" s="56"/>
      <c r="AI333" s="56"/>
      <c r="AJ333" s="56"/>
      <c r="AK333" s="56"/>
      <c r="AO333" s="68"/>
      <c r="AP333" s="76"/>
      <c r="AQ333" s="67"/>
      <c r="AR333" s="68"/>
      <c r="AS333" s="69"/>
      <c r="AT333" s="69"/>
      <c r="AU333" s="69"/>
      <c r="AV333" s="69"/>
      <c r="AW333" s="69"/>
      <c r="AX333" s="68"/>
      <c r="AY333" s="69"/>
      <c r="AZ333" s="67"/>
      <c r="BA333" s="69"/>
      <c r="BB333" s="76"/>
      <c r="BC333" s="67"/>
      <c r="BD333" s="68"/>
      <c r="BE333" s="69"/>
      <c r="BF333" s="69"/>
      <c r="BG333" s="69"/>
      <c r="BH333" s="69"/>
      <c r="BI333" s="69"/>
      <c r="BJ333" s="68"/>
      <c r="BK333" s="69"/>
      <c r="BL333" s="67"/>
      <c r="BM333" s="67"/>
      <c r="BN333" s="56"/>
      <c r="BO333" s="56"/>
      <c r="BT333" s="63"/>
      <c r="BW333" s="56"/>
      <c r="BX333" s="56"/>
      <c r="BY333" s="56"/>
      <c r="BZ333" s="56"/>
      <c r="CA333" s="56"/>
      <c r="CF333" s="63"/>
      <c r="CI333" s="56"/>
      <c r="CJ333" s="56"/>
      <c r="CK333" s="56"/>
      <c r="CL333" s="56"/>
      <c r="CM333" s="56"/>
    </row>
    <row r="334" spans="18:93" ht="18" customHeight="1">
      <c r="AO334" s="68"/>
      <c r="AP334" s="67"/>
      <c r="AQ334" s="67"/>
      <c r="AR334" s="68"/>
      <c r="AS334" s="68"/>
      <c r="AT334" s="68"/>
      <c r="AU334" s="68"/>
      <c r="AV334" s="68"/>
      <c r="AW334" s="68"/>
      <c r="AX334" s="68"/>
      <c r="AY334" s="69"/>
      <c r="AZ334" s="67"/>
      <c r="BA334" s="68"/>
      <c r="BB334" s="67"/>
      <c r="BC334" s="67"/>
      <c r="BD334" s="68"/>
      <c r="BE334" s="68"/>
      <c r="BF334" s="68"/>
      <c r="BG334" s="68"/>
      <c r="BH334" s="68"/>
      <c r="BI334" s="68"/>
      <c r="BJ334" s="68"/>
      <c r="BK334" s="69"/>
      <c r="BL334" s="67"/>
      <c r="BM334" s="67"/>
    </row>
    <row r="335" spans="18:93" ht="18" customHeight="1">
      <c r="R335" s="63"/>
      <c r="S335" s="64"/>
      <c r="Y335" s="531"/>
      <c r="Z335" s="531"/>
      <c r="AA335" s="531"/>
      <c r="AD335" s="63"/>
      <c r="AE335" s="64"/>
      <c r="AK335" s="531"/>
      <c r="AL335" s="531"/>
      <c r="AM335" s="531"/>
      <c r="AO335" s="68"/>
      <c r="AP335" s="76"/>
      <c r="AQ335" s="77"/>
      <c r="AR335" s="68"/>
      <c r="AS335" s="68"/>
      <c r="AT335" s="68"/>
      <c r="AU335" s="68"/>
      <c r="AV335" s="68"/>
      <c r="AW335" s="533"/>
      <c r="AX335" s="533"/>
      <c r="AY335" s="533"/>
      <c r="AZ335" s="67"/>
      <c r="BA335" s="68"/>
      <c r="BB335" s="76"/>
      <c r="BC335" s="77"/>
      <c r="BD335" s="68"/>
      <c r="BE335" s="68"/>
      <c r="BF335" s="68"/>
      <c r="BG335" s="68"/>
      <c r="BH335" s="68"/>
      <c r="BI335" s="533"/>
      <c r="BJ335" s="533"/>
      <c r="BK335" s="533"/>
      <c r="BL335" s="67"/>
      <c r="BM335" s="67"/>
      <c r="BO335" s="531"/>
      <c r="BP335" s="531"/>
      <c r="BQ335" s="531"/>
      <c r="BT335" s="63"/>
      <c r="BU335" s="64"/>
      <c r="CA335" s="531"/>
      <c r="CB335" s="531"/>
      <c r="CC335" s="531"/>
      <c r="CF335" s="63"/>
      <c r="CG335" s="64"/>
      <c r="CM335" s="531"/>
      <c r="CN335" s="531"/>
      <c r="CO335" s="531"/>
    </row>
    <row r="336" spans="18:93" ht="18" customHeight="1">
      <c r="R336" s="63"/>
      <c r="V336" s="170"/>
      <c r="W336" s="56"/>
      <c r="X336" s="56"/>
      <c r="Y336" s="56"/>
      <c r="AD336" s="63"/>
      <c r="AG336" s="56"/>
      <c r="AH336" s="56"/>
      <c r="AI336" s="56"/>
      <c r="AJ336" s="56"/>
      <c r="AK336" s="56"/>
      <c r="AO336" s="68"/>
      <c r="AP336" s="76"/>
      <c r="AQ336" s="67"/>
      <c r="AR336" s="68"/>
      <c r="AS336" s="69"/>
      <c r="AT336" s="69"/>
      <c r="AU336" s="69"/>
      <c r="AV336" s="69"/>
      <c r="AW336" s="69"/>
      <c r="AX336" s="68"/>
      <c r="AY336" s="69"/>
      <c r="AZ336" s="67"/>
      <c r="BA336" s="69"/>
      <c r="BB336" s="76"/>
      <c r="BC336" s="67"/>
      <c r="BD336" s="68"/>
      <c r="BE336" s="69"/>
      <c r="BF336" s="69"/>
      <c r="BG336" s="69"/>
      <c r="BH336" s="69"/>
      <c r="BI336" s="69"/>
      <c r="BJ336" s="68"/>
      <c r="BK336" s="69"/>
      <c r="BL336" s="67"/>
      <c r="BM336" s="67"/>
      <c r="BN336" s="56"/>
      <c r="BO336" s="56"/>
      <c r="BT336" s="63"/>
      <c r="BW336" s="56"/>
      <c r="BX336" s="56"/>
      <c r="BY336" s="56"/>
      <c r="BZ336" s="56"/>
      <c r="CA336" s="56"/>
      <c r="CF336" s="63"/>
      <c r="CI336" s="56"/>
      <c r="CJ336" s="56"/>
      <c r="CK336" s="56"/>
      <c r="CL336" s="56"/>
      <c r="CM336" s="56"/>
    </row>
    <row r="337" spans="18:93" ht="18" customHeight="1">
      <c r="R337" s="63"/>
      <c r="V337" s="170"/>
      <c r="W337" s="56"/>
      <c r="X337" s="56"/>
      <c r="Y337" s="56"/>
      <c r="AD337" s="63"/>
      <c r="AG337" s="56"/>
      <c r="AH337" s="56"/>
      <c r="AI337" s="56"/>
      <c r="AJ337" s="56"/>
      <c r="AK337" s="56"/>
      <c r="AO337" s="68"/>
      <c r="AP337" s="76"/>
      <c r="AQ337" s="67"/>
      <c r="AR337" s="68"/>
      <c r="AS337" s="69"/>
      <c r="AT337" s="69"/>
      <c r="AU337" s="69"/>
      <c r="AV337" s="69"/>
      <c r="AW337" s="69"/>
      <c r="AX337" s="68"/>
      <c r="AY337" s="69"/>
      <c r="AZ337" s="67"/>
      <c r="BA337" s="69"/>
      <c r="BB337" s="76"/>
      <c r="BC337" s="67"/>
      <c r="BD337" s="68"/>
      <c r="BE337" s="69"/>
      <c r="BF337" s="69"/>
      <c r="BG337" s="69"/>
      <c r="BH337" s="69"/>
      <c r="BI337" s="69"/>
      <c r="BJ337" s="68"/>
      <c r="BK337" s="69"/>
      <c r="BL337" s="67"/>
      <c r="BM337" s="67"/>
      <c r="BN337" s="56"/>
      <c r="BO337" s="56"/>
      <c r="BT337" s="63"/>
      <c r="BW337" s="56"/>
      <c r="BX337" s="56"/>
      <c r="BY337" s="56"/>
      <c r="BZ337" s="56"/>
      <c r="CA337" s="56"/>
      <c r="CF337" s="63"/>
      <c r="CI337" s="56"/>
      <c r="CJ337" s="56"/>
      <c r="CK337" s="56"/>
      <c r="CL337" s="56"/>
      <c r="CM337" s="56"/>
    </row>
    <row r="338" spans="18:93" ht="18" customHeight="1">
      <c r="R338" s="63"/>
      <c r="V338" s="170"/>
      <c r="W338" s="56"/>
      <c r="X338" s="56"/>
      <c r="Y338" s="56"/>
      <c r="AD338" s="63"/>
      <c r="AG338" s="56"/>
      <c r="AH338" s="56"/>
      <c r="AI338" s="56"/>
      <c r="AJ338" s="56"/>
      <c r="AK338" s="56"/>
      <c r="AO338" s="68"/>
      <c r="AP338" s="76"/>
      <c r="AQ338" s="67"/>
      <c r="AR338" s="68"/>
      <c r="AS338" s="69"/>
      <c r="AT338" s="69"/>
      <c r="AU338" s="69"/>
      <c r="AV338" s="69"/>
      <c r="AW338" s="69"/>
      <c r="AX338" s="68"/>
      <c r="AY338" s="69"/>
      <c r="AZ338" s="67"/>
      <c r="BA338" s="69"/>
      <c r="BB338" s="76"/>
      <c r="BC338" s="67"/>
      <c r="BD338" s="68"/>
      <c r="BE338" s="69"/>
      <c r="BF338" s="69"/>
      <c r="BG338" s="69"/>
      <c r="BH338" s="69"/>
      <c r="BI338" s="69"/>
      <c r="BJ338" s="68"/>
      <c r="BK338" s="69"/>
      <c r="BL338" s="67"/>
      <c r="BM338" s="67"/>
      <c r="BN338" s="56"/>
      <c r="BO338" s="56"/>
      <c r="BT338" s="63"/>
      <c r="BW338" s="56"/>
      <c r="BX338" s="56"/>
      <c r="BY338" s="56"/>
      <c r="BZ338" s="56"/>
      <c r="CA338" s="56"/>
      <c r="CF338" s="63"/>
      <c r="CI338" s="56"/>
      <c r="CJ338" s="56"/>
      <c r="CK338" s="56"/>
      <c r="CL338" s="56"/>
      <c r="CM338" s="56"/>
    </row>
    <row r="339" spans="18:93" ht="18" customHeight="1">
      <c r="R339" s="63"/>
      <c r="V339" s="170"/>
      <c r="W339" s="56"/>
      <c r="X339" s="56"/>
      <c r="Y339" s="56"/>
      <c r="AD339" s="63"/>
      <c r="AG339" s="56"/>
      <c r="AH339" s="56"/>
      <c r="AI339" s="56"/>
      <c r="AJ339" s="56"/>
      <c r="AK339" s="56"/>
      <c r="AO339" s="68"/>
      <c r="AP339" s="76"/>
      <c r="AQ339" s="67"/>
      <c r="AR339" s="68"/>
      <c r="AS339" s="69"/>
      <c r="AT339" s="69"/>
      <c r="AU339" s="69"/>
      <c r="AV339" s="69"/>
      <c r="AW339" s="69"/>
      <c r="AX339" s="68"/>
      <c r="AY339" s="69"/>
      <c r="AZ339" s="67"/>
      <c r="BA339" s="69"/>
      <c r="BB339" s="76"/>
      <c r="BC339" s="67"/>
      <c r="BD339" s="68"/>
      <c r="BE339" s="69"/>
      <c r="BF339" s="69"/>
      <c r="BG339" s="69"/>
      <c r="BH339" s="69"/>
      <c r="BI339" s="69"/>
      <c r="BJ339" s="68"/>
      <c r="BK339" s="69"/>
      <c r="BL339" s="67"/>
      <c r="BM339" s="67"/>
      <c r="BN339" s="56"/>
      <c r="BO339" s="56"/>
      <c r="BT339" s="63"/>
      <c r="BW339" s="56"/>
      <c r="BX339" s="56"/>
      <c r="BY339" s="56"/>
      <c r="BZ339" s="56"/>
      <c r="CA339" s="56"/>
      <c r="CF339" s="63"/>
      <c r="CI339" s="56"/>
      <c r="CJ339" s="56"/>
      <c r="CK339" s="56"/>
      <c r="CL339" s="56"/>
      <c r="CM339" s="56"/>
    </row>
    <row r="340" spans="18:93" ht="18" customHeight="1">
      <c r="AO340" s="68"/>
      <c r="AP340" s="67"/>
      <c r="AQ340" s="67"/>
      <c r="AR340" s="68"/>
      <c r="AS340" s="68"/>
      <c r="AT340" s="68"/>
      <c r="AU340" s="68"/>
      <c r="AV340" s="68"/>
      <c r="AW340" s="68"/>
      <c r="AX340" s="68"/>
      <c r="AY340" s="69"/>
      <c r="AZ340" s="67"/>
      <c r="BA340" s="68"/>
      <c r="BB340" s="67"/>
      <c r="BC340" s="67"/>
      <c r="BD340" s="68"/>
      <c r="BE340" s="68"/>
      <c r="BF340" s="68"/>
      <c r="BG340" s="68"/>
      <c r="BH340" s="68"/>
      <c r="BI340" s="68"/>
      <c r="BJ340" s="68"/>
      <c r="BK340" s="69"/>
      <c r="BL340" s="67"/>
      <c r="BM340" s="67"/>
    </row>
    <row r="341" spans="18:93" ht="18" customHeight="1">
      <c r="R341" s="63"/>
      <c r="S341" s="64"/>
      <c r="Y341" s="531"/>
      <c r="Z341" s="531"/>
      <c r="AA341" s="531"/>
      <c r="AD341" s="63"/>
      <c r="AE341" s="64"/>
      <c r="AK341" s="531"/>
      <c r="AL341" s="531"/>
      <c r="AM341" s="531"/>
      <c r="AO341" s="68"/>
      <c r="AP341" s="76"/>
      <c r="AQ341" s="77"/>
      <c r="AR341" s="68"/>
      <c r="AS341" s="68"/>
      <c r="AT341" s="68"/>
      <c r="AU341" s="68"/>
      <c r="AV341" s="68"/>
      <c r="AW341" s="533"/>
      <c r="AX341" s="533"/>
      <c r="AY341" s="533"/>
      <c r="AZ341" s="67"/>
      <c r="BA341" s="68"/>
      <c r="BB341" s="76"/>
      <c r="BC341" s="77"/>
      <c r="BD341" s="68"/>
      <c r="BE341" s="68"/>
      <c r="BF341" s="68"/>
      <c r="BG341" s="68"/>
      <c r="BH341" s="68"/>
      <c r="BI341" s="533"/>
      <c r="BJ341" s="533"/>
      <c r="BK341" s="533"/>
      <c r="BL341" s="67"/>
      <c r="BM341" s="67"/>
      <c r="BO341" s="531"/>
      <c r="BP341" s="531"/>
      <c r="BQ341" s="531"/>
      <c r="BT341" s="63"/>
      <c r="BU341" s="64"/>
      <c r="CA341" s="531"/>
      <c r="CB341" s="531"/>
      <c r="CC341" s="531"/>
      <c r="CF341" s="63"/>
      <c r="CG341" s="64"/>
      <c r="CM341" s="531"/>
      <c r="CN341" s="531"/>
      <c r="CO341" s="531"/>
    </row>
    <row r="342" spans="18:93" ht="18" customHeight="1">
      <c r="R342" s="63"/>
      <c r="V342" s="170"/>
      <c r="W342" s="56"/>
      <c r="X342" s="56"/>
      <c r="Y342" s="56"/>
      <c r="AD342" s="63"/>
      <c r="AG342" s="56"/>
      <c r="AH342" s="56"/>
      <c r="AI342" s="56"/>
      <c r="AJ342" s="56"/>
      <c r="AK342" s="56"/>
      <c r="AO342" s="68"/>
      <c r="AP342" s="76"/>
      <c r="AQ342" s="67"/>
      <c r="AR342" s="68"/>
      <c r="AS342" s="69"/>
      <c r="AT342" s="69"/>
      <c r="AU342" s="69"/>
      <c r="AV342" s="69"/>
      <c r="AW342" s="69"/>
      <c r="AX342" s="68"/>
      <c r="AY342" s="69"/>
      <c r="AZ342" s="67"/>
      <c r="BA342" s="69"/>
      <c r="BB342" s="76"/>
      <c r="BC342" s="67"/>
      <c r="BD342" s="68"/>
      <c r="BE342" s="69"/>
      <c r="BF342" s="69"/>
      <c r="BG342" s="69"/>
      <c r="BH342" s="69"/>
      <c r="BI342" s="69"/>
      <c r="BJ342" s="68"/>
      <c r="BK342" s="69"/>
      <c r="BL342" s="67"/>
      <c r="BM342" s="67"/>
      <c r="BN342" s="56"/>
      <c r="BO342" s="56"/>
      <c r="BT342" s="63"/>
      <c r="BW342" s="56"/>
      <c r="BX342" s="56"/>
      <c r="BY342" s="56"/>
      <c r="BZ342" s="56"/>
      <c r="CA342" s="56"/>
      <c r="CF342" s="63"/>
      <c r="CI342" s="56"/>
      <c r="CJ342" s="56"/>
      <c r="CK342" s="56"/>
      <c r="CL342" s="56"/>
      <c r="CM342" s="56"/>
    </row>
    <row r="343" spans="18:93" ht="18" customHeight="1">
      <c r="R343" s="63"/>
      <c r="V343" s="170"/>
      <c r="W343" s="56"/>
      <c r="X343" s="56"/>
      <c r="Y343" s="56"/>
      <c r="AD343" s="63"/>
      <c r="AG343" s="56"/>
      <c r="AH343" s="56"/>
      <c r="AI343" s="56"/>
      <c r="AJ343" s="56"/>
      <c r="AK343" s="56"/>
      <c r="AO343" s="68"/>
      <c r="AP343" s="76"/>
      <c r="AQ343" s="67"/>
      <c r="AR343" s="68"/>
      <c r="AS343" s="69"/>
      <c r="AT343" s="69"/>
      <c r="AU343" s="69"/>
      <c r="AV343" s="69"/>
      <c r="AW343" s="69"/>
      <c r="AX343" s="68"/>
      <c r="AY343" s="69"/>
      <c r="AZ343" s="67"/>
      <c r="BA343" s="69"/>
      <c r="BB343" s="76"/>
      <c r="BC343" s="67"/>
      <c r="BD343" s="68"/>
      <c r="BE343" s="69"/>
      <c r="BF343" s="69"/>
      <c r="BG343" s="69"/>
      <c r="BH343" s="69"/>
      <c r="BI343" s="69"/>
      <c r="BJ343" s="68"/>
      <c r="BK343" s="69"/>
      <c r="BL343" s="67"/>
      <c r="BM343" s="67"/>
      <c r="BN343" s="56"/>
      <c r="BO343" s="56"/>
      <c r="BT343" s="63"/>
      <c r="BW343" s="56"/>
      <c r="BX343" s="56"/>
      <c r="BY343" s="56"/>
      <c r="BZ343" s="56"/>
      <c r="CA343" s="56"/>
      <c r="CF343" s="63"/>
      <c r="CI343" s="56"/>
      <c r="CJ343" s="56"/>
      <c r="CK343" s="56"/>
      <c r="CL343" s="56"/>
      <c r="CM343" s="56"/>
    </row>
    <row r="344" spans="18:93" ht="18" customHeight="1">
      <c r="R344" s="63"/>
      <c r="V344" s="170"/>
      <c r="W344" s="56"/>
      <c r="X344" s="56"/>
      <c r="Y344" s="56"/>
      <c r="AD344" s="63"/>
      <c r="AG344" s="56"/>
      <c r="AH344" s="56"/>
      <c r="AI344" s="56"/>
      <c r="AJ344" s="56"/>
      <c r="AK344" s="56"/>
      <c r="AO344" s="68"/>
      <c r="AP344" s="76"/>
      <c r="AQ344" s="67"/>
      <c r="AR344" s="68"/>
      <c r="AS344" s="69"/>
      <c r="AT344" s="69"/>
      <c r="AU344" s="69"/>
      <c r="AV344" s="69"/>
      <c r="AW344" s="69"/>
      <c r="AX344" s="68"/>
      <c r="AY344" s="69"/>
      <c r="AZ344" s="67"/>
      <c r="BA344" s="69"/>
      <c r="BB344" s="76"/>
      <c r="BC344" s="67"/>
      <c r="BD344" s="68"/>
      <c r="BE344" s="69"/>
      <c r="BF344" s="69"/>
      <c r="BG344" s="69"/>
      <c r="BH344" s="69"/>
      <c r="BI344" s="69"/>
      <c r="BJ344" s="68"/>
      <c r="BK344" s="69"/>
      <c r="BL344" s="67"/>
      <c r="BM344" s="67"/>
      <c r="BN344" s="56"/>
      <c r="BO344" s="56"/>
      <c r="BT344" s="63"/>
      <c r="BW344" s="56"/>
      <c r="BX344" s="56"/>
      <c r="BY344" s="56"/>
      <c r="BZ344" s="56"/>
      <c r="CA344" s="56"/>
      <c r="CF344" s="63"/>
      <c r="CI344" s="56"/>
      <c r="CJ344" s="56"/>
      <c r="CK344" s="56"/>
      <c r="CL344" s="56"/>
      <c r="CM344" s="56"/>
    </row>
    <row r="345" spans="18:93" ht="18" customHeight="1">
      <c r="R345" s="63"/>
      <c r="V345" s="170"/>
      <c r="W345" s="56"/>
      <c r="X345" s="56"/>
      <c r="Y345" s="56"/>
      <c r="AD345" s="63"/>
      <c r="AG345" s="56"/>
      <c r="AH345" s="56"/>
      <c r="AI345" s="56"/>
      <c r="AJ345" s="56"/>
      <c r="AK345" s="56"/>
      <c r="AO345" s="68"/>
      <c r="AP345" s="76"/>
      <c r="AQ345" s="67"/>
      <c r="AR345" s="68"/>
      <c r="AS345" s="69"/>
      <c r="AT345" s="69"/>
      <c r="AU345" s="69"/>
      <c r="AV345" s="69"/>
      <c r="AW345" s="69"/>
      <c r="AX345" s="68"/>
      <c r="AY345" s="69"/>
      <c r="AZ345" s="67"/>
      <c r="BA345" s="69"/>
      <c r="BB345" s="76"/>
      <c r="BC345" s="67"/>
      <c r="BD345" s="68"/>
      <c r="BE345" s="69"/>
      <c r="BF345" s="69"/>
      <c r="BG345" s="69"/>
      <c r="BH345" s="69"/>
      <c r="BI345" s="69"/>
      <c r="BJ345" s="68"/>
      <c r="BK345" s="69"/>
      <c r="BL345" s="67"/>
      <c r="BM345" s="67"/>
      <c r="BN345" s="56"/>
      <c r="BO345" s="56"/>
      <c r="BT345" s="63"/>
      <c r="BW345" s="56"/>
      <c r="BX345" s="56"/>
      <c r="BY345" s="56"/>
      <c r="BZ345" s="56"/>
      <c r="CA345" s="56"/>
      <c r="CF345" s="63"/>
      <c r="CI345" s="56"/>
      <c r="CJ345" s="56"/>
      <c r="CK345" s="56"/>
      <c r="CL345" s="56"/>
      <c r="CM345" s="56"/>
    </row>
    <row r="346" spans="18:93" ht="18" customHeight="1">
      <c r="AO346" s="68"/>
      <c r="AP346" s="67"/>
      <c r="AQ346" s="67"/>
      <c r="AR346" s="68"/>
      <c r="AS346" s="68"/>
      <c r="AT346" s="68"/>
      <c r="AU346" s="68"/>
      <c r="AV346" s="68"/>
      <c r="AW346" s="68"/>
      <c r="AX346" s="68"/>
      <c r="AY346" s="69"/>
      <c r="AZ346" s="67"/>
      <c r="BA346" s="68"/>
      <c r="BB346" s="67"/>
      <c r="BC346" s="67"/>
      <c r="BD346" s="68"/>
      <c r="BE346" s="68"/>
      <c r="BF346" s="68"/>
      <c r="BG346" s="68"/>
      <c r="BH346" s="68"/>
      <c r="BI346" s="68"/>
      <c r="BJ346" s="68"/>
      <c r="BK346" s="69"/>
      <c r="BL346" s="67"/>
      <c r="BM346" s="67"/>
    </row>
    <row r="347" spans="18:93" ht="18" customHeight="1">
      <c r="R347" s="63"/>
      <c r="S347" s="64"/>
      <c r="Y347" s="531"/>
      <c r="Z347" s="531"/>
      <c r="AA347" s="531"/>
      <c r="AD347" s="63"/>
      <c r="AE347" s="64"/>
      <c r="AK347" s="531"/>
      <c r="AL347" s="531"/>
      <c r="AM347" s="531"/>
      <c r="AO347" s="68"/>
      <c r="AP347" s="76"/>
      <c r="AQ347" s="77"/>
      <c r="AR347" s="68"/>
      <c r="AS347" s="68"/>
      <c r="AT347" s="68"/>
      <c r="AU347" s="68"/>
      <c r="AV347" s="68"/>
      <c r="AW347" s="533"/>
      <c r="AX347" s="533"/>
      <c r="AY347" s="533"/>
      <c r="AZ347" s="67"/>
      <c r="BA347" s="68"/>
      <c r="BB347" s="76"/>
      <c r="BC347" s="77"/>
      <c r="BD347" s="68"/>
      <c r="BE347" s="68"/>
      <c r="BF347" s="68"/>
      <c r="BG347" s="68"/>
      <c r="BH347" s="68"/>
      <c r="BI347" s="533"/>
      <c r="BJ347" s="533"/>
      <c r="BK347" s="533"/>
      <c r="BL347" s="67"/>
      <c r="BM347" s="67"/>
      <c r="BO347" s="531"/>
      <c r="BP347" s="531"/>
      <c r="BQ347" s="531"/>
      <c r="BT347" s="63"/>
      <c r="BU347" s="64"/>
      <c r="CA347" s="531"/>
      <c r="CB347" s="531"/>
      <c r="CC347" s="531"/>
      <c r="CF347" s="63"/>
      <c r="CG347" s="64"/>
      <c r="CM347" s="531"/>
      <c r="CN347" s="531"/>
      <c r="CO347" s="531"/>
    </row>
    <row r="348" spans="18:93" ht="18" customHeight="1">
      <c r="R348" s="63"/>
      <c r="V348" s="170"/>
      <c r="W348" s="56"/>
      <c r="X348" s="56"/>
      <c r="Y348" s="56"/>
      <c r="AD348" s="63"/>
      <c r="AG348" s="56"/>
      <c r="AH348" s="56"/>
      <c r="AI348" s="56"/>
      <c r="AJ348" s="56"/>
      <c r="AK348" s="56"/>
      <c r="AO348" s="68"/>
      <c r="AP348" s="76"/>
      <c r="AQ348" s="67"/>
      <c r="AR348" s="68"/>
      <c r="AS348" s="69"/>
      <c r="AT348" s="69"/>
      <c r="AU348" s="69"/>
      <c r="AV348" s="69"/>
      <c r="AW348" s="69"/>
      <c r="AX348" s="68"/>
      <c r="AY348" s="69"/>
      <c r="AZ348" s="67"/>
      <c r="BA348" s="69"/>
      <c r="BB348" s="76"/>
      <c r="BC348" s="67"/>
      <c r="BD348" s="68"/>
      <c r="BE348" s="69"/>
      <c r="BF348" s="69"/>
      <c r="BG348" s="69"/>
      <c r="BH348" s="69"/>
      <c r="BI348" s="69"/>
      <c r="BJ348" s="68"/>
      <c r="BK348" s="69"/>
      <c r="BL348" s="67"/>
      <c r="BM348" s="67"/>
      <c r="BN348" s="56"/>
      <c r="BO348" s="56"/>
      <c r="BT348" s="63"/>
      <c r="BW348" s="56"/>
      <c r="BX348" s="56"/>
      <c r="BY348" s="56"/>
      <c r="BZ348" s="56"/>
      <c r="CA348" s="56"/>
      <c r="CF348" s="63"/>
      <c r="CI348" s="56"/>
      <c r="CJ348" s="56"/>
      <c r="CK348" s="56"/>
      <c r="CL348" s="56"/>
      <c r="CM348" s="56"/>
    </row>
    <row r="349" spans="18:93" ht="18" customHeight="1">
      <c r="R349" s="63"/>
      <c r="V349" s="170"/>
      <c r="W349" s="56"/>
      <c r="X349" s="56"/>
      <c r="Y349" s="56"/>
      <c r="AD349" s="63"/>
      <c r="AG349" s="56"/>
      <c r="AH349" s="56"/>
      <c r="AI349" s="56"/>
      <c r="AJ349" s="56"/>
      <c r="AK349" s="56"/>
      <c r="AO349" s="68"/>
      <c r="AP349" s="76"/>
      <c r="AQ349" s="67"/>
      <c r="AR349" s="68"/>
      <c r="AS349" s="69"/>
      <c r="AT349" s="69"/>
      <c r="AU349" s="69"/>
      <c r="AV349" s="69"/>
      <c r="AW349" s="69"/>
      <c r="AX349" s="68"/>
      <c r="AY349" s="69"/>
      <c r="AZ349" s="67"/>
      <c r="BA349" s="69"/>
      <c r="BB349" s="76"/>
      <c r="BC349" s="67"/>
      <c r="BD349" s="68"/>
      <c r="BE349" s="69"/>
      <c r="BF349" s="69"/>
      <c r="BG349" s="69"/>
      <c r="BH349" s="69"/>
      <c r="BI349" s="69"/>
      <c r="BJ349" s="68"/>
      <c r="BK349" s="69"/>
      <c r="BL349" s="67"/>
      <c r="BM349" s="67"/>
      <c r="BN349" s="56"/>
      <c r="BO349" s="56"/>
      <c r="BT349" s="63"/>
      <c r="BW349" s="56"/>
      <c r="BX349" s="56"/>
      <c r="BY349" s="56"/>
      <c r="BZ349" s="56"/>
      <c r="CA349" s="56"/>
      <c r="CF349" s="63"/>
      <c r="CI349" s="56"/>
      <c r="CJ349" s="56"/>
      <c r="CK349" s="56"/>
      <c r="CL349" s="56"/>
      <c r="CM349" s="56"/>
    </row>
    <row r="350" spans="18:93" ht="18" customHeight="1">
      <c r="R350" s="63"/>
      <c r="V350" s="170"/>
      <c r="W350" s="56"/>
      <c r="X350" s="56"/>
      <c r="Y350" s="56"/>
      <c r="AD350" s="63"/>
      <c r="AG350" s="56"/>
      <c r="AH350" s="56"/>
      <c r="AI350" s="56"/>
      <c r="AJ350" s="56"/>
      <c r="AK350" s="56"/>
      <c r="AO350" s="68"/>
      <c r="AP350" s="76"/>
      <c r="AQ350" s="67"/>
      <c r="AR350" s="68"/>
      <c r="AS350" s="69"/>
      <c r="AT350" s="69"/>
      <c r="AU350" s="69"/>
      <c r="AV350" s="69"/>
      <c r="AW350" s="69"/>
      <c r="AX350" s="68"/>
      <c r="AY350" s="69"/>
      <c r="AZ350" s="67"/>
      <c r="BA350" s="69"/>
      <c r="BB350" s="76"/>
      <c r="BC350" s="67"/>
      <c r="BD350" s="68"/>
      <c r="BE350" s="69"/>
      <c r="BF350" s="69"/>
      <c r="BG350" s="69"/>
      <c r="BH350" s="69"/>
      <c r="BI350" s="69"/>
      <c r="BJ350" s="68"/>
      <c r="BK350" s="69"/>
      <c r="BL350" s="67"/>
      <c r="BM350" s="67"/>
      <c r="BN350" s="56"/>
      <c r="BO350" s="56"/>
      <c r="BT350" s="63"/>
      <c r="BW350" s="56"/>
      <c r="BX350" s="56"/>
      <c r="BY350" s="56"/>
      <c r="BZ350" s="56"/>
      <c r="CA350" s="56"/>
      <c r="CF350" s="63"/>
      <c r="CI350" s="56"/>
      <c r="CJ350" s="56"/>
      <c r="CK350" s="56"/>
      <c r="CL350" s="56"/>
      <c r="CM350" s="56"/>
    </row>
    <row r="351" spans="18:93" ht="18" customHeight="1">
      <c r="R351" s="63"/>
      <c r="V351" s="170"/>
      <c r="W351" s="56"/>
      <c r="X351" s="56"/>
      <c r="Y351" s="56"/>
      <c r="AD351" s="63"/>
      <c r="AG351" s="56"/>
      <c r="AH351" s="56"/>
      <c r="AI351" s="56"/>
      <c r="AJ351" s="56"/>
      <c r="AK351" s="56"/>
      <c r="AO351" s="68"/>
      <c r="AP351" s="76"/>
      <c r="AQ351" s="67"/>
      <c r="AR351" s="68"/>
      <c r="AS351" s="69"/>
      <c r="AT351" s="69"/>
      <c r="AU351" s="69"/>
      <c r="AV351" s="69"/>
      <c r="AW351" s="69"/>
      <c r="AX351" s="68"/>
      <c r="AY351" s="69"/>
      <c r="AZ351" s="67"/>
      <c r="BA351" s="69"/>
      <c r="BB351" s="76"/>
      <c r="BC351" s="67"/>
      <c r="BD351" s="68"/>
      <c r="BE351" s="69"/>
      <c r="BF351" s="69"/>
      <c r="BG351" s="69"/>
      <c r="BH351" s="69"/>
      <c r="BI351" s="69"/>
      <c r="BJ351" s="68"/>
      <c r="BK351" s="69"/>
      <c r="BL351" s="67"/>
      <c r="BM351" s="67"/>
      <c r="BN351" s="56"/>
      <c r="BO351" s="56"/>
      <c r="BT351" s="63"/>
      <c r="BW351" s="56"/>
      <c r="BX351" s="56"/>
      <c r="BY351" s="56"/>
      <c r="BZ351" s="56"/>
      <c r="CA351" s="56"/>
      <c r="CF351" s="63"/>
      <c r="CI351" s="56"/>
      <c r="CJ351" s="56"/>
      <c r="CK351" s="56"/>
      <c r="CL351" s="56"/>
      <c r="CM351" s="56"/>
    </row>
    <row r="352" spans="18:93" ht="18" customHeight="1">
      <c r="AO352" s="68"/>
      <c r="AP352" s="67"/>
      <c r="AQ352" s="67"/>
      <c r="AR352" s="68"/>
      <c r="AS352" s="68"/>
      <c r="AT352" s="68"/>
      <c r="AU352" s="68"/>
      <c r="AV352" s="68"/>
      <c r="AW352" s="68"/>
      <c r="AX352" s="68"/>
      <c r="AY352" s="69"/>
      <c r="AZ352" s="67"/>
      <c r="BA352" s="68"/>
      <c r="BB352" s="67"/>
      <c r="BC352" s="67"/>
      <c r="BD352" s="68"/>
      <c r="BE352" s="68"/>
      <c r="BF352" s="68"/>
      <c r="BG352" s="68"/>
      <c r="BH352" s="68"/>
      <c r="BI352" s="68"/>
      <c r="BJ352" s="68"/>
      <c r="BK352" s="69"/>
      <c r="BL352" s="67"/>
      <c r="BM352" s="67"/>
    </row>
    <row r="353" spans="18:93" ht="18" customHeight="1">
      <c r="R353" s="63"/>
      <c r="S353" s="64"/>
      <c r="Y353" s="531"/>
      <c r="Z353" s="531"/>
      <c r="AA353" s="531"/>
      <c r="AD353" s="63"/>
      <c r="AE353" s="64"/>
      <c r="AK353" s="531"/>
      <c r="AL353" s="531"/>
      <c r="AM353" s="531"/>
      <c r="AO353" s="68"/>
      <c r="AP353" s="76"/>
      <c r="AQ353" s="77"/>
      <c r="AR353" s="68"/>
      <c r="AS353" s="68"/>
      <c r="AT353" s="68"/>
      <c r="AU353" s="68"/>
      <c r="AV353" s="68"/>
      <c r="AW353" s="533"/>
      <c r="AX353" s="533"/>
      <c r="AY353" s="533"/>
      <c r="AZ353" s="67"/>
      <c r="BA353" s="68"/>
      <c r="BB353" s="76"/>
      <c r="BC353" s="77"/>
      <c r="BD353" s="68"/>
      <c r="BE353" s="68"/>
      <c r="BF353" s="68"/>
      <c r="BG353" s="68"/>
      <c r="BH353" s="68"/>
      <c r="BI353" s="533"/>
      <c r="BJ353" s="533"/>
      <c r="BK353" s="533"/>
      <c r="BL353" s="67"/>
      <c r="BM353" s="67"/>
      <c r="BO353" s="531"/>
      <c r="BP353" s="531"/>
      <c r="BQ353" s="531"/>
      <c r="BT353" s="63"/>
      <c r="BU353" s="64"/>
      <c r="CA353" s="531"/>
      <c r="CB353" s="531"/>
      <c r="CC353" s="531"/>
      <c r="CF353" s="63"/>
      <c r="CG353" s="64"/>
      <c r="CM353" s="531"/>
      <c r="CN353" s="531"/>
      <c r="CO353" s="531"/>
    </row>
    <row r="354" spans="18:93" ht="18" customHeight="1">
      <c r="R354" s="63"/>
      <c r="V354" s="170"/>
      <c r="W354" s="56"/>
      <c r="X354" s="56"/>
      <c r="Y354" s="56"/>
      <c r="AD354" s="63"/>
      <c r="AG354" s="56"/>
      <c r="AH354" s="56"/>
      <c r="AI354" s="56"/>
      <c r="AJ354" s="56"/>
      <c r="AK354" s="56"/>
      <c r="AO354" s="68"/>
      <c r="AP354" s="76"/>
      <c r="AQ354" s="67"/>
      <c r="AR354" s="68"/>
      <c r="AS354" s="69"/>
      <c r="AT354" s="69"/>
      <c r="AU354" s="69"/>
      <c r="AV354" s="69"/>
      <c r="AW354" s="69"/>
      <c r="AX354" s="68"/>
      <c r="AY354" s="69"/>
      <c r="AZ354" s="67"/>
      <c r="BA354" s="69"/>
      <c r="BB354" s="76"/>
      <c r="BC354" s="67"/>
      <c r="BD354" s="68"/>
      <c r="BE354" s="69"/>
      <c r="BF354" s="69"/>
      <c r="BG354" s="69"/>
      <c r="BH354" s="69"/>
      <c r="BI354" s="69"/>
      <c r="BJ354" s="68"/>
      <c r="BK354" s="69"/>
      <c r="BL354" s="67"/>
      <c r="BM354" s="67"/>
      <c r="BN354" s="56"/>
      <c r="BO354" s="56"/>
      <c r="BT354" s="63"/>
      <c r="BW354" s="56"/>
      <c r="BX354" s="56"/>
      <c r="BY354" s="56"/>
      <c r="BZ354" s="56"/>
      <c r="CA354" s="56"/>
      <c r="CF354" s="63"/>
      <c r="CI354" s="56"/>
      <c r="CJ354" s="56"/>
      <c r="CK354" s="56"/>
      <c r="CL354" s="56"/>
      <c r="CM354" s="56"/>
    </row>
    <row r="355" spans="18:93" ht="18" customHeight="1">
      <c r="R355" s="63"/>
      <c r="V355" s="170"/>
      <c r="W355" s="56"/>
      <c r="X355" s="56"/>
      <c r="Y355" s="56"/>
      <c r="AD355" s="63"/>
      <c r="AG355" s="56"/>
      <c r="AH355" s="56"/>
      <c r="AI355" s="56"/>
      <c r="AJ355" s="56"/>
      <c r="AK355" s="56"/>
      <c r="AO355" s="68"/>
      <c r="AP355" s="76"/>
      <c r="AQ355" s="67"/>
      <c r="AR355" s="68"/>
      <c r="AS355" s="69"/>
      <c r="AT355" s="69"/>
      <c r="AU355" s="69"/>
      <c r="AV355" s="69"/>
      <c r="AW355" s="69"/>
      <c r="AX355" s="68"/>
      <c r="AY355" s="69"/>
      <c r="AZ355" s="67"/>
      <c r="BA355" s="69"/>
      <c r="BB355" s="76"/>
      <c r="BC355" s="67"/>
      <c r="BD355" s="68"/>
      <c r="BE355" s="69"/>
      <c r="BF355" s="69"/>
      <c r="BG355" s="69"/>
      <c r="BH355" s="69"/>
      <c r="BI355" s="69"/>
      <c r="BJ355" s="68"/>
      <c r="BK355" s="69"/>
      <c r="BL355" s="67"/>
      <c r="BM355" s="67"/>
      <c r="BN355" s="56"/>
      <c r="BO355" s="56"/>
      <c r="BT355" s="63"/>
      <c r="BW355" s="56"/>
      <c r="BX355" s="56"/>
      <c r="BY355" s="56"/>
      <c r="BZ355" s="56"/>
      <c r="CA355" s="56"/>
      <c r="CF355" s="63"/>
      <c r="CI355" s="56"/>
      <c r="CJ355" s="56"/>
      <c r="CK355" s="56"/>
      <c r="CL355" s="56"/>
      <c r="CM355" s="56"/>
    </row>
    <row r="356" spans="18:93" ht="18" customHeight="1">
      <c r="R356" s="63"/>
      <c r="V356" s="170"/>
      <c r="W356" s="56"/>
      <c r="X356" s="56"/>
      <c r="Y356" s="56"/>
      <c r="AD356" s="63"/>
      <c r="AG356" s="56"/>
      <c r="AH356" s="56"/>
      <c r="AI356" s="56"/>
      <c r="AJ356" s="56"/>
      <c r="AK356" s="56"/>
      <c r="AO356" s="68"/>
      <c r="AP356" s="76"/>
      <c r="AQ356" s="67"/>
      <c r="AR356" s="68"/>
      <c r="AS356" s="69"/>
      <c r="AT356" s="69"/>
      <c r="AU356" s="69"/>
      <c r="AV356" s="69"/>
      <c r="AW356" s="69"/>
      <c r="AX356" s="68"/>
      <c r="AY356" s="69"/>
      <c r="AZ356" s="67"/>
      <c r="BA356" s="69"/>
      <c r="BB356" s="76"/>
      <c r="BC356" s="67"/>
      <c r="BD356" s="68"/>
      <c r="BE356" s="69"/>
      <c r="BF356" s="69"/>
      <c r="BG356" s="69"/>
      <c r="BH356" s="69"/>
      <c r="BI356" s="69"/>
      <c r="BJ356" s="68"/>
      <c r="BK356" s="69"/>
      <c r="BL356" s="67"/>
      <c r="BM356" s="67"/>
      <c r="BN356" s="56"/>
      <c r="BO356" s="56"/>
      <c r="BT356" s="63"/>
      <c r="BW356" s="56"/>
      <c r="BX356" s="56"/>
      <c r="BY356" s="56"/>
      <c r="BZ356" s="56"/>
      <c r="CA356" s="56"/>
      <c r="CF356" s="63"/>
      <c r="CI356" s="56"/>
      <c r="CJ356" s="56"/>
      <c r="CK356" s="56"/>
      <c r="CL356" s="56"/>
      <c r="CM356" s="56"/>
    </row>
    <row r="357" spans="18:93" ht="18" customHeight="1">
      <c r="R357" s="63"/>
      <c r="V357" s="170"/>
      <c r="W357" s="56"/>
      <c r="X357" s="56"/>
      <c r="Y357" s="56"/>
      <c r="AD357" s="63"/>
      <c r="AG357" s="56"/>
      <c r="AH357" s="56"/>
      <c r="AI357" s="56"/>
      <c r="AJ357" s="56"/>
      <c r="AK357" s="56"/>
      <c r="AO357" s="68"/>
      <c r="AP357" s="76"/>
      <c r="AQ357" s="67"/>
      <c r="AR357" s="68"/>
      <c r="AS357" s="69"/>
      <c r="AT357" s="69"/>
      <c r="AU357" s="69"/>
      <c r="AV357" s="69"/>
      <c r="AW357" s="69"/>
      <c r="AX357" s="68"/>
      <c r="AY357" s="69"/>
      <c r="AZ357" s="67"/>
      <c r="BA357" s="69"/>
      <c r="BB357" s="76"/>
      <c r="BC357" s="67"/>
      <c r="BD357" s="68"/>
      <c r="BE357" s="69"/>
      <c r="BF357" s="69"/>
      <c r="BG357" s="69"/>
      <c r="BH357" s="69"/>
      <c r="BI357" s="69"/>
      <c r="BJ357" s="68"/>
      <c r="BK357" s="69"/>
      <c r="BL357" s="67"/>
      <c r="BM357" s="67"/>
      <c r="BN357" s="56"/>
      <c r="BO357" s="56"/>
      <c r="BT357" s="63"/>
      <c r="BW357" s="56"/>
      <c r="BX357" s="56"/>
      <c r="BY357" s="56"/>
      <c r="BZ357" s="56"/>
      <c r="CA357" s="56"/>
      <c r="CF357" s="63"/>
      <c r="CI357" s="56"/>
      <c r="CJ357" s="56"/>
      <c r="CK357" s="56"/>
      <c r="CL357" s="56"/>
      <c r="CM357" s="56"/>
    </row>
    <row r="358" spans="18:93" ht="18" customHeight="1">
      <c r="AO358" s="68"/>
      <c r="AP358" s="67"/>
      <c r="AQ358" s="67"/>
      <c r="AR358" s="68"/>
      <c r="AS358" s="68"/>
      <c r="AT358" s="68"/>
      <c r="AU358" s="68"/>
      <c r="AV358" s="68"/>
      <c r="AW358" s="68"/>
      <c r="AX358" s="68"/>
      <c r="AY358" s="69"/>
      <c r="AZ358" s="67"/>
      <c r="BA358" s="68"/>
      <c r="BB358" s="67"/>
      <c r="BC358" s="67"/>
      <c r="BD358" s="68"/>
      <c r="BE358" s="68"/>
      <c r="BF358" s="68"/>
      <c r="BG358" s="68"/>
      <c r="BH358" s="68"/>
      <c r="BI358" s="68"/>
      <c r="BJ358" s="68"/>
      <c r="BK358" s="69"/>
      <c r="BL358" s="67"/>
      <c r="BM358" s="67"/>
    </row>
    <row r="359" spans="18:93" ht="18" customHeight="1">
      <c r="R359" s="63"/>
      <c r="S359" s="64"/>
      <c r="Y359" s="531"/>
      <c r="Z359" s="531"/>
      <c r="AA359" s="531"/>
      <c r="AD359" s="63"/>
      <c r="AE359" s="64"/>
      <c r="AK359" s="531"/>
      <c r="AL359" s="531"/>
      <c r="AM359" s="531"/>
      <c r="AO359" s="68"/>
      <c r="AP359" s="76"/>
      <c r="AQ359" s="77"/>
      <c r="AR359" s="68"/>
      <c r="AS359" s="68"/>
      <c r="AT359" s="68"/>
      <c r="AU359" s="68"/>
      <c r="AV359" s="68"/>
      <c r="AW359" s="533"/>
      <c r="AX359" s="533"/>
      <c r="AY359" s="533"/>
      <c r="AZ359" s="67"/>
      <c r="BA359" s="68"/>
      <c r="BB359" s="76"/>
      <c r="BC359" s="77"/>
      <c r="BD359" s="68"/>
      <c r="BE359" s="68"/>
      <c r="BF359" s="68"/>
      <c r="BG359" s="68"/>
      <c r="BH359" s="68"/>
      <c r="BI359" s="533"/>
      <c r="BJ359" s="533"/>
      <c r="BK359" s="533"/>
      <c r="BL359" s="67"/>
      <c r="BM359" s="67"/>
      <c r="BO359" s="531"/>
      <c r="BP359" s="531"/>
      <c r="BQ359" s="531"/>
      <c r="BT359" s="63"/>
      <c r="BU359" s="64"/>
      <c r="CA359" s="531"/>
      <c r="CB359" s="531"/>
      <c r="CC359" s="531"/>
      <c r="CF359" s="63"/>
      <c r="CG359" s="64"/>
      <c r="CM359" s="531"/>
      <c r="CN359" s="531"/>
      <c r="CO359" s="531"/>
    </row>
    <row r="360" spans="18:93" ht="18" customHeight="1">
      <c r="R360" s="63"/>
      <c r="V360" s="170"/>
      <c r="W360" s="56"/>
      <c r="X360" s="56"/>
      <c r="Y360" s="56"/>
      <c r="AD360" s="63"/>
      <c r="AG360" s="56"/>
      <c r="AH360" s="56"/>
      <c r="AI360" s="56"/>
      <c r="AJ360" s="56"/>
      <c r="AK360" s="56"/>
      <c r="AO360" s="68"/>
      <c r="AP360" s="76"/>
      <c r="AQ360" s="67"/>
      <c r="AR360" s="68"/>
      <c r="AS360" s="69"/>
      <c r="AT360" s="69"/>
      <c r="AU360" s="69"/>
      <c r="AV360" s="69"/>
      <c r="AW360" s="69"/>
      <c r="AX360" s="68"/>
      <c r="AY360" s="69"/>
      <c r="AZ360" s="67"/>
      <c r="BA360" s="69"/>
      <c r="BB360" s="76"/>
      <c r="BC360" s="67"/>
      <c r="BD360" s="68"/>
      <c r="BE360" s="69"/>
      <c r="BF360" s="69"/>
      <c r="BG360" s="69"/>
      <c r="BH360" s="69"/>
      <c r="BI360" s="69"/>
      <c r="BJ360" s="68"/>
      <c r="BK360" s="69"/>
      <c r="BL360" s="67"/>
      <c r="BM360" s="67"/>
      <c r="BN360" s="56"/>
      <c r="BO360" s="56"/>
      <c r="BT360" s="63"/>
      <c r="BW360" s="56"/>
      <c r="BX360" s="56"/>
      <c r="BY360" s="56"/>
      <c r="BZ360" s="56"/>
      <c r="CA360" s="56"/>
      <c r="CF360" s="63"/>
      <c r="CI360" s="56"/>
      <c r="CJ360" s="56"/>
      <c r="CK360" s="56"/>
      <c r="CL360" s="56"/>
      <c r="CM360" s="56"/>
    </row>
    <row r="361" spans="18:93" ht="18" customHeight="1">
      <c r="R361" s="63"/>
      <c r="V361" s="170"/>
      <c r="W361" s="56"/>
      <c r="X361" s="56"/>
      <c r="Y361" s="56"/>
      <c r="AD361" s="63"/>
      <c r="AG361" s="56"/>
      <c r="AH361" s="56"/>
      <c r="AI361" s="56"/>
      <c r="AJ361" s="56"/>
      <c r="AK361" s="56"/>
      <c r="AO361" s="68"/>
      <c r="AP361" s="76"/>
      <c r="AQ361" s="67"/>
      <c r="AR361" s="68"/>
      <c r="AS361" s="69"/>
      <c r="AT361" s="69"/>
      <c r="AU361" s="69"/>
      <c r="AV361" s="69"/>
      <c r="AW361" s="69"/>
      <c r="AX361" s="68"/>
      <c r="AY361" s="69"/>
      <c r="AZ361" s="67"/>
      <c r="BA361" s="69"/>
      <c r="BB361" s="76"/>
      <c r="BC361" s="67"/>
      <c r="BD361" s="68"/>
      <c r="BE361" s="69"/>
      <c r="BF361" s="69"/>
      <c r="BG361" s="69"/>
      <c r="BH361" s="69"/>
      <c r="BI361" s="69"/>
      <c r="BJ361" s="68"/>
      <c r="BK361" s="69"/>
      <c r="BL361" s="67"/>
      <c r="BM361" s="67"/>
      <c r="BN361" s="56"/>
      <c r="BO361" s="56"/>
      <c r="BT361" s="63"/>
      <c r="BW361" s="56"/>
      <c r="BX361" s="56"/>
      <c r="BY361" s="56"/>
      <c r="BZ361" s="56"/>
      <c r="CA361" s="56"/>
      <c r="CF361" s="63"/>
      <c r="CI361" s="56"/>
      <c r="CJ361" s="56"/>
      <c r="CK361" s="56"/>
      <c r="CL361" s="56"/>
      <c r="CM361" s="56"/>
    </row>
    <row r="362" spans="18:93" ht="18" customHeight="1">
      <c r="R362" s="63"/>
      <c r="V362" s="170"/>
      <c r="W362" s="56"/>
      <c r="X362" s="56"/>
      <c r="Y362" s="56"/>
      <c r="AD362" s="63"/>
      <c r="AG362" s="56"/>
      <c r="AH362" s="56"/>
      <c r="AI362" s="56"/>
      <c r="AJ362" s="56"/>
      <c r="AK362" s="56"/>
      <c r="AO362" s="68"/>
      <c r="AP362" s="76"/>
      <c r="AQ362" s="67"/>
      <c r="AR362" s="68"/>
      <c r="AS362" s="69"/>
      <c r="AT362" s="69"/>
      <c r="AU362" s="69"/>
      <c r="AV362" s="69"/>
      <c r="AW362" s="69"/>
      <c r="AX362" s="68"/>
      <c r="AY362" s="69"/>
      <c r="AZ362" s="67"/>
      <c r="BA362" s="69"/>
      <c r="BB362" s="76"/>
      <c r="BC362" s="67"/>
      <c r="BD362" s="68"/>
      <c r="BE362" s="69"/>
      <c r="BF362" s="69"/>
      <c r="BG362" s="69"/>
      <c r="BH362" s="69"/>
      <c r="BI362" s="69"/>
      <c r="BJ362" s="68"/>
      <c r="BK362" s="69"/>
      <c r="BL362" s="67"/>
      <c r="BM362" s="67"/>
      <c r="BN362" s="56"/>
      <c r="BO362" s="56"/>
      <c r="BT362" s="63"/>
      <c r="BW362" s="56"/>
      <c r="BX362" s="56"/>
      <c r="BY362" s="56"/>
      <c r="BZ362" s="56"/>
      <c r="CA362" s="56"/>
      <c r="CF362" s="63"/>
      <c r="CI362" s="56"/>
      <c r="CJ362" s="56"/>
      <c r="CK362" s="56"/>
      <c r="CL362" s="56"/>
      <c r="CM362" s="56"/>
    </row>
    <row r="363" spans="18:93" ht="18" customHeight="1">
      <c r="R363" s="63"/>
      <c r="V363" s="170"/>
      <c r="W363" s="56"/>
      <c r="X363" s="56"/>
      <c r="Y363" s="56"/>
      <c r="AD363" s="63"/>
      <c r="AG363" s="56"/>
      <c r="AH363" s="56"/>
      <c r="AI363" s="56"/>
      <c r="AJ363" s="56"/>
      <c r="AK363" s="56"/>
      <c r="AO363" s="68"/>
      <c r="AP363" s="76"/>
      <c r="AQ363" s="67"/>
      <c r="AR363" s="68"/>
      <c r="AS363" s="69"/>
      <c r="AT363" s="69"/>
      <c r="AU363" s="69"/>
      <c r="AV363" s="69"/>
      <c r="AW363" s="69"/>
      <c r="AX363" s="68"/>
      <c r="AY363" s="69"/>
      <c r="AZ363" s="67"/>
      <c r="BA363" s="69"/>
      <c r="BB363" s="76"/>
      <c r="BC363" s="67"/>
      <c r="BD363" s="68"/>
      <c r="BE363" s="69"/>
      <c r="BF363" s="69"/>
      <c r="BG363" s="69"/>
      <c r="BH363" s="69"/>
      <c r="BI363" s="69"/>
      <c r="BJ363" s="68"/>
      <c r="BK363" s="69"/>
      <c r="BL363" s="67"/>
      <c r="BM363" s="67"/>
      <c r="BN363" s="56"/>
      <c r="BO363" s="56"/>
      <c r="BT363" s="63"/>
      <c r="BW363" s="56"/>
      <c r="BX363" s="56"/>
      <c r="BY363" s="56"/>
      <c r="BZ363" s="56"/>
      <c r="CA363" s="56"/>
      <c r="CF363" s="63"/>
      <c r="CI363" s="56"/>
      <c r="CJ363" s="56"/>
      <c r="CK363" s="56"/>
      <c r="CL363" s="56"/>
      <c r="CM363" s="56"/>
    </row>
    <row r="364" spans="18:93" ht="18" customHeight="1">
      <c r="AO364" s="68"/>
      <c r="AP364" s="67"/>
      <c r="AQ364" s="67"/>
      <c r="AR364" s="68"/>
      <c r="AS364" s="68"/>
      <c r="AT364" s="68"/>
      <c r="AU364" s="68"/>
      <c r="AV364" s="68"/>
      <c r="AW364" s="68"/>
      <c r="AX364" s="68"/>
      <c r="AY364" s="69"/>
      <c r="AZ364" s="67"/>
      <c r="BA364" s="68"/>
      <c r="BB364" s="67"/>
      <c r="BC364" s="67"/>
      <c r="BD364" s="68"/>
      <c r="BE364" s="68"/>
      <c r="BF364" s="68"/>
      <c r="BG364" s="68"/>
      <c r="BH364" s="68"/>
      <c r="BI364" s="68"/>
      <c r="BJ364" s="68"/>
      <c r="BK364" s="69"/>
      <c r="BL364" s="67"/>
      <c r="BM364" s="67"/>
    </row>
    <row r="365" spans="18:93" ht="18" customHeight="1">
      <c r="R365" s="63"/>
      <c r="S365" s="64"/>
      <c r="Y365" s="531"/>
      <c r="Z365" s="531"/>
      <c r="AA365" s="531"/>
      <c r="AD365" s="63"/>
      <c r="AE365" s="64"/>
      <c r="AK365" s="531"/>
      <c r="AL365" s="531"/>
      <c r="AM365" s="531"/>
      <c r="AO365" s="68"/>
      <c r="AP365" s="76"/>
      <c r="AQ365" s="77"/>
      <c r="AR365" s="68"/>
      <c r="AS365" s="68"/>
      <c r="AT365" s="68"/>
      <c r="AU365" s="68"/>
      <c r="AV365" s="68"/>
      <c r="AW365" s="533"/>
      <c r="AX365" s="533"/>
      <c r="AY365" s="533"/>
      <c r="AZ365" s="67"/>
      <c r="BA365" s="68"/>
      <c r="BB365" s="76"/>
      <c r="BC365" s="77"/>
      <c r="BD365" s="68"/>
      <c r="BE365" s="68"/>
      <c r="BF365" s="68"/>
      <c r="BG365" s="68"/>
      <c r="BH365" s="68"/>
      <c r="BI365" s="533"/>
      <c r="BJ365" s="533"/>
      <c r="BK365" s="533"/>
      <c r="BL365" s="67"/>
      <c r="BM365" s="67"/>
      <c r="BO365" s="531"/>
      <c r="BP365" s="531"/>
      <c r="BQ365" s="531"/>
      <c r="BT365" s="63"/>
      <c r="BU365" s="64"/>
      <c r="CA365" s="531"/>
      <c r="CB365" s="531"/>
      <c r="CC365" s="531"/>
      <c r="CF365" s="63"/>
      <c r="CG365" s="64"/>
      <c r="CM365" s="531"/>
      <c r="CN365" s="531"/>
      <c r="CO365" s="531"/>
    </row>
    <row r="366" spans="18:93" ht="18" customHeight="1">
      <c r="R366" s="63"/>
      <c r="V366" s="170"/>
      <c r="W366" s="56"/>
      <c r="X366" s="56"/>
      <c r="Y366" s="56"/>
      <c r="AD366" s="63"/>
      <c r="AG366" s="56"/>
      <c r="AH366" s="56"/>
      <c r="AI366" s="56"/>
      <c r="AJ366" s="56"/>
      <c r="AK366" s="56"/>
      <c r="AO366" s="68"/>
      <c r="AP366" s="76"/>
      <c r="AQ366" s="67"/>
      <c r="AR366" s="68"/>
      <c r="AS366" s="69"/>
      <c r="AT366" s="69"/>
      <c r="AU366" s="69"/>
      <c r="AV366" s="69"/>
      <c r="AW366" s="69"/>
      <c r="AX366" s="68"/>
      <c r="AY366" s="69"/>
      <c r="AZ366" s="67"/>
      <c r="BA366" s="69"/>
      <c r="BB366" s="76"/>
      <c r="BC366" s="67"/>
      <c r="BD366" s="68"/>
      <c r="BE366" s="69"/>
      <c r="BF366" s="69"/>
      <c r="BG366" s="69"/>
      <c r="BH366" s="69"/>
      <c r="BI366" s="69"/>
      <c r="BJ366" s="68"/>
      <c r="BK366" s="69"/>
      <c r="BL366" s="67"/>
      <c r="BM366" s="67"/>
      <c r="BN366" s="56"/>
      <c r="BO366" s="56"/>
      <c r="BT366" s="63"/>
      <c r="BW366" s="56"/>
      <c r="BX366" s="56"/>
      <c r="BY366" s="56"/>
      <c r="BZ366" s="56"/>
      <c r="CA366" s="56"/>
      <c r="CF366" s="63"/>
      <c r="CI366" s="56"/>
      <c r="CJ366" s="56"/>
      <c r="CK366" s="56"/>
      <c r="CL366" s="56"/>
      <c r="CM366" s="56"/>
    </row>
    <row r="367" spans="18:93" ht="18" customHeight="1">
      <c r="R367" s="63"/>
      <c r="V367" s="170"/>
      <c r="W367" s="56"/>
      <c r="X367" s="56"/>
      <c r="Y367" s="56"/>
      <c r="AD367" s="63"/>
      <c r="AG367" s="56"/>
      <c r="AH367" s="56"/>
      <c r="AI367" s="56"/>
      <c r="AJ367" s="56"/>
      <c r="AK367" s="56"/>
      <c r="AO367" s="68"/>
      <c r="AP367" s="76"/>
      <c r="AQ367" s="67"/>
      <c r="AR367" s="68"/>
      <c r="AS367" s="69"/>
      <c r="AT367" s="69"/>
      <c r="AU367" s="69"/>
      <c r="AV367" s="69"/>
      <c r="AW367" s="69"/>
      <c r="AX367" s="68"/>
      <c r="AY367" s="69"/>
      <c r="AZ367" s="67"/>
      <c r="BA367" s="69"/>
      <c r="BB367" s="76"/>
      <c r="BC367" s="67"/>
      <c r="BD367" s="68"/>
      <c r="BE367" s="69"/>
      <c r="BF367" s="69"/>
      <c r="BG367" s="69"/>
      <c r="BH367" s="69"/>
      <c r="BI367" s="69"/>
      <c r="BJ367" s="68"/>
      <c r="BK367" s="69"/>
      <c r="BL367" s="67"/>
      <c r="BM367" s="67"/>
      <c r="BN367" s="56"/>
      <c r="BO367" s="56"/>
      <c r="BT367" s="63"/>
      <c r="BW367" s="56"/>
      <c r="BX367" s="56"/>
      <c r="BY367" s="56"/>
      <c r="BZ367" s="56"/>
      <c r="CA367" s="56"/>
      <c r="CF367" s="63"/>
      <c r="CI367" s="56"/>
      <c r="CJ367" s="56"/>
      <c r="CK367" s="56"/>
      <c r="CL367" s="56"/>
      <c r="CM367" s="56"/>
    </row>
    <row r="368" spans="18:93" ht="18" customHeight="1">
      <c r="R368" s="63"/>
      <c r="V368" s="170"/>
      <c r="W368" s="56"/>
      <c r="X368" s="56"/>
      <c r="Y368" s="56"/>
      <c r="AD368" s="63"/>
      <c r="AG368" s="56"/>
      <c r="AH368" s="56"/>
      <c r="AI368" s="56"/>
      <c r="AJ368" s="56"/>
      <c r="AK368" s="56"/>
      <c r="AO368" s="68"/>
      <c r="AP368" s="76"/>
      <c r="AQ368" s="67"/>
      <c r="AR368" s="68"/>
      <c r="AS368" s="69"/>
      <c r="AT368" s="69"/>
      <c r="AU368" s="69"/>
      <c r="AV368" s="69"/>
      <c r="AW368" s="69"/>
      <c r="AX368" s="68"/>
      <c r="AY368" s="69"/>
      <c r="AZ368" s="67"/>
      <c r="BA368" s="69"/>
      <c r="BB368" s="76"/>
      <c r="BC368" s="67"/>
      <c r="BD368" s="68"/>
      <c r="BE368" s="69"/>
      <c r="BF368" s="69"/>
      <c r="BG368" s="69"/>
      <c r="BH368" s="69"/>
      <c r="BI368" s="69"/>
      <c r="BJ368" s="68"/>
      <c r="BK368" s="69"/>
      <c r="BL368" s="67"/>
      <c r="BM368" s="67"/>
      <c r="BN368" s="56"/>
      <c r="BO368" s="56"/>
      <c r="BT368" s="63"/>
      <c r="BW368" s="56"/>
      <c r="BX368" s="56"/>
      <c r="BY368" s="56"/>
      <c r="BZ368" s="56"/>
      <c r="CA368" s="56"/>
      <c r="CF368" s="63"/>
      <c r="CI368" s="56"/>
      <c r="CJ368" s="56"/>
      <c r="CK368" s="56"/>
      <c r="CL368" s="56"/>
      <c r="CM368" s="56"/>
    </row>
    <row r="369" spans="18:93" ht="18" customHeight="1">
      <c r="R369" s="63"/>
      <c r="V369" s="170"/>
      <c r="W369" s="56"/>
      <c r="X369" s="56"/>
      <c r="Y369" s="56"/>
      <c r="AD369" s="63"/>
      <c r="AG369" s="56"/>
      <c r="AH369" s="56"/>
      <c r="AI369" s="56"/>
      <c r="AJ369" s="56"/>
      <c r="AK369" s="56"/>
      <c r="AO369" s="68"/>
      <c r="AP369" s="76"/>
      <c r="AQ369" s="67"/>
      <c r="AR369" s="68"/>
      <c r="AS369" s="69"/>
      <c r="AT369" s="69"/>
      <c r="AU369" s="69"/>
      <c r="AV369" s="69"/>
      <c r="AW369" s="69"/>
      <c r="AX369" s="68"/>
      <c r="AY369" s="69"/>
      <c r="AZ369" s="67"/>
      <c r="BA369" s="69"/>
      <c r="BB369" s="76"/>
      <c r="BC369" s="67"/>
      <c r="BD369" s="68"/>
      <c r="BE369" s="69"/>
      <c r="BF369" s="69"/>
      <c r="BG369" s="69"/>
      <c r="BH369" s="69"/>
      <c r="BI369" s="69"/>
      <c r="BJ369" s="68"/>
      <c r="BK369" s="69"/>
      <c r="BL369" s="67"/>
      <c r="BM369" s="67"/>
      <c r="BN369" s="56"/>
      <c r="BO369" s="56"/>
      <c r="BT369" s="63"/>
      <c r="BW369" s="56"/>
      <c r="BX369" s="56"/>
      <c r="BY369" s="56"/>
      <c r="BZ369" s="56"/>
      <c r="CA369" s="56"/>
      <c r="CF369" s="63"/>
      <c r="CI369" s="56"/>
      <c r="CJ369" s="56"/>
      <c r="CK369" s="56"/>
      <c r="CL369" s="56"/>
      <c r="CM369" s="56"/>
    </row>
    <row r="370" spans="18:93" ht="18" customHeight="1">
      <c r="AO370" s="68"/>
      <c r="AP370" s="67"/>
      <c r="AQ370" s="67"/>
      <c r="AR370" s="68"/>
      <c r="AS370" s="68"/>
      <c r="AT370" s="68"/>
      <c r="AU370" s="68"/>
      <c r="AV370" s="68"/>
      <c r="AW370" s="68"/>
      <c r="AX370" s="68"/>
      <c r="AY370" s="69"/>
      <c r="AZ370" s="67"/>
      <c r="BA370" s="68"/>
      <c r="BB370" s="67"/>
      <c r="BC370" s="67"/>
      <c r="BD370" s="68"/>
      <c r="BE370" s="68"/>
      <c r="BF370" s="68"/>
      <c r="BG370" s="68"/>
      <c r="BH370" s="68"/>
      <c r="BI370" s="68"/>
      <c r="BJ370" s="68"/>
      <c r="BK370" s="69"/>
      <c r="BL370" s="67"/>
      <c r="BM370" s="67"/>
    </row>
    <row r="371" spans="18:93" ht="18" customHeight="1">
      <c r="R371" s="63"/>
      <c r="S371" s="64"/>
      <c r="Y371" s="531"/>
      <c r="Z371" s="531"/>
      <c r="AA371" s="531"/>
      <c r="AD371" s="63"/>
      <c r="AE371" s="64"/>
      <c r="AK371" s="531"/>
      <c r="AL371" s="531"/>
      <c r="AM371" s="531"/>
      <c r="AO371" s="68"/>
      <c r="AP371" s="76"/>
      <c r="AQ371" s="77"/>
      <c r="AR371" s="68"/>
      <c r="AS371" s="68"/>
      <c r="AT371" s="68"/>
      <c r="AU371" s="68"/>
      <c r="AV371" s="68"/>
      <c r="AW371" s="533"/>
      <c r="AX371" s="533"/>
      <c r="AY371" s="533"/>
      <c r="AZ371" s="67"/>
      <c r="BA371" s="68"/>
      <c r="BB371" s="76"/>
      <c r="BC371" s="77"/>
      <c r="BD371" s="68"/>
      <c r="BE371" s="68"/>
      <c r="BF371" s="68"/>
      <c r="BG371" s="68"/>
      <c r="BH371" s="68"/>
      <c r="BI371" s="533"/>
      <c r="BJ371" s="533"/>
      <c r="BK371" s="533"/>
      <c r="BL371" s="67"/>
      <c r="BM371" s="67"/>
      <c r="BO371" s="531"/>
      <c r="BP371" s="531"/>
      <c r="BQ371" s="531"/>
      <c r="BT371" s="63"/>
      <c r="BU371" s="64"/>
      <c r="CA371" s="531"/>
      <c r="CB371" s="531"/>
      <c r="CC371" s="531"/>
      <c r="CF371" s="63"/>
      <c r="CG371" s="64"/>
      <c r="CM371" s="531"/>
      <c r="CN371" s="531"/>
      <c r="CO371" s="531"/>
    </row>
    <row r="372" spans="18:93" ht="18" customHeight="1">
      <c r="R372" s="63"/>
      <c r="V372" s="170"/>
      <c r="W372" s="56"/>
      <c r="X372" s="56"/>
      <c r="Y372" s="56"/>
      <c r="AD372" s="63"/>
      <c r="AG372" s="56"/>
      <c r="AH372" s="56"/>
      <c r="AI372" s="56"/>
      <c r="AJ372" s="56"/>
      <c r="AK372" s="56"/>
      <c r="AO372" s="68"/>
      <c r="AP372" s="76"/>
      <c r="AQ372" s="67"/>
      <c r="AR372" s="68"/>
      <c r="AS372" s="69"/>
      <c r="AT372" s="69"/>
      <c r="AU372" s="69"/>
      <c r="AV372" s="69"/>
      <c r="AW372" s="69"/>
      <c r="AX372" s="68"/>
      <c r="AY372" s="69"/>
      <c r="AZ372" s="67"/>
      <c r="BA372" s="69"/>
      <c r="BB372" s="76"/>
      <c r="BC372" s="67"/>
      <c r="BD372" s="68"/>
      <c r="BE372" s="69"/>
      <c r="BF372" s="69"/>
      <c r="BG372" s="69"/>
      <c r="BH372" s="69"/>
      <c r="BI372" s="69"/>
      <c r="BJ372" s="68"/>
      <c r="BK372" s="69"/>
      <c r="BL372" s="67"/>
      <c r="BM372" s="67"/>
      <c r="BN372" s="56"/>
      <c r="BO372" s="56"/>
      <c r="BT372" s="63"/>
      <c r="BW372" s="56"/>
      <c r="BX372" s="56"/>
      <c r="BY372" s="56"/>
      <c r="BZ372" s="56"/>
      <c r="CA372" s="56"/>
      <c r="CF372" s="63"/>
      <c r="CI372" s="56"/>
      <c r="CJ372" s="56"/>
      <c r="CK372" s="56"/>
      <c r="CL372" s="56"/>
      <c r="CM372" s="56"/>
    </row>
    <row r="373" spans="18:93" ht="18" customHeight="1">
      <c r="R373" s="63"/>
      <c r="V373" s="170"/>
      <c r="W373" s="56"/>
      <c r="X373" s="56"/>
      <c r="Y373" s="56"/>
      <c r="AD373" s="63"/>
      <c r="AG373" s="56"/>
      <c r="AH373" s="56"/>
      <c r="AI373" s="56"/>
      <c r="AJ373" s="56"/>
      <c r="AK373" s="56"/>
      <c r="AO373" s="68"/>
      <c r="AP373" s="76"/>
      <c r="AQ373" s="67"/>
      <c r="AR373" s="68"/>
      <c r="AS373" s="69"/>
      <c r="AT373" s="69"/>
      <c r="AU373" s="69"/>
      <c r="AV373" s="69"/>
      <c r="AW373" s="69"/>
      <c r="AX373" s="68"/>
      <c r="AY373" s="69"/>
      <c r="AZ373" s="67"/>
      <c r="BA373" s="69"/>
      <c r="BB373" s="76"/>
      <c r="BC373" s="67"/>
      <c r="BD373" s="68"/>
      <c r="BE373" s="69"/>
      <c r="BF373" s="69"/>
      <c r="BG373" s="69"/>
      <c r="BH373" s="69"/>
      <c r="BI373" s="69"/>
      <c r="BJ373" s="68"/>
      <c r="BK373" s="69"/>
      <c r="BL373" s="67"/>
      <c r="BM373" s="67"/>
      <c r="BN373" s="56"/>
      <c r="BO373" s="56"/>
      <c r="BT373" s="63"/>
      <c r="BW373" s="56"/>
      <c r="BX373" s="56"/>
      <c r="BY373" s="56"/>
      <c r="BZ373" s="56"/>
      <c r="CA373" s="56"/>
      <c r="CF373" s="63"/>
      <c r="CI373" s="56"/>
      <c r="CJ373" s="56"/>
      <c r="CK373" s="56"/>
      <c r="CL373" s="56"/>
      <c r="CM373" s="56"/>
    </row>
    <row r="374" spans="18:93" ht="18" customHeight="1">
      <c r="R374" s="63"/>
      <c r="V374" s="170"/>
      <c r="W374" s="56"/>
      <c r="X374" s="56"/>
      <c r="Y374" s="56"/>
      <c r="AD374" s="63"/>
      <c r="AG374" s="56"/>
      <c r="AH374" s="56"/>
      <c r="AI374" s="56"/>
      <c r="AJ374" s="56"/>
      <c r="AK374" s="56"/>
      <c r="AO374" s="68"/>
      <c r="AP374" s="76"/>
      <c r="AQ374" s="67"/>
      <c r="AR374" s="68"/>
      <c r="AS374" s="69"/>
      <c r="AT374" s="69"/>
      <c r="AU374" s="69"/>
      <c r="AV374" s="69"/>
      <c r="AW374" s="69"/>
      <c r="AX374" s="68"/>
      <c r="AY374" s="69"/>
      <c r="AZ374" s="67"/>
      <c r="BA374" s="69"/>
      <c r="BB374" s="76"/>
      <c r="BC374" s="67"/>
      <c r="BD374" s="68"/>
      <c r="BE374" s="69"/>
      <c r="BF374" s="69"/>
      <c r="BG374" s="69"/>
      <c r="BH374" s="69"/>
      <c r="BI374" s="69"/>
      <c r="BJ374" s="68"/>
      <c r="BK374" s="69"/>
      <c r="BL374" s="67"/>
      <c r="BM374" s="67"/>
      <c r="BN374" s="56"/>
      <c r="BO374" s="56"/>
      <c r="BT374" s="63"/>
      <c r="BW374" s="56"/>
      <c r="BX374" s="56"/>
      <c r="BY374" s="56"/>
      <c r="BZ374" s="56"/>
      <c r="CA374" s="56"/>
      <c r="CF374" s="63"/>
      <c r="CI374" s="56"/>
      <c r="CJ374" s="56"/>
      <c r="CK374" s="56"/>
      <c r="CL374" s="56"/>
      <c r="CM374" s="56"/>
    </row>
    <row r="375" spans="18:93" ht="18" customHeight="1">
      <c r="R375" s="63"/>
      <c r="V375" s="170"/>
      <c r="W375" s="56"/>
      <c r="X375" s="56"/>
      <c r="Y375" s="56"/>
      <c r="AD375" s="63"/>
      <c r="AG375" s="56"/>
      <c r="AH375" s="56"/>
      <c r="AI375" s="56"/>
      <c r="AJ375" s="56"/>
      <c r="AK375" s="56"/>
      <c r="AO375" s="68"/>
      <c r="AP375" s="76"/>
      <c r="AQ375" s="67"/>
      <c r="AR375" s="68"/>
      <c r="AS375" s="69"/>
      <c r="AT375" s="69"/>
      <c r="AU375" s="69"/>
      <c r="AV375" s="69"/>
      <c r="AW375" s="69"/>
      <c r="AX375" s="68"/>
      <c r="AY375" s="69"/>
      <c r="AZ375" s="67"/>
      <c r="BA375" s="69"/>
      <c r="BB375" s="76"/>
      <c r="BC375" s="67"/>
      <c r="BD375" s="68"/>
      <c r="BE375" s="69"/>
      <c r="BF375" s="69"/>
      <c r="BG375" s="69"/>
      <c r="BH375" s="69"/>
      <c r="BI375" s="69"/>
      <c r="BJ375" s="68"/>
      <c r="BK375" s="69"/>
      <c r="BL375" s="67"/>
      <c r="BM375" s="67"/>
      <c r="BN375" s="56"/>
      <c r="BO375" s="56"/>
      <c r="BT375" s="63"/>
      <c r="BW375" s="56"/>
      <c r="BX375" s="56"/>
      <c r="BY375" s="56"/>
      <c r="BZ375" s="56"/>
      <c r="CA375" s="56"/>
      <c r="CF375" s="63"/>
      <c r="CI375" s="56"/>
      <c r="CJ375" s="56"/>
      <c r="CK375" s="56"/>
      <c r="CL375" s="56"/>
      <c r="CM375" s="56"/>
    </row>
    <row r="376" spans="18:93" ht="18" customHeight="1">
      <c r="AO376" s="68"/>
      <c r="AP376" s="67"/>
      <c r="AQ376" s="67"/>
      <c r="AR376" s="68"/>
      <c r="AS376" s="68"/>
      <c r="AT376" s="68"/>
      <c r="AU376" s="68"/>
      <c r="AV376" s="68"/>
      <c r="AW376" s="68"/>
      <c r="AX376" s="68"/>
      <c r="AY376" s="69"/>
      <c r="AZ376" s="67"/>
      <c r="BA376" s="68"/>
      <c r="BB376" s="67"/>
      <c r="BC376" s="67"/>
      <c r="BD376" s="68"/>
      <c r="BE376" s="68"/>
      <c r="BF376" s="68"/>
      <c r="BG376" s="68"/>
      <c r="BH376" s="68"/>
      <c r="BI376" s="68"/>
      <c r="BJ376" s="68"/>
      <c r="BK376" s="69"/>
      <c r="BL376" s="67"/>
      <c r="BM376" s="67"/>
    </row>
    <row r="377" spans="18:93" ht="18" customHeight="1">
      <c r="R377" s="63"/>
      <c r="S377" s="64"/>
      <c r="Y377" s="531"/>
      <c r="Z377" s="531"/>
      <c r="AA377" s="531"/>
      <c r="AD377" s="63"/>
      <c r="AE377" s="64"/>
      <c r="AK377" s="531"/>
      <c r="AL377" s="531"/>
      <c r="AM377" s="531"/>
      <c r="AO377" s="68"/>
      <c r="AP377" s="76"/>
      <c r="AQ377" s="77"/>
      <c r="AR377" s="68"/>
      <c r="AS377" s="68"/>
      <c r="AT377" s="68"/>
      <c r="AU377" s="68"/>
      <c r="AV377" s="68"/>
      <c r="AW377" s="533"/>
      <c r="AX377" s="533"/>
      <c r="AY377" s="533"/>
      <c r="AZ377" s="67"/>
      <c r="BA377" s="68"/>
      <c r="BB377" s="76"/>
      <c r="BC377" s="77"/>
      <c r="BD377" s="68"/>
      <c r="BE377" s="68"/>
      <c r="BF377" s="68"/>
      <c r="BG377" s="68"/>
      <c r="BH377" s="68"/>
      <c r="BI377" s="533"/>
      <c r="BJ377" s="533"/>
      <c r="BK377" s="533"/>
      <c r="BL377" s="67"/>
      <c r="BM377" s="67"/>
      <c r="BO377" s="531"/>
      <c r="BP377" s="531"/>
      <c r="BQ377" s="531"/>
      <c r="BT377" s="63"/>
      <c r="BU377" s="64"/>
      <c r="CA377" s="531"/>
      <c r="CB377" s="531"/>
      <c r="CC377" s="531"/>
      <c r="CF377" s="63"/>
      <c r="CG377" s="64"/>
      <c r="CM377" s="531"/>
      <c r="CN377" s="531"/>
      <c r="CO377" s="531"/>
    </row>
    <row r="378" spans="18:93" ht="18" customHeight="1">
      <c r="R378" s="63"/>
      <c r="V378" s="170"/>
      <c r="W378" s="56"/>
      <c r="X378" s="56"/>
      <c r="Y378" s="56"/>
      <c r="AD378" s="63"/>
      <c r="AG378" s="56"/>
      <c r="AH378" s="56"/>
      <c r="AI378" s="56"/>
      <c r="AJ378" s="56"/>
      <c r="AK378" s="56"/>
      <c r="AO378" s="68"/>
      <c r="AP378" s="76"/>
      <c r="AQ378" s="67"/>
      <c r="AR378" s="68"/>
      <c r="AS378" s="69"/>
      <c r="AT378" s="69"/>
      <c r="AU378" s="69"/>
      <c r="AV378" s="69"/>
      <c r="AW378" s="69"/>
      <c r="AX378" s="68"/>
      <c r="AY378" s="69"/>
      <c r="AZ378" s="67"/>
      <c r="BA378" s="69"/>
      <c r="BB378" s="76"/>
      <c r="BC378" s="67"/>
      <c r="BD378" s="68"/>
      <c r="BE378" s="69"/>
      <c r="BF378" s="69"/>
      <c r="BG378" s="69"/>
      <c r="BH378" s="69"/>
      <c r="BI378" s="69"/>
      <c r="BJ378" s="68"/>
      <c r="BK378" s="69"/>
      <c r="BL378" s="67"/>
      <c r="BM378" s="67"/>
      <c r="BN378" s="56"/>
      <c r="BO378" s="56"/>
      <c r="BT378" s="63"/>
      <c r="BW378" s="56"/>
      <c r="BX378" s="56"/>
      <c r="BY378" s="56"/>
      <c r="BZ378" s="56"/>
      <c r="CA378" s="56"/>
      <c r="CF378" s="63"/>
      <c r="CI378" s="56"/>
      <c r="CJ378" s="56"/>
      <c r="CK378" s="56"/>
      <c r="CL378" s="56"/>
      <c r="CM378" s="56"/>
    </row>
    <row r="379" spans="18:93" ht="18" customHeight="1">
      <c r="R379" s="63"/>
      <c r="V379" s="170"/>
      <c r="W379" s="56"/>
      <c r="X379" s="56"/>
      <c r="Y379" s="56"/>
      <c r="AD379" s="63"/>
      <c r="AG379" s="56"/>
      <c r="AH379" s="56"/>
      <c r="AI379" s="56"/>
      <c r="AJ379" s="56"/>
      <c r="AK379" s="56"/>
      <c r="AO379" s="68"/>
      <c r="AP379" s="76"/>
      <c r="AQ379" s="67"/>
      <c r="AR379" s="68"/>
      <c r="AS379" s="69"/>
      <c r="AT379" s="69"/>
      <c r="AU379" s="69"/>
      <c r="AV379" s="69"/>
      <c r="AW379" s="69"/>
      <c r="AX379" s="68"/>
      <c r="AY379" s="69"/>
      <c r="AZ379" s="67"/>
      <c r="BA379" s="69"/>
      <c r="BB379" s="76"/>
      <c r="BC379" s="67"/>
      <c r="BD379" s="68"/>
      <c r="BE379" s="69"/>
      <c r="BF379" s="69"/>
      <c r="BG379" s="69"/>
      <c r="BH379" s="69"/>
      <c r="BI379" s="69"/>
      <c r="BJ379" s="68"/>
      <c r="BK379" s="69"/>
      <c r="BL379" s="67"/>
      <c r="BM379" s="67"/>
      <c r="BN379" s="56"/>
      <c r="BO379" s="56"/>
      <c r="BT379" s="63"/>
      <c r="BW379" s="56"/>
      <c r="BX379" s="56"/>
      <c r="BY379" s="56"/>
      <c r="BZ379" s="56"/>
      <c r="CA379" s="56"/>
      <c r="CF379" s="63"/>
      <c r="CI379" s="56"/>
      <c r="CJ379" s="56"/>
      <c r="CK379" s="56"/>
      <c r="CL379" s="56"/>
      <c r="CM379" s="56"/>
    </row>
    <row r="380" spans="18:93" ht="18" customHeight="1">
      <c r="R380" s="63"/>
      <c r="V380" s="170"/>
      <c r="W380" s="56"/>
      <c r="X380" s="56"/>
      <c r="Y380" s="56"/>
      <c r="AD380" s="63"/>
      <c r="AG380" s="56"/>
      <c r="AH380" s="56"/>
      <c r="AI380" s="56"/>
      <c r="AJ380" s="56"/>
      <c r="AK380" s="56"/>
      <c r="AO380" s="68"/>
      <c r="AP380" s="76"/>
      <c r="AQ380" s="67"/>
      <c r="AR380" s="68"/>
      <c r="AS380" s="69"/>
      <c r="AT380" s="69"/>
      <c r="AU380" s="69"/>
      <c r="AV380" s="69"/>
      <c r="AW380" s="69"/>
      <c r="AX380" s="68"/>
      <c r="AY380" s="69"/>
      <c r="AZ380" s="67"/>
      <c r="BA380" s="69"/>
      <c r="BB380" s="76"/>
      <c r="BC380" s="67"/>
      <c r="BD380" s="68"/>
      <c r="BE380" s="69"/>
      <c r="BF380" s="69"/>
      <c r="BG380" s="69"/>
      <c r="BH380" s="69"/>
      <c r="BI380" s="69"/>
      <c r="BJ380" s="68"/>
      <c r="BK380" s="69"/>
      <c r="BL380" s="67"/>
      <c r="BM380" s="67"/>
      <c r="BN380" s="56"/>
      <c r="BO380" s="56"/>
      <c r="BT380" s="63"/>
      <c r="BW380" s="56"/>
      <c r="BX380" s="56"/>
      <c r="BY380" s="56"/>
      <c r="BZ380" s="56"/>
      <c r="CA380" s="56"/>
      <c r="CF380" s="63"/>
      <c r="CI380" s="56"/>
      <c r="CJ380" s="56"/>
      <c r="CK380" s="56"/>
      <c r="CL380" s="56"/>
      <c r="CM380" s="56"/>
    </row>
    <row r="381" spans="18:93" ht="18" customHeight="1">
      <c r="R381" s="63"/>
      <c r="V381" s="170"/>
      <c r="W381" s="56"/>
      <c r="X381" s="56"/>
      <c r="Y381" s="56"/>
      <c r="AD381" s="63"/>
      <c r="AG381" s="56"/>
      <c r="AH381" s="56"/>
      <c r="AI381" s="56"/>
      <c r="AJ381" s="56"/>
      <c r="AK381" s="56"/>
      <c r="AO381" s="68"/>
      <c r="AP381" s="76"/>
      <c r="AQ381" s="67"/>
      <c r="AR381" s="68"/>
      <c r="AS381" s="69"/>
      <c r="AT381" s="69"/>
      <c r="AU381" s="69"/>
      <c r="AV381" s="69"/>
      <c r="AW381" s="69"/>
      <c r="AX381" s="68"/>
      <c r="AY381" s="69"/>
      <c r="AZ381" s="67"/>
      <c r="BA381" s="69"/>
      <c r="BB381" s="76"/>
      <c r="BC381" s="67"/>
      <c r="BD381" s="68"/>
      <c r="BE381" s="69"/>
      <c r="BF381" s="69"/>
      <c r="BG381" s="69"/>
      <c r="BH381" s="69"/>
      <c r="BI381" s="69"/>
      <c r="BJ381" s="68"/>
      <c r="BK381" s="69"/>
      <c r="BL381" s="67"/>
      <c r="BM381" s="67"/>
      <c r="BN381" s="56"/>
      <c r="BO381" s="56"/>
      <c r="BT381" s="63"/>
      <c r="BW381" s="56"/>
      <c r="BX381" s="56"/>
      <c r="BY381" s="56"/>
      <c r="BZ381" s="56"/>
      <c r="CA381" s="56"/>
      <c r="CF381" s="63"/>
      <c r="CI381" s="56"/>
      <c r="CJ381" s="56"/>
      <c r="CK381" s="56"/>
      <c r="CL381" s="56"/>
      <c r="CM381" s="56"/>
    </row>
    <row r="382" spans="18:93" ht="18" customHeight="1">
      <c r="AO382" s="68"/>
      <c r="AP382" s="67"/>
      <c r="AQ382" s="67"/>
      <c r="AR382" s="68"/>
      <c r="AS382" s="68"/>
      <c r="AT382" s="68"/>
      <c r="AU382" s="68"/>
      <c r="AV382" s="68"/>
      <c r="AW382" s="68"/>
      <c r="AX382" s="68"/>
      <c r="AY382" s="69"/>
      <c r="AZ382" s="67"/>
      <c r="BA382" s="68"/>
      <c r="BB382" s="67"/>
      <c r="BC382" s="67"/>
      <c r="BD382" s="68"/>
      <c r="BE382" s="68"/>
      <c r="BF382" s="68"/>
      <c r="BG382" s="68"/>
      <c r="BH382" s="68"/>
      <c r="BI382" s="68"/>
      <c r="BJ382" s="68"/>
      <c r="BK382" s="69"/>
      <c r="BL382" s="67"/>
      <c r="BM382" s="67"/>
    </row>
    <row r="383" spans="18:93" ht="18" customHeight="1">
      <c r="R383" s="63"/>
      <c r="S383" s="64"/>
      <c r="Y383" s="531"/>
      <c r="Z383" s="531"/>
      <c r="AA383" s="531"/>
      <c r="AD383" s="63"/>
      <c r="AE383" s="64"/>
      <c r="AK383" s="531"/>
      <c r="AL383" s="531"/>
      <c r="AM383" s="531"/>
      <c r="AO383" s="68"/>
      <c r="AP383" s="76"/>
      <c r="AQ383" s="77"/>
      <c r="AR383" s="68"/>
      <c r="AS383" s="68"/>
      <c r="AT383" s="68"/>
      <c r="AU383" s="68"/>
      <c r="AV383" s="68"/>
      <c r="AW383" s="533"/>
      <c r="AX383" s="533"/>
      <c r="AY383" s="533"/>
      <c r="AZ383" s="67"/>
      <c r="BA383" s="68"/>
      <c r="BB383" s="76"/>
      <c r="BC383" s="77"/>
      <c r="BD383" s="68"/>
      <c r="BE383" s="68"/>
      <c r="BF383" s="68"/>
      <c r="BG383" s="68"/>
      <c r="BH383" s="68"/>
      <c r="BI383" s="533"/>
      <c r="BJ383" s="533"/>
      <c r="BK383" s="533"/>
      <c r="BL383" s="67"/>
      <c r="BM383" s="67"/>
      <c r="BO383" s="531"/>
      <c r="BP383" s="531"/>
      <c r="BQ383" s="531"/>
      <c r="BT383" s="63"/>
      <c r="BU383" s="64"/>
      <c r="CA383" s="531"/>
      <c r="CB383" s="531"/>
      <c r="CC383" s="531"/>
      <c r="CF383" s="63"/>
      <c r="CG383" s="64"/>
      <c r="CM383" s="531"/>
      <c r="CN383" s="531"/>
      <c r="CO383" s="531"/>
    </row>
    <row r="384" spans="18:93" ht="18" customHeight="1">
      <c r="R384" s="63"/>
      <c r="V384" s="170"/>
      <c r="W384" s="56"/>
      <c r="X384" s="56"/>
      <c r="Y384" s="56"/>
      <c r="AD384" s="63"/>
      <c r="AG384" s="56"/>
      <c r="AH384" s="56"/>
      <c r="AI384" s="56"/>
      <c r="AJ384" s="56"/>
      <c r="AK384" s="56"/>
      <c r="AO384" s="68"/>
      <c r="AP384" s="76"/>
      <c r="AQ384" s="67"/>
      <c r="AR384" s="68"/>
      <c r="AS384" s="69"/>
      <c r="AT384" s="69"/>
      <c r="AU384" s="69"/>
      <c r="AV384" s="69"/>
      <c r="AW384" s="69"/>
      <c r="AX384" s="68"/>
      <c r="AY384" s="69"/>
      <c r="AZ384" s="67"/>
      <c r="BA384" s="69"/>
      <c r="BB384" s="76"/>
      <c r="BC384" s="67"/>
      <c r="BD384" s="68"/>
      <c r="BE384" s="69"/>
      <c r="BF384" s="69"/>
      <c r="BG384" s="69"/>
      <c r="BH384" s="69"/>
      <c r="BI384" s="69"/>
      <c r="BJ384" s="68"/>
      <c r="BK384" s="69"/>
      <c r="BL384" s="67"/>
      <c r="BM384" s="67"/>
      <c r="BN384" s="56"/>
      <c r="BO384" s="56"/>
      <c r="BT384" s="63"/>
      <c r="BW384" s="56"/>
      <c r="BX384" s="56"/>
      <c r="BY384" s="56"/>
      <c r="BZ384" s="56"/>
      <c r="CA384" s="56"/>
      <c r="CF384" s="63"/>
      <c r="CI384" s="56"/>
      <c r="CJ384" s="56"/>
      <c r="CK384" s="56"/>
      <c r="CL384" s="56"/>
      <c r="CM384" s="56"/>
    </row>
    <row r="385" spans="18:91" ht="18" customHeight="1">
      <c r="R385" s="63"/>
      <c r="V385" s="170"/>
      <c r="W385" s="56"/>
      <c r="X385" s="56"/>
      <c r="Y385" s="56"/>
      <c r="AD385" s="63"/>
      <c r="AG385" s="56"/>
      <c r="AH385" s="56"/>
      <c r="AI385" s="56"/>
      <c r="AJ385" s="56"/>
      <c r="AK385" s="56"/>
      <c r="AO385" s="68"/>
      <c r="AP385" s="76"/>
      <c r="AQ385" s="67"/>
      <c r="AR385" s="68"/>
      <c r="AS385" s="69"/>
      <c r="AT385" s="69"/>
      <c r="AU385" s="69"/>
      <c r="AV385" s="69"/>
      <c r="AW385" s="69"/>
      <c r="AX385" s="68"/>
      <c r="AY385" s="69"/>
      <c r="AZ385" s="67"/>
      <c r="BA385" s="69"/>
      <c r="BB385" s="76"/>
      <c r="BC385" s="67"/>
      <c r="BD385" s="68"/>
      <c r="BE385" s="69"/>
      <c r="BF385" s="69"/>
      <c r="BG385" s="69"/>
      <c r="BH385" s="69"/>
      <c r="BI385" s="69"/>
      <c r="BJ385" s="68"/>
      <c r="BK385" s="69"/>
      <c r="BL385" s="67"/>
      <c r="BM385" s="67"/>
      <c r="BN385" s="56"/>
      <c r="BO385" s="56"/>
      <c r="BT385" s="63"/>
      <c r="BW385" s="56"/>
      <c r="BX385" s="56"/>
      <c r="BY385" s="56"/>
      <c r="BZ385" s="56"/>
      <c r="CA385" s="56"/>
      <c r="CF385" s="63"/>
      <c r="CI385" s="56"/>
      <c r="CJ385" s="56"/>
      <c r="CK385" s="56"/>
      <c r="CL385" s="56"/>
      <c r="CM385" s="56"/>
    </row>
    <row r="386" spans="18:91" ht="18" customHeight="1">
      <c r="R386" s="63"/>
      <c r="V386" s="170"/>
      <c r="W386" s="56"/>
      <c r="X386" s="56"/>
      <c r="Y386" s="56"/>
      <c r="AD386" s="63"/>
      <c r="AG386" s="56"/>
      <c r="AH386" s="56"/>
      <c r="AI386" s="56"/>
      <c r="AJ386" s="56"/>
      <c r="AK386" s="56"/>
      <c r="AO386" s="68"/>
      <c r="AP386" s="76"/>
      <c r="AQ386" s="67"/>
      <c r="AR386" s="68"/>
      <c r="AS386" s="69"/>
      <c r="AT386" s="69"/>
      <c r="AU386" s="69"/>
      <c r="AV386" s="69"/>
      <c r="AW386" s="69"/>
      <c r="AX386" s="68"/>
      <c r="AY386" s="69"/>
      <c r="AZ386" s="67"/>
      <c r="BA386" s="69"/>
      <c r="BB386" s="76"/>
      <c r="BC386" s="67"/>
      <c r="BD386" s="68"/>
      <c r="BE386" s="69"/>
      <c r="BF386" s="69"/>
      <c r="BG386" s="69"/>
      <c r="BH386" s="69"/>
      <c r="BI386" s="69"/>
      <c r="BJ386" s="68"/>
      <c r="BK386" s="69"/>
      <c r="BL386" s="67"/>
      <c r="BM386" s="67"/>
      <c r="BN386" s="56"/>
      <c r="BO386" s="56"/>
      <c r="BT386" s="63"/>
      <c r="BW386" s="56"/>
      <c r="BX386" s="56"/>
      <c r="BY386" s="56"/>
      <c r="BZ386" s="56"/>
      <c r="CA386" s="56"/>
      <c r="CF386" s="63"/>
      <c r="CI386" s="56"/>
      <c r="CJ386" s="56"/>
      <c r="CK386" s="56"/>
      <c r="CL386" s="56"/>
      <c r="CM386" s="56"/>
    </row>
    <row r="387" spans="18:91" ht="18" customHeight="1">
      <c r="R387" s="63"/>
      <c r="V387" s="170"/>
      <c r="W387" s="56"/>
      <c r="X387" s="56"/>
      <c r="Y387" s="56"/>
      <c r="AD387" s="63"/>
      <c r="AG387" s="56"/>
      <c r="AH387" s="56"/>
      <c r="AI387" s="56"/>
      <c r="AJ387" s="56"/>
      <c r="AK387" s="56"/>
      <c r="AO387" s="68"/>
      <c r="AP387" s="76"/>
      <c r="AQ387" s="67"/>
      <c r="AR387" s="68"/>
      <c r="AS387" s="69"/>
      <c r="AT387" s="69"/>
      <c r="AU387" s="69"/>
      <c r="AV387" s="69"/>
      <c r="AW387" s="69"/>
      <c r="AX387" s="68"/>
      <c r="AY387" s="69"/>
      <c r="AZ387" s="67"/>
      <c r="BA387" s="69"/>
      <c r="BB387" s="76"/>
      <c r="BC387" s="67"/>
      <c r="BD387" s="68"/>
      <c r="BE387" s="69"/>
      <c r="BF387" s="69"/>
      <c r="BG387" s="69"/>
      <c r="BH387" s="69"/>
      <c r="BI387" s="69"/>
      <c r="BJ387" s="68"/>
      <c r="BK387" s="69"/>
      <c r="BL387" s="67"/>
      <c r="BM387" s="67"/>
      <c r="BN387" s="56"/>
      <c r="BO387" s="56"/>
      <c r="BT387" s="63"/>
      <c r="BW387" s="56"/>
      <c r="BX387" s="56"/>
      <c r="BY387" s="56"/>
      <c r="BZ387" s="56"/>
      <c r="CA387" s="56"/>
      <c r="CF387" s="63"/>
      <c r="CI387" s="56"/>
      <c r="CJ387" s="56"/>
      <c r="CK387" s="56"/>
      <c r="CL387" s="56"/>
      <c r="CM387" s="56"/>
    </row>
  </sheetData>
  <mergeCells count="522">
    <mergeCell ref="CM383:CO383"/>
    <mergeCell ref="Y383:AA383"/>
    <mergeCell ref="AK383:AM383"/>
    <mergeCell ref="AW383:AY383"/>
    <mergeCell ref="BI383:BK383"/>
    <mergeCell ref="BO383:BQ383"/>
    <mergeCell ref="CA383:CC383"/>
    <mergeCell ref="CM371:CO371"/>
    <mergeCell ref="Y377:AA377"/>
    <mergeCell ref="AK377:AM377"/>
    <mergeCell ref="AW377:AY377"/>
    <mergeCell ref="BI377:BK377"/>
    <mergeCell ref="BO377:BQ377"/>
    <mergeCell ref="CA377:CC377"/>
    <mergeCell ref="CM377:CO377"/>
    <mergeCell ref="Y371:AA371"/>
    <mergeCell ref="AK371:AM371"/>
    <mergeCell ref="AW371:AY371"/>
    <mergeCell ref="BI371:BK371"/>
    <mergeCell ref="BO371:BQ371"/>
    <mergeCell ref="CA371:CC371"/>
    <mergeCell ref="CM359:CO359"/>
    <mergeCell ref="Y365:AA365"/>
    <mergeCell ref="AK365:AM365"/>
    <mergeCell ref="AW365:AY365"/>
    <mergeCell ref="BI365:BK365"/>
    <mergeCell ref="BO365:BQ365"/>
    <mergeCell ref="CA365:CC365"/>
    <mergeCell ref="CM365:CO365"/>
    <mergeCell ref="Y359:AA359"/>
    <mergeCell ref="AK359:AM359"/>
    <mergeCell ref="AW359:AY359"/>
    <mergeCell ref="BI359:BK359"/>
    <mergeCell ref="BO359:BQ359"/>
    <mergeCell ref="CA359:CC359"/>
    <mergeCell ref="CM347:CO347"/>
    <mergeCell ref="Y353:AA353"/>
    <mergeCell ref="AK353:AM353"/>
    <mergeCell ref="AW353:AY353"/>
    <mergeCell ref="BI353:BK353"/>
    <mergeCell ref="BO353:BQ353"/>
    <mergeCell ref="CA353:CC353"/>
    <mergeCell ref="CM353:CO353"/>
    <mergeCell ref="Y347:AA347"/>
    <mergeCell ref="AK347:AM347"/>
    <mergeCell ref="AW347:AY347"/>
    <mergeCell ref="BI347:BK347"/>
    <mergeCell ref="BO347:BQ347"/>
    <mergeCell ref="CA347:CC347"/>
    <mergeCell ref="CM335:CO335"/>
    <mergeCell ref="Y341:AA341"/>
    <mergeCell ref="AK341:AM341"/>
    <mergeCell ref="AW341:AY341"/>
    <mergeCell ref="BI341:BK341"/>
    <mergeCell ref="BO341:BQ341"/>
    <mergeCell ref="CA341:CC341"/>
    <mergeCell ref="CM341:CO341"/>
    <mergeCell ref="Y335:AA335"/>
    <mergeCell ref="AK335:AM335"/>
    <mergeCell ref="AW335:AY335"/>
    <mergeCell ref="BI335:BK335"/>
    <mergeCell ref="BO335:BQ335"/>
    <mergeCell ref="CA335:CC335"/>
    <mergeCell ref="CM323:CO323"/>
    <mergeCell ref="Y329:AA329"/>
    <mergeCell ref="AK329:AM329"/>
    <mergeCell ref="AW329:AY329"/>
    <mergeCell ref="BI329:BK329"/>
    <mergeCell ref="BO329:BQ329"/>
    <mergeCell ref="CA329:CC329"/>
    <mergeCell ref="CM329:CO329"/>
    <mergeCell ref="Y323:AA323"/>
    <mergeCell ref="AK323:AM323"/>
    <mergeCell ref="AW323:AY323"/>
    <mergeCell ref="BI323:BK323"/>
    <mergeCell ref="BO323:BQ323"/>
    <mergeCell ref="CA323:CC323"/>
    <mergeCell ref="CM311:CO311"/>
    <mergeCell ref="Y317:AA317"/>
    <mergeCell ref="AK317:AM317"/>
    <mergeCell ref="AW317:AY317"/>
    <mergeCell ref="BI317:BK317"/>
    <mergeCell ref="BO317:BQ317"/>
    <mergeCell ref="CA317:CC317"/>
    <mergeCell ref="CM317:CO317"/>
    <mergeCell ref="Y311:AA311"/>
    <mergeCell ref="AK311:AM311"/>
    <mergeCell ref="AW311:AY311"/>
    <mergeCell ref="BI311:BK311"/>
    <mergeCell ref="BO311:BQ311"/>
    <mergeCell ref="CA311:CC311"/>
    <mergeCell ref="CM299:CO299"/>
    <mergeCell ref="Y305:AA305"/>
    <mergeCell ref="AK305:AM305"/>
    <mergeCell ref="AW305:AY305"/>
    <mergeCell ref="BI305:BK305"/>
    <mergeCell ref="BO305:BQ305"/>
    <mergeCell ref="CA305:CC305"/>
    <mergeCell ref="CM305:CO305"/>
    <mergeCell ref="Y299:AA299"/>
    <mergeCell ref="AK299:AM299"/>
    <mergeCell ref="AW299:AY299"/>
    <mergeCell ref="BI299:BK299"/>
    <mergeCell ref="BO299:BQ299"/>
    <mergeCell ref="CA299:CC299"/>
    <mergeCell ref="CM287:CO287"/>
    <mergeCell ref="Y293:AA293"/>
    <mergeCell ref="AK293:AM293"/>
    <mergeCell ref="AW293:AY293"/>
    <mergeCell ref="BI293:BK293"/>
    <mergeCell ref="BO293:BQ293"/>
    <mergeCell ref="CA293:CC293"/>
    <mergeCell ref="CM293:CO293"/>
    <mergeCell ref="Y287:AA287"/>
    <mergeCell ref="AK287:AM287"/>
    <mergeCell ref="AW287:AY287"/>
    <mergeCell ref="BI287:BK287"/>
    <mergeCell ref="BO287:BQ287"/>
    <mergeCell ref="CA287:CC287"/>
    <mergeCell ref="CM275:CO275"/>
    <mergeCell ref="Y281:AA281"/>
    <mergeCell ref="AK281:AM281"/>
    <mergeCell ref="AW281:AY281"/>
    <mergeCell ref="BI281:BK281"/>
    <mergeCell ref="BO281:BQ281"/>
    <mergeCell ref="CA281:CC281"/>
    <mergeCell ref="CM281:CO281"/>
    <mergeCell ref="Y275:AA275"/>
    <mergeCell ref="AK275:AM275"/>
    <mergeCell ref="AW275:AY275"/>
    <mergeCell ref="BI275:BK275"/>
    <mergeCell ref="BO275:BQ275"/>
    <mergeCell ref="CA275:CC275"/>
    <mergeCell ref="CM263:CO263"/>
    <mergeCell ref="Y269:AA269"/>
    <mergeCell ref="AK269:AM269"/>
    <mergeCell ref="AW269:AY269"/>
    <mergeCell ref="BI269:BK269"/>
    <mergeCell ref="BO269:BQ269"/>
    <mergeCell ref="CA269:CC269"/>
    <mergeCell ref="CM269:CO269"/>
    <mergeCell ref="Y263:AA263"/>
    <mergeCell ref="AK263:AM263"/>
    <mergeCell ref="AW263:AY263"/>
    <mergeCell ref="BI263:BK263"/>
    <mergeCell ref="BO263:BQ263"/>
    <mergeCell ref="CA263:CC263"/>
    <mergeCell ref="CM251:CO251"/>
    <mergeCell ref="Y257:AA257"/>
    <mergeCell ref="AK257:AM257"/>
    <mergeCell ref="AW257:AY257"/>
    <mergeCell ref="BI257:BK257"/>
    <mergeCell ref="BO257:BQ257"/>
    <mergeCell ref="CA257:CC257"/>
    <mergeCell ref="CM257:CO257"/>
    <mergeCell ref="Y251:AA251"/>
    <mergeCell ref="AK251:AM251"/>
    <mergeCell ref="AW251:AY251"/>
    <mergeCell ref="BI251:BK251"/>
    <mergeCell ref="BO251:BQ251"/>
    <mergeCell ref="CA251:CC251"/>
    <mergeCell ref="CM239:CO239"/>
    <mergeCell ref="Y245:AA245"/>
    <mergeCell ref="AK245:AM245"/>
    <mergeCell ref="AW245:AY245"/>
    <mergeCell ref="BI245:BK245"/>
    <mergeCell ref="BO245:BQ245"/>
    <mergeCell ref="CA245:CC245"/>
    <mergeCell ref="CM245:CO245"/>
    <mergeCell ref="Y239:AA239"/>
    <mergeCell ref="AK239:AM239"/>
    <mergeCell ref="AW239:AY239"/>
    <mergeCell ref="BI239:BK239"/>
    <mergeCell ref="BO239:BQ239"/>
    <mergeCell ref="CA239:CC239"/>
    <mergeCell ref="CM227:CO227"/>
    <mergeCell ref="Y233:AA233"/>
    <mergeCell ref="AK233:AM233"/>
    <mergeCell ref="AW233:AY233"/>
    <mergeCell ref="BI233:BK233"/>
    <mergeCell ref="BO233:BQ233"/>
    <mergeCell ref="CA233:CC233"/>
    <mergeCell ref="CM233:CO233"/>
    <mergeCell ref="Y227:AA227"/>
    <mergeCell ref="AK227:AM227"/>
    <mergeCell ref="AW227:AY227"/>
    <mergeCell ref="BI227:BK227"/>
    <mergeCell ref="BO227:BQ227"/>
    <mergeCell ref="CA227:CC227"/>
    <mergeCell ref="CM215:CO215"/>
    <mergeCell ref="Y221:AA221"/>
    <mergeCell ref="AK221:AM221"/>
    <mergeCell ref="AW221:AY221"/>
    <mergeCell ref="BI221:BK221"/>
    <mergeCell ref="BO221:BQ221"/>
    <mergeCell ref="CA221:CC221"/>
    <mergeCell ref="CM221:CO221"/>
    <mergeCell ref="Y215:AA215"/>
    <mergeCell ref="AK215:AM215"/>
    <mergeCell ref="AW215:AY215"/>
    <mergeCell ref="BI215:BK215"/>
    <mergeCell ref="BO215:BQ215"/>
    <mergeCell ref="CA215:CC215"/>
    <mergeCell ref="CM203:CO203"/>
    <mergeCell ref="Y209:AA209"/>
    <mergeCell ref="AK209:AM209"/>
    <mergeCell ref="AW209:AY209"/>
    <mergeCell ref="BI209:BK209"/>
    <mergeCell ref="BO209:BQ209"/>
    <mergeCell ref="CA209:CC209"/>
    <mergeCell ref="CM209:CO209"/>
    <mergeCell ref="Y203:AA203"/>
    <mergeCell ref="AK203:AM203"/>
    <mergeCell ref="AW203:AY203"/>
    <mergeCell ref="BI203:BK203"/>
    <mergeCell ref="BO203:BQ203"/>
    <mergeCell ref="CA203:CC203"/>
    <mergeCell ref="CM191:CO191"/>
    <mergeCell ref="Y197:AA197"/>
    <mergeCell ref="AK197:AM197"/>
    <mergeCell ref="AW197:AY197"/>
    <mergeCell ref="BI197:BK197"/>
    <mergeCell ref="BO197:BQ197"/>
    <mergeCell ref="CA197:CC197"/>
    <mergeCell ref="CM197:CO197"/>
    <mergeCell ref="Y191:AA191"/>
    <mergeCell ref="AK191:AM191"/>
    <mergeCell ref="AW191:AY191"/>
    <mergeCell ref="BI191:BK191"/>
    <mergeCell ref="BO191:BQ191"/>
    <mergeCell ref="CA191:CC191"/>
    <mergeCell ref="CM179:CO179"/>
    <mergeCell ref="Y185:AA185"/>
    <mergeCell ref="AK185:AM185"/>
    <mergeCell ref="AW185:AY185"/>
    <mergeCell ref="BI185:BK185"/>
    <mergeCell ref="BO185:BQ185"/>
    <mergeCell ref="CA185:CC185"/>
    <mergeCell ref="CM185:CO185"/>
    <mergeCell ref="Y179:AA179"/>
    <mergeCell ref="AK179:AM179"/>
    <mergeCell ref="AW179:AY179"/>
    <mergeCell ref="BI179:BK179"/>
    <mergeCell ref="BO179:BQ179"/>
    <mergeCell ref="CA179:CC179"/>
    <mergeCell ref="CM167:CO167"/>
    <mergeCell ref="Y173:AA173"/>
    <mergeCell ref="AK173:AM173"/>
    <mergeCell ref="AW173:AY173"/>
    <mergeCell ref="BI173:BK173"/>
    <mergeCell ref="BO173:BQ173"/>
    <mergeCell ref="CA173:CC173"/>
    <mergeCell ref="CM173:CO173"/>
    <mergeCell ref="Y167:AA167"/>
    <mergeCell ref="AK167:AM167"/>
    <mergeCell ref="AW167:AY167"/>
    <mergeCell ref="BI167:BK167"/>
    <mergeCell ref="BO167:BQ167"/>
    <mergeCell ref="CA167:CC167"/>
    <mergeCell ref="CM155:CO155"/>
    <mergeCell ref="Y161:AA161"/>
    <mergeCell ref="AK161:AM161"/>
    <mergeCell ref="AW161:AY161"/>
    <mergeCell ref="BI161:BK161"/>
    <mergeCell ref="BO161:BQ161"/>
    <mergeCell ref="CA161:CC161"/>
    <mergeCell ref="CM161:CO161"/>
    <mergeCell ref="Y155:AA155"/>
    <mergeCell ref="AK155:AM155"/>
    <mergeCell ref="AW155:AY155"/>
    <mergeCell ref="BI155:BK155"/>
    <mergeCell ref="BO155:BQ155"/>
    <mergeCell ref="CA155:CC155"/>
    <mergeCell ref="CM143:CO143"/>
    <mergeCell ref="Y149:AA149"/>
    <mergeCell ref="AK149:AM149"/>
    <mergeCell ref="AW149:AY149"/>
    <mergeCell ref="BI149:BK149"/>
    <mergeCell ref="BO149:BQ149"/>
    <mergeCell ref="CA149:CC149"/>
    <mergeCell ref="CM149:CO149"/>
    <mergeCell ref="Y143:AA143"/>
    <mergeCell ref="AK143:AM143"/>
    <mergeCell ref="AW143:AY143"/>
    <mergeCell ref="BI143:BK143"/>
    <mergeCell ref="BO143:BQ143"/>
    <mergeCell ref="CA143:CC143"/>
    <mergeCell ref="CM131:CO131"/>
    <mergeCell ref="Y137:AA137"/>
    <mergeCell ref="AK137:AM137"/>
    <mergeCell ref="AW137:AY137"/>
    <mergeCell ref="BI137:BK137"/>
    <mergeCell ref="BO137:BQ137"/>
    <mergeCell ref="CA137:CC137"/>
    <mergeCell ref="CM137:CO137"/>
    <mergeCell ref="Y131:AA131"/>
    <mergeCell ref="AK131:AM131"/>
    <mergeCell ref="AW131:AY131"/>
    <mergeCell ref="BI131:BK131"/>
    <mergeCell ref="BO131:BQ131"/>
    <mergeCell ref="CA131:CC131"/>
    <mergeCell ref="CM119:CO119"/>
    <mergeCell ref="Y125:AA125"/>
    <mergeCell ref="AK125:AM125"/>
    <mergeCell ref="AW125:AY125"/>
    <mergeCell ref="BI125:BK125"/>
    <mergeCell ref="BO125:BQ125"/>
    <mergeCell ref="CA125:CC125"/>
    <mergeCell ref="CM125:CO125"/>
    <mergeCell ref="Y119:AA119"/>
    <mergeCell ref="AK119:AM119"/>
    <mergeCell ref="AW119:AY119"/>
    <mergeCell ref="BI119:BK119"/>
    <mergeCell ref="BO119:BQ119"/>
    <mergeCell ref="CA119:CC119"/>
    <mergeCell ref="CM107:CO107"/>
    <mergeCell ref="Y113:AA113"/>
    <mergeCell ref="AK113:AM113"/>
    <mergeCell ref="AW113:AY113"/>
    <mergeCell ref="BI113:BK113"/>
    <mergeCell ref="BO113:BQ113"/>
    <mergeCell ref="CA113:CC113"/>
    <mergeCell ref="CM113:CO113"/>
    <mergeCell ref="Y107:AA107"/>
    <mergeCell ref="AK107:AM107"/>
    <mergeCell ref="AW107:AY107"/>
    <mergeCell ref="BI107:BK107"/>
    <mergeCell ref="BO107:BQ107"/>
    <mergeCell ref="CA107:CC107"/>
    <mergeCell ref="CM95:CO95"/>
    <mergeCell ref="Y101:AA101"/>
    <mergeCell ref="AK101:AM101"/>
    <mergeCell ref="AW101:AY101"/>
    <mergeCell ref="BI101:BK101"/>
    <mergeCell ref="BO101:BQ101"/>
    <mergeCell ref="CA101:CC101"/>
    <mergeCell ref="CM101:CO101"/>
    <mergeCell ref="Y95:AA95"/>
    <mergeCell ref="AK95:AM95"/>
    <mergeCell ref="AW95:AY95"/>
    <mergeCell ref="BI95:BK95"/>
    <mergeCell ref="BO95:BQ95"/>
    <mergeCell ref="CA95:CC95"/>
    <mergeCell ref="CM83:CO83"/>
    <mergeCell ref="Y89:AA89"/>
    <mergeCell ref="AK89:AM89"/>
    <mergeCell ref="AW89:AY89"/>
    <mergeCell ref="BI89:BK89"/>
    <mergeCell ref="BO89:BQ89"/>
    <mergeCell ref="CA89:CC89"/>
    <mergeCell ref="CM89:CO89"/>
    <mergeCell ref="Y83:AA83"/>
    <mergeCell ref="AK83:AM83"/>
    <mergeCell ref="AW83:AY83"/>
    <mergeCell ref="BI83:BK83"/>
    <mergeCell ref="BO83:BQ83"/>
    <mergeCell ref="CA83:CC83"/>
    <mergeCell ref="CM71:CO71"/>
    <mergeCell ref="Y77:AA77"/>
    <mergeCell ref="AK77:AM77"/>
    <mergeCell ref="AW77:AY77"/>
    <mergeCell ref="BI77:BK77"/>
    <mergeCell ref="BO77:BQ77"/>
    <mergeCell ref="CA77:CC77"/>
    <mergeCell ref="CM77:CO77"/>
    <mergeCell ref="Y71:AA71"/>
    <mergeCell ref="AK71:AM71"/>
    <mergeCell ref="AW71:AY71"/>
    <mergeCell ref="BI71:BK71"/>
    <mergeCell ref="BO71:BQ71"/>
    <mergeCell ref="CA71:CC71"/>
    <mergeCell ref="AW65:AY65"/>
    <mergeCell ref="BI65:BK65"/>
    <mergeCell ref="BO65:BQ65"/>
    <mergeCell ref="CA65:CC65"/>
    <mergeCell ref="CM65:CO65"/>
    <mergeCell ref="C66:C67"/>
    <mergeCell ref="D66:D67"/>
    <mergeCell ref="C62:C63"/>
    <mergeCell ref="D62:D63"/>
    <mergeCell ref="C64:C65"/>
    <mergeCell ref="D64:D65"/>
    <mergeCell ref="Y65:AA65"/>
    <mergeCell ref="AK65:AM65"/>
    <mergeCell ref="AW59:AY59"/>
    <mergeCell ref="BI59:BK59"/>
    <mergeCell ref="BO59:BQ59"/>
    <mergeCell ref="CA59:CC59"/>
    <mergeCell ref="CM59:CO59"/>
    <mergeCell ref="C60:C61"/>
    <mergeCell ref="D60:D61"/>
    <mergeCell ref="C56:C57"/>
    <mergeCell ref="D56:D57"/>
    <mergeCell ref="C58:C59"/>
    <mergeCell ref="D58:D59"/>
    <mergeCell ref="Y59:AA59"/>
    <mergeCell ref="AK59:AM59"/>
    <mergeCell ref="AW53:AY53"/>
    <mergeCell ref="BI53:BK53"/>
    <mergeCell ref="BO53:BQ53"/>
    <mergeCell ref="CA53:CC53"/>
    <mergeCell ref="CM53:CO53"/>
    <mergeCell ref="C54:C55"/>
    <mergeCell ref="D54:D55"/>
    <mergeCell ref="C50:C51"/>
    <mergeCell ref="D50:D51"/>
    <mergeCell ref="C52:C53"/>
    <mergeCell ref="D52:D53"/>
    <mergeCell ref="Y53:AA53"/>
    <mergeCell ref="AK53:AM53"/>
    <mergeCell ref="AW47:AY47"/>
    <mergeCell ref="BI47:BK47"/>
    <mergeCell ref="BO47:BQ47"/>
    <mergeCell ref="CA47:CC47"/>
    <mergeCell ref="CM47:CO47"/>
    <mergeCell ref="C48:C49"/>
    <mergeCell ref="D48:D49"/>
    <mergeCell ref="C44:C45"/>
    <mergeCell ref="D44:D45"/>
    <mergeCell ref="C46:C47"/>
    <mergeCell ref="D46:D47"/>
    <mergeCell ref="Y47:AA47"/>
    <mergeCell ref="AK47:AM47"/>
    <mergeCell ref="BI41:BK41"/>
    <mergeCell ref="BO41:BQ41"/>
    <mergeCell ref="CA41:CC41"/>
    <mergeCell ref="CM41:CO41"/>
    <mergeCell ref="C42:C43"/>
    <mergeCell ref="D42:D43"/>
    <mergeCell ref="CM35:CO35"/>
    <mergeCell ref="C36:C37"/>
    <mergeCell ref="D36:D37"/>
    <mergeCell ref="C38:C39"/>
    <mergeCell ref="D38:D39"/>
    <mergeCell ref="C40:C41"/>
    <mergeCell ref="D40:D41"/>
    <mergeCell ref="Y41:AA41"/>
    <mergeCell ref="AK41:AM41"/>
    <mergeCell ref="AW41:AY41"/>
    <mergeCell ref="Y35:AA35"/>
    <mergeCell ref="AK35:AM35"/>
    <mergeCell ref="AW35:AY35"/>
    <mergeCell ref="BI35:BK35"/>
    <mergeCell ref="BO35:BQ35"/>
    <mergeCell ref="CA35:CC35"/>
    <mergeCell ref="B32:B33"/>
    <mergeCell ref="C32:C33"/>
    <mergeCell ref="D32:D33"/>
    <mergeCell ref="B34:B35"/>
    <mergeCell ref="C34:C35"/>
    <mergeCell ref="D34:D35"/>
    <mergeCell ref="BI29:BK29"/>
    <mergeCell ref="BO29:BQ29"/>
    <mergeCell ref="CA29:CC29"/>
    <mergeCell ref="CM29:CO29"/>
    <mergeCell ref="B30:B31"/>
    <mergeCell ref="C30:C31"/>
    <mergeCell ref="D30:D31"/>
    <mergeCell ref="B28:B29"/>
    <mergeCell ref="C28:C29"/>
    <mergeCell ref="D28:D29"/>
    <mergeCell ref="Y29:AA29"/>
    <mergeCell ref="AK29:AM29"/>
    <mergeCell ref="AW29:AY29"/>
    <mergeCell ref="B24:B25"/>
    <mergeCell ref="C24:C25"/>
    <mergeCell ref="D24:D25"/>
    <mergeCell ref="B26:B27"/>
    <mergeCell ref="C26:C27"/>
    <mergeCell ref="D26:D27"/>
    <mergeCell ref="Y23:AA23"/>
    <mergeCell ref="AK23:AM23"/>
    <mergeCell ref="BI23:BK23"/>
    <mergeCell ref="BO23:BQ23"/>
    <mergeCell ref="CA23:CC23"/>
    <mergeCell ref="CM23:CO23"/>
    <mergeCell ref="B20:B21"/>
    <mergeCell ref="C20:C21"/>
    <mergeCell ref="D20:D21"/>
    <mergeCell ref="B22:B23"/>
    <mergeCell ref="C22:C23"/>
    <mergeCell ref="D22:D23"/>
    <mergeCell ref="BO17:BQ17"/>
    <mergeCell ref="CA17:CC17"/>
    <mergeCell ref="CM17:CO17"/>
    <mergeCell ref="B18:B19"/>
    <mergeCell ref="C18:C19"/>
    <mergeCell ref="D18:D19"/>
    <mergeCell ref="B16:B17"/>
    <mergeCell ref="C16:C17"/>
    <mergeCell ref="D16:D17"/>
    <mergeCell ref="Y17:AA17"/>
    <mergeCell ref="AK17:AM17"/>
    <mergeCell ref="BI17:BK17"/>
    <mergeCell ref="CA11:CC11"/>
    <mergeCell ref="CM11:CO11"/>
    <mergeCell ref="B12:B13"/>
    <mergeCell ref="C12:C13"/>
    <mergeCell ref="D12:D13"/>
    <mergeCell ref="B14:B15"/>
    <mergeCell ref="C14:C15"/>
    <mergeCell ref="D14:D15"/>
    <mergeCell ref="B10:B11"/>
    <mergeCell ref="C10:C11"/>
    <mergeCell ref="D10:D11"/>
    <mergeCell ref="Y11:AA11"/>
    <mergeCell ref="AK11:AM11"/>
    <mergeCell ref="BO11:BQ11"/>
    <mergeCell ref="CA5:CC5"/>
    <mergeCell ref="CM5:CO5"/>
    <mergeCell ref="B6:B7"/>
    <mergeCell ref="C6:C7"/>
    <mergeCell ref="D6:D7"/>
    <mergeCell ref="B8:B9"/>
    <mergeCell ref="C8:C9"/>
    <mergeCell ref="D8:D9"/>
    <mergeCell ref="B4:B5"/>
    <mergeCell ref="C4:C5"/>
    <mergeCell ref="D4:D5"/>
    <mergeCell ref="Y5:AA5"/>
    <mergeCell ref="AK5:AM5"/>
    <mergeCell ref="BO5:BQ5"/>
  </mergeCells>
  <pageMargins left="0.31496062992125984" right="0.27559055118110237" top="0.15748031496062992" bottom="0.15748031496062992" header="0.15748031496062992" footer="0.15748031496062992"/>
  <pageSetup paperSize="9" scale="28" orientation="landscape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G387"/>
  <sheetViews>
    <sheetView showGridLines="0" view="pageBreakPreview" zoomScale="30" zoomScaleNormal="30" zoomScaleSheetLayoutView="30" workbookViewId="0">
      <selection activeCell="C8" sqref="C8:C9"/>
    </sheetView>
  </sheetViews>
  <sheetFormatPr defaultRowHeight="30"/>
  <cols>
    <col min="1" max="1" width="22.5703125" style="49" customWidth="1"/>
    <col min="2" max="2" width="6.140625" style="417" customWidth="1"/>
    <col min="3" max="3" width="8.85546875" style="147" customWidth="1"/>
    <col min="4" max="4" width="7.5703125" style="148" customWidth="1"/>
    <col min="5" max="5" width="81.42578125" style="105" customWidth="1"/>
    <col min="6" max="6" width="118.7109375" style="101" customWidth="1"/>
    <col min="7" max="7" width="91.42578125" style="101" customWidth="1"/>
    <col min="8" max="8" width="64.28515625" style="101" customWidth="1"/>
    <col min="9" max="9" width="61.85546875" style="101" customWidth="1"/>
    <col min="10" max="10" width="56.42578125" style="101" customWidth="1"/>
    <col min="11" max="11" width="40.7109375" style="49" customWidth="1"/>
    <col min="12" max="12" width="24.140625" style="51" customWidth="1"/>
    <col min="13" max="13" width="24.140625" style="49" customWidth="1"/>
    <col min="14" max="14" width="4.7109375" style="52" customWidth="1"/>
    <col min="15" max="15" width="6.140625" style="49" customWidth="1"/>
    <col min="16" max="16" width="9.140625" style="52"/>
    <col min="17" max="17" width="9.140625" style="49"/>
    <col min="18" max="18" width="10.42578125" style="58" bestFit="1" customWidth="1"/>
    <col min="19" max="19" width="27.140625" style="58" customWidth="1"/>
    <col min="20" max="20" width="14.5703125" style="169" bestFit="1" customWidth="1"/>
    <col min="21" max="21" width="38.85546875" style="170" customWidth="1"/>
    <col min="22" max="22" width="55.7109375" style="169" customWidth="1"/>
    <col min="23" max="26" width="9.140625" style="55"/>
    <col min="27" max="27" width="9.140625" style="56"/>
    <col min="28" max="28" width="9.140625" style="58"/>
    <col min="29" max="29" width="6.28515625" style="57" customWidth="1"/>
    <col min="30" max="30" width="10.42578125" style="58" bestFit="1" customWidth="1"/>
    <col min="31" max="31" width="27.140625" style="58" customWidth="1"/>
    <col min="32" max="38" width="9.140625" style="55"/>
    <col min="39" max="39" width="9.140625" style="56"/>
    <col min="40" max="40" width="9.140625" style="58" customWidth="1"/>
    <col min="41" max="41" width="5" style="53" customWidth="1"/>
    <col min="42" max="42" width="10.42578125" style="50" bestFit="1" customWidth="1"/>
    <col min="43" max="43" width="27.140625" style="50" customWidth="1"/>
    <col min="44" max="50" width="9.140625" style="53"/>
    <col min="51" max="51" width="9.140625" style="54"/>
    <col min="52" max="52" width="9.140625" style="50"/>
    <col min="53" max="53" width="9.140625" style="53"/>
    <col min="54" max="54" width="10.42578125" style="50" bestFit="1" customWidth="1"/>
    <col min="55" max="55" width="27.140625" style="50" customWidth="1"/>
    <col min="56" max="62" width="9.140625" style="53"/>
    <col min="63" max="63" width="9.140625" style="54"/>
    <col min="64" max="65" width="9.140625" style="50"/>
    <col min="66" max="68" width="9.140625" style="55"/>
    <col min="69" max="69" width="9.140625" style="56"/>
    <col min="70" max="70" width="9.140625" style="55"/>
    <col min="71" max="71" width="9.140625" style="57"/>
    <col min="72" max="72" width="10.42578125" style="58" bestFit="1" customWidth="1"/>
    <col min="73" max="73" width="11.140625" style="58" customWidth="1"/>
    <col min="74" max="80" width="9.140625" style="55"/>
    <col min="81" max="81" width="9.140625" style="56"/>
    <col min="82" max="82" width="9.140625" style="55"/>
    <col min="83" max="83" width="9.140625" style="57"/>
    <col min="84" max="84" width="12.7109375" style="58" customWidth="1"/>
    <col min="85" max="85" width="27.140625" style="58" customWidth="1"/>
    <col min="86" max="92" width="9.140625" style="55"/>
    <col min="93" max="93" width="9.140625" style="56"/>
    <col min="94" max="94" width="9.140625" style="55"/>
    <col min="95" max="103" width="9.140625" style="49"/>
    <col min="104" max="111" width="9.140625" style="59"/>
    <col min="112" max="16384" width="9.140625" style="49"/>
  </cols>
  <sheetData>
    <row r="1" spans="1:111" ht="39.950000000000003" customHeight="1">
      <c r="E1" s="101"/>
      <c r="F1" s="102"/>
      <c r="G1" s="103" t="s">
        <v>507</v>
      </c>
      <c r="H1" s="357">
        <f>MAX('startova listina'!C113:C136)</f>
        <v>12</v>
      </c>
      <c r="I1" s="103" t="s">
        <v>116</v>
      </c>
      <c r="J1" s="104" t="s">
        <v>499</v>
      </c>
    </row>
    <row r="2" spans="1:111" ht="39.950000000000003" customHeight="1">
      <c r="G2" s="106"/>
      <c r="H2" s="225"/>
    </row>
    <row r="3" spans="1:111" ht="71.25" customHeight="1" thickBot="1">
      <c r="B3" s="417" t="s">
        <v>117</v>
      </c>
      <c r="E3" s="295" t="str">
        <f>CONCATENATE("Majstrovstvá Slovenska jednotlivcov, kategória ",'startova listina'!D3,", ročník ",'startova listina'!I3,", štvorhra dievčat")</f>
        <v>Majstrovstvá Slovenska jednotlivcov, kategória Mladší žiaci, ročník 2014, štvorhra dievčat</v>
      </c>
      <c r="H3" s="105"/>
      <c r="I3" s="105"/>
      <c r="J3" s="105"/>
      <c r="K3" s="52"/>
      <c r="L3" s="60"/>
      <c r="M3" s="52"/>
      <c r="CZ3" s="59">
        <v>16</v>
      </c>
      <c r="DA3" s="59">
        <v>15</v>
      </c>
      <c r="DB3" s="59">
        <v>14</v>
      </c>
      <c r="DC3" s="59">
        <v>13</v>
      </c>
      <c r="DD3" s="59">
        <v>12</v>
      </c>
      <c r="DE3" s="59">
        <v>11</v>
      </c>
      <c r="DF3" s="59">
        <v>10</v>
      </c>
      <c r="DG3" s="59">
        <v>9</v>
      </c>
    </row>
    <row r="4" spans="1:111" ht="60" customHeight="1" thickBot="1">
      <c r="A4" s="49" t="s">
        <v>266</v>
      </c>
      <c r="B4" s="539"/>
      <c r="C4" s="544">
        <v>1</v>
      </c>
      <c r="D4" s="545">
        <v>1</v>
      </c>
      <c r="E4" s="107" t="str">
        <f>IF(ISERROR(IF($J$1="n","",IF($J$1="a",VLOOKUP(C4,vylosovanie!$D$113:$O$137,11,0),"")))=TRUE,"",IF($J$1="n","",IF($J$1="a",VLOOKUP(C4,vylosovanie!$D$113:$O$137,11,0),"")))</f>
        <v>LABOŠOVÁ / ŠINKAROVÁ</v>
      </c>
      <c r="F4" s="108" t="str">
        <f>IF(ISERROR(IF($J$1="n","",IF($J$1="a",VLOOKUP(C4,vylosovanie!$D$113:$O$137,12,0),"")))=TRUE,"",IF($J$1="n","",IF($J$1="a",VLOOKUP(C4,vylosovanie!$D$113:$O$137,12,0),"")))</f>
        <v>ŠSTK JUNIOR ČAŇA / ŠKST MICHALOVCE</v>
      </c>
      <c r="G4" s="109"/>
      <c r="H4" s="106"/>
      <c r="I4" s="110"/>
      <c r="J4" s="110"/>
      <c r="K4" s="57"/>
      <c r="L4" s="60" t="str">
        <f>A4</f>
        <v>D4P11</v>
      </c>
      <c r="M4" s="52" t="str">
        <f>E4</f>
        <v>LABOŠOVÁ / ŠINKAROVÁ</v>
      </c>
      <c r="T4" s="169">
        <f>IF(OR(ISERROR(V4)=TRUE,V4=0,V4="x",V4="",V4=" "),0,1)</f>
        <v>1</v>
      </c>
      <c r="U4" s="170">
        <v>1</v>
      </c>
      <c r="V4" s="169" t="str">
        <f>J19</f>
        <v>PEKOVÁ / DIVINSKÁ</v>
      </c>
      <c r="BS4" s="55" t="s">
        <v>118</v>
      </c>
      <c r="BT4" s="58" t="s">
        <v>119</v>
      </c>
      <c r="CW4" s="61">
        <v>9</v>
      </c>
      <c r="CX4" s="62">
        <v>14</v>
      </c>
      <c r="CY4" s="49">
        <v>1</v>
      </c>
      <c r="CZ4" s="59" t="s">
        <v>120</v>
      </c>
      <c r="DA4" s="59" t="s">
        <v>120</v>
      </c>
      <c r="DB4" s="59" t="s">
        <v>120</v>
      </c>
      <c r="DC4" s="59" t="s">
        <v>120</v>
      </c>
      <c r="DD4" s="59" t="s">
        <v>120</v>
      </c>
      <c r="DE4" s="59" t="s">
        <v>120</v>
      </c>
      <c r="DF4" s="59" t="s">
        <v>120</v>
      </c>
      <c r="DG4" s="59" t="s">
        <v>120</v>
      </c>
    </row>
    <row r="5" spans="1:111" ht="60" customHeight="1" thickBot="1">
      <c r="A5" s="49" t="s">
        <v>267</v>
      </c>
      <c r="B5" s="539"/>
      <c r="C5" s="544"/>
      <c r="D5" s="545"/>
      <c r="E5" s="141"/>
      <c r="F5" s="112" t="s">
        <v>268</v>
      </c>
      <c r="G5" s="113" t="str">
        <f>IF(C4="x",E6,IF(C6="x",E4,VLOOKUP($A4,'zapisy k stolom'!$Y$5:$AC$3073,3,0)))</f>
        <v>LABOŠOVÁ / ŠINKAROVÁ</v>
      </c>
      <c r="H5" s="109"/>
      <c r="I5" s="110"/>
      <c r="J5" s="110"/>
      <c r="K5" s="57"/>
      <c r="L5" s="60" t="str">
        <f t="shared" ref="L5:L34" si="0">A5</f>
        <v>D4P91</v>
      </c>
      <c r="M5" s="52" t="str">
        <f>G5</f>
        <v>LABOŠOVÁ / ŠINKAROVÁ</v>
      </c>
      <c r="R5" s="63"/>
      <c r="S5" s="64"/>
      <c r="T5" s="169">
        <f>IF(OR(ISERROR(V5)=TRUE,V5=0,V5="x",V5="",V5=" "),T4,T4+1)</f>
        <v>2</v>
      </c>
      <c r="U5" s="170">
        <v>2</v>
      </c>
      <c r="V5" s="169" t="str">
        <f>IF(J19=I11,I27,I11)</f>
        <v>LABOŠOVÁ / ŠINKAROVÁ</v>
      </c>
      <c r="Y5" s="531"/>
      <c r="Z5" s="531"/>
      <c r="AA5" s="531"/>
      <c r="AD5" s="63"/>
      <c r="AE5" s="64"/>
      <c r="AK5" s="531"/>
      <c r="AL5" s="531"/>
      <c r="AM5" s="531"/>
      <c r="BO5" s="531"/>
      <c r="BP5" s="531"/>
      <c r="BQ5" s="531"/>
      <c r="BR5" s="49">
        <f>IF(BS5="x",0,1)</f>
        <v>0</v>
      </c>
      <c r="BS5" s="57" t="str">
        <f>IF(G5=E4,E6,E4)</f>
        <v>X</v>
      </c>
      <c r="BT5" s="63"/>
      <c r="BU5" s="64"/>
      <c r="CA5" s="531"/>
      <c r="CB5" s="531"/>
      <c r="CC5" s="531"/>
      <c r="CF5" s="63"/>
      <c r="CG5" s="64"/>
      <c r="CM5" s="531"/>
      <c r="CN5" s="531"/>
      <c r="CO5" s="531"/>
      <c r="CW5" s="65">
        <v>10</v>
      </c>
      <c r="CX5" s="66">
        <v>11</v>
      </c>
      <c r="CY5" s="49">
        <v>2</v>
      </c>
      <c r="CZ5" s="59" t="s">
        <v>120</v>
      </c>
      <c r="DA5" s="59" t="s">
        <v>121</v>
      </c>
      <c r="DB5" s="59" t="s">
        <v>121</v>
      </c>
      <c r="DC5" s="59" t="s">
        <v>121</v>
      </c>
      <c r="DD5" s="59" t="s">
        <v>121</v>
      </c>
      <c r="DE5" s="59" t="s">
        <v>121</v>
      </c>
      <c r="DF5" s="59" t="s">
        <v>121</v>
      </c>
      <c r="DG5" s="59" t="s">
        <v>121</v>
      </c>
    </row>
    <row r="6" spans="1:111" ht="60" customHeight="1" thickBot="1">
      <c r="A6" s="49" t="s">
        <v>269</v>
      </c>
      <c r="B6" s="536">
        <v>3</v>
      </c>
      <c r="C6" s="544" t="str">
        <f>IF(HLOOKUP($H$1,$CZ$3:$DG$19,D6+1,0)="x","X",D6)</f>
        <v>X</v>
      </c>
      <c r="D6" s="545">
        <v>2</v>
      </c>
      <c r="E6" s="108" t="str">
        <f>IF(ISERROR(IF($J$1="n","",IF($J$1="a",VLOOKUP(C6,vylosovanie!$D$113:$O$137,11,0),"")))=TRUE,"",IF($J$1="n","",IF($J$1="a",VLOOKUP(C6,vylosovanie!$D$113:$O$137,11,0),"")))</f>
        <v>X</v>
      </c>
      <c r="F6" s="114" t="str">
        <f>IF(ISERROR(IF($J$1="n","",IF($J$1="a",VLOOKUP(C6,vylosovanie!$D$113:$O$137,12,0),"")))=TRUE,"",IF($J$1="n","",IF($J$1="a",VLOOKUP(C6,vylosovanie!$D$113:$O$137,12,0),"")))</f>
        <v>X</v>
      </c>
      <c r="G6" s="115" t="str">
        <f>IF(G5="","",IF(OR(C4="x",C6="x"),"",VLOOKUP($A4,'zapisy k stolom'!$Y$5:$AC$3073,4,0)))</f>
        <v/>
      </c>
      <c r="H6" s="116"/>
      <c r="I6" s="110"/>
      <c r="J6" s="110"/>
      <c r="K6" s="57"/>
      <c r="L6" s="60" t="str">
        <f t="shared" si="0"/>
        <v>D4P12</v>
      </c>
      <c r="M6" s="52" t="str">
        <f>E6</f>
        <v>X</v>
      </c>
      <c r="R6" s="70"/>
      <c r="T6" s="169">
        <f t="shared" ref="T6:T19" si="1">IF(OR(ISERROR(V6)=TRUE,V6=0,V6="x",V6="",V6=" "),T5,T5+1)</f>
        <v>3</v>
      </c>
      <c r="U6" s="170">
        <v>3</v>
      </c>
      <c r="V6" s="169" t="str">
        <f>IF(I11=H7,H15,H7)</f>
        <v>ŠVAJDLENKOVÁ / HURBANOVÁ</v>
      </c>
      <c r="W6" s="56"/>
      <c r="X6" s="56"/>
      <c r="Y6" s="56"/>
      <c r="AD6" s="70"/>
      <c r="AG6" s="56"/>
      <c r="AH6" s="56"/>
      <c r="AI6" s="56"/>
      <c r="AJ6" s="56"/>
      <c r="AK6" s="56"/>
      <c r="BN6" s="56"/>
      <c r="BO6" s="56"/>
      <c r="BR6" s="49"/>
      <c r="BT6" s="70"/>
      <c r="BW6" s="56"/>
      <c r="BX6" s="56"/>
      <c r="BY6" s="56"/>
      <c r="BZ6" s="56"/>
      <c r="CA6" s="56"/>
      <c r="CF6" s="70"/>
      <c r="CI6" s="56"/>
      <c r="CJ6" s="56"/>
      <c r="CK6" s="56"/>
      <c r="CL6" s="56"/>
      <c r="CM6" s="56"/>
      <c r="CW6" s="65">
        <v>11</v>
      </c>
      <c r="CX6" s="66">
        <v>6</v>
      </c>
      <c r="CY6" s="49">
        <v>3</v>
      </c>
      <c r="CZ6" s="59" t="s">
        <v>120</v>
      </c>
      <c r="DA6" s="59" t="s">
        <v>120</v>
      </c>
      <c r="DB6" s="59" t="s">
        <v>120</v>
      </c>
      <c r="DC6" s="59" t="s">
        <v>120</v>
      </c>
      <c r="DD6" s="59" t="s">
        <v>120</v>
      </c>
      <c r="DE6" s="59" t="s">
        <v>120</v>
      </c>
      <c r="DF6" s="59" t="s">
        <v>120</v>
      </c>
      <c r="DG6" s="59" t="s">
        <v>120</v>
      </c>
    </row>
    <row r="7" spans="1:111" ht="60" customHeight="1" thickBot="1">
      <c r="A7" s="49" t="s">
        <v>270</v>
      </c>
      <c r="B7" s="536"/>
      <c r="C7" s="544"/>
      <c r="D7" s="545"/>
      <c r="G7" s="117" t="s">
        <v>272</v>
      </c>
      <c r="H7" s="118" t="str">
        <f>VLOOKUP($A5,'zapisy k stolom'!$Y$5:$AC$3073,3,0)</f>
        <v>LABOŠOVÁ / ŠINKAROVÁ</v>
      </c>
      <c r="I7" s="109"/>
      <c r="J7" s="109"/>
      <c r="K7" s="57"/>
      <c r="L7" s="60" t="str">
        <f t="shared" si="0"/>
        <v>D4P131</v>
      </c>
      <c r="M7" s="52" t="str">
        <f>H7</f>
        <v>LABOŠOVÁ / ŠINKAROVÁ</v>
      </c>
      <c r="R7" s="63"/>
      <c r="T7" s="169">
        <f t="shared" si="1"/>
        <v>4</v>
      </c>
      <c r="U7" s="170">
        <v>4</v>
      </c>
      <c r="V7" s="169" t="str">
        <f>IF(I27=H23,H31,H23)</f>
        <v>DZELINSKA / TEREZKOVÁ</v>
      </c>
      <c r="W7" s="56"/>
      <c r="X7" s="56"/>
      <c r="Y7" s="56"/>
      <c r="AD7" s="63"/>
      <c r="AG7" s="56"/>
      <c r="AH7" s="56"/>
      <c r="AI7" s="56"/>
      <c r="AJ7" s="56"/>
      <c r="AK7" s="56"/>
      <c r="BN7" s="56"/>
      <c r="BO7" s="56"/>
      <c r="BR7" s="49"/>
      <c r="BT7" s="72" t="str">
        <f>IF(H7=G5,G9,G5)</f>
        <v>PISARČIKOVÁ / HUDÁKOVÁ</v>
      </c>
      <c r="BW7" s="56"/>
      <c r="BX7" s="56"/>
      <c r="BY7" s="56"/>
      <c r="BZ7" s="56"/>
      <c r="CA7" s="56"/>
      <c r="CF7" s="63"/>
      <c r="CI7" s="56"/>
      <c r="CJ7" s="56"/>
      <c r="CK7" s="56"/>
      <c r="CL7" s="56"/>
      <c r="CM7" s="56"/>
      <c r="CW7" s="65">
        <v>12</v>
      </c>
      <c r="CX7" s="66">
        <v>7</v>
      </c>
      <c r="CY7" s="49">
        <v>4</v>
      </c>
      <c r="CZ7" s="59" t="s">
        <v>120</v>
      </c>
      <c r="DA7" s="59" t="s">
        <v>120</v>
      </c>
      <c r="DB7" s="59" t="s">
        <v>120</v>
      </c>
      <c r="DC7" s="59" t="s">
        <v>120</v>
      </c>
      <c r="DD7" s="59" t="s">
        <v>120</v>
      </c>
      <c r="DE7" s="59" t="s">
        <v>120</v>
      </c>
      <c r="DF7" s="59" t="s">
        <v>120</v>
      </c>
      <c r="DG7" s="59" t="s">
        <v>120</v>
      </c>
    </row>
    <row r="8" spans="1:111" ht="60" customHeight="1" thickBot="1">
      <c r="A8" s="49" t="s">
        <v>271</v>
      </c>
      <c r="B8" s="536">
        <v>3</v>
      </c>
      <c r="C8" s="544">
        <f t="shared" ref="C8" si="2">IF(HLOOKUP($H$1,$CZ$3:$DG$19,D8+1,0)="x","X",D8)</f>
        <v>3</v>
      </c>
      <c r="D8" s="545">
        <v>3</v>
      </c>
      <c r="E8" s="107" t="str">
        <f>IF(ISERROR(IF($J$1="n","",IF($J$1="a",VLOOKUP(C8,vylosovanie!$D$113:$O$137,11,0),"")))=TRUE,"",IF($J$1="n","",IF($J$1="a",VLOOKUP(C8,vylosovanie!$D$113:$O$137,11,0),"")))</f>
        <v>PISARČIKOVÁ / HUDÁKOVÁ</v>
      </c>
      <c r="F8" s="108" t="str">
        <f>IF(ISERROR(IF($J$1="n","",IF($J$1="a",VLOOKUP(C8,vylosovanie!$D$113:$O$137,12,0),"")))=TRUE,"",IF($J$1="n","",IF($J$1="a",VLOOKUP(C8,vylosovanie!$D$113:$O$137,12,0),"")))</f>
        <v>ŠKST RUŽOMBEROK / ZŠ VYŠNÝ ŽIPOV</v>
      </c>
      <c r="G8" s="119" t="str">
        <f>VLOOKUP($A5,'zapisy k stolom'!$Y$5:$AC$3073,5,0)</f>
        <v>Tbl.: 5   H: 17.00   D: So</v>
      </c>
      <c r="H8" s="120" t="str">
        <f>IF(H7="","",VLOOKUP($A5,'zapisy k stolom'!$Y$5:$AC$3073,4,0))</f>
        <v xml:space="preserve">3:0 ( 4,7,4,,,, ) </v>
      </c>
      <c r="I8" s="116"/>
      <c r="J8" s="110"/>
      <c r="K8" s="57"/>
      <c r="L8" s="60" t="str">
        <f t="shared" si="0"/>
        <v>D4P21</v>
      </c>
      <c r="M8" s="52" t="str">
        <f>E8</f>
        <v>PISARČIKOVÁ / HUDÁKOVÁ</v>
      </c>
      <c r="R8" s="63"/>
      <c r="T8" s="169">
        <f t="shared" si="1"/>
        <v>5</v>
      </c>
      <c r="U8" s="170">
        <v>5</v>
      </c>
      <c r="V8" s="169" t="str">
        <f>IF(H7=G5,G9,G5)</f>
        <v>PISARČIKOVÁ / HUDÁKOVÁ</v>
      </c>
      <c r="W8" s="56"/>
      <c r="X8" s="56"/>
      <c r="Y8" s="56"/>
      <c r="AD8" s="63"/>
      <c r="AG8" s="56"/>
      <c r="AH8" s="56"/>
      <c r="AI8" s="56"/>
      <c r="AJ8" s="56"/>
      <c r="AK8" s="56"/>
      <c r="BN8" s="56"/>
      <c r="BO8" s="56"/>
      <c r="BR8" s="49"/>
      <c r="BT8" s="63"/>
      <c r="BW8" s="56"/>
      <c r="BX8" s="56"/>
      <c r="BY8" s="56"/>
      <c r="BZ8" s="56"/>
      <c r="CA8" s="56"/>
      <c r="CF8" s="63"/>
      <c r="CI8" s="56"/>
      <c r="CJ8" s="56"/>
      <c r="CK8" s="56"/>
      <c r="CL8" s="56"/>
      <c r="CM8" s="56"/>
      <c r="CW8" s="65">
        <v>13</v>
      </c>
      <c r="CX8" s="66">
        <v>10</v>
      </c>
      <c r="CY8" s="49">
        <v>5</v>
      </c>
      <c r="CZ8" s="59" t="s">
        <v>120</v>
      </c>
      <c r="DA8" s="59" t="s">
        <v>120</v>
      </c>
      <c r="DB8" s="59" t="s">
        <v>120</v>
      </c>
      <c r="DC8" s="59" t="s">
        <v>120</v>
      </c>
      <c r="DD8" s="59" t="s">
        <v>120</v>
      </c>
      <c r="DE8" s="59" t="s">
        <v>120</v>
      </c>
      <c r="DF8" s="59" t="s">
        <v>120</v>
      </c>
      <c r="DG8" s="59" t="s">
        <v>120</v>
      </c>
    </row>
    <row r="9" spans="1:111" ht="60" customHeight="1" thickBot="1">
      <c r="A9" s="49" t="s">
        <v>273</v>
      </c>
      <c r="B9" s="536"/>
      <c r="C9" s="544"/>
      <c r="D9" s="545"/>
      <c r="E9" s="111" t="str">
        <f>VLOOKUP($A8,'zapisy k stolom'!$Y$5:$AC$3073,5,0)</f>
        <v>Tbl.: 1   H: 13.30   D: So</v>
      </c>
      <c r="F9" s="117" t="s">
        <v>274</v>
      </c>
      <c r="G9" s="121" t="str">
        <f>IF(C8="x",E10,IF(C10="x",E8,VLOOKUP($A8,'zapisy k stolom'!$Y$5:$AC$3073,3,0)))</f>
        <v>PISARČIKOVÁ / HUDÁKOVÁ</v>
      </c>
      <c r="H9" s="116"/>
      <c r="I9" s="116"/>
      <c r="J9" s="110"/>
      <c r="K9" s="57"/>
      <c r="L9" s="60" t="str">
        <f t="shared" si="0"/>
        <v>D4P92</v>
      </c>
      <c r="M9" s="52" t="str">
        <f>G9</f>
        <v>PISARČIKOVÁ / HUDÁKOVÁ</v>
      </c>
      <c r="R9" s="63"/>
      <c r="T9" s="169">
        <f t="shared" si="1"/>
        <v>6</v>
      </c>
      <c r="U9" s="170">
        <v>6</v>
      </c>
      <c r="V9" s="169" t="str">
        <f>IF(H15=G13,G17,G13)</f>
        <v>MAJERSKÁ / GAŠPARÍKOVÁ</v>
      </c>
      <c r="W9" s="56"/>
      <c r="X9" s="56"/>
      <c r="Y9" s="56"/>
      <c r="AD9" s="63"/>
      <c r="AG9" s="56"/>
      <c r="AH9" s="56"/>
      <c r="AI9" s="56"/>
      <c r="AJ9" s="56"/>
      <c r="AK9" s="56"/>
      <c r="BN9" s="56"/>
      <c r="BO9" s="56"/>
      <c r="BR9" s="49">
        <f>IF(BS9="x",0,MAX(BR$5:$BR8)+1)</f>
        <v>1</v>
      </c>
      <c r="BS9" s="57" t="str">
        <f>IF(G9=E8,E10,E8)</f>
        <v>CHYLOVÁ / PAPCUNOVÁ</v>
      </c>
      <c r="BT9" s="63"/>
      <c r="BW9" s="56"/>
      <c r="BX9" s="56"/>
      <c r="BY9" s="56"/>
      <c r="BZ9" s="56"/>
      <c r="CA9" s="56"/>
      <c r="CF9" s="63"/>
      <c r="CI9" s="56"/>
      <c r="CJ9" s="56"/>
      <c r="CK9" s="56"/>
      <c r="CL9" s="56"/>
      <c r="CM9" s="56"/>
      <c r="CW9" s="65">
        <v>14</v>
      </c>
      <c r="CX9" s="66">
        <v>15</v>
      </c>
      <c r="CY9" s="49">
        <v>6</v>
      </c>
      <c r="CZ9" s="59" t="s">
        <v>120</v>
      </c>
      <c r="DA9" s="59" t="s">
        <v>120</v>
      </c>
      <c r="DB9" s="59" t="s">
        <v>120</v>
      </c>
      <c r="DC9" s="59" t="s">
        <v>120</v>
      </c>
      <c r="DD9" s="59" t="s">
        <v>120</v>
      </c>
      <c r="DE9" s="59" t="s">
        <v>121</v>
      </c>
      <c r="DF9" s="59" t="s">
        <v>121</v>
      </c>
      <c r="DG9" s="59" t="s">
        <v>121</v>
      </c>
    </row>
    <row r="10" spans="1:111" ht="60" customHeight="1" thickBot="1">
      <c r="A10" s="49" t="s">
        <v>275</v>
      </c>
      <c r="B10" s="541">
        <v>2</v>
      </c>
      <c r="C10" s="544">
        <f t="shared" ref="C10" si="3">IF(HLOOKUP($H$1,$CZ$3:$DG$19,D10+1,0)="x","X",D10)</f>
        <v>4</v>
      </c>
      <c r="D10" s="545">
        <v>4</v>
      </c>
      <c r="E10" s="108" t="str">
        <f>IF(ISERROR(IF($J$1="n","",IF($J$1="a",VLOOKUP(C10,vylosovanie!$D$113:$O$137,11,0),"")))=TRUE,"",IF($J$1="n","",IF($J$1="a",VLOOKUP(C10,vylosovanie!$D$113:$O$137,11,0),"")))</f>
        <v>CHYLOVÁ / PAPCUNOVÁ</v>
      </c>
      <c r="F10" s="114" t="str">
        <f>IF(ISERROR(IF($J$1="n","",IF($J$1="a",VLOOKUP(C10,vylosovanie!$D$113:$O$137,12,0),"")))=TRUE,"",IF($J$1="n","",IF($J$1="a",VLOOKUP(C10,vylosovanie!$D$113:$O$137,12,0),"")))</f>
        <v>MSTK TVRDOŠÍN / ŠSTK JUNIOR ČAŇA</v>
      </c>
      <c r="G10" s="144" t="str">
        <f>IF(G9="","",IF(OR(C8="x",C10="x"),"",VLOOKUP($A8,'zapisy k stolom'!$Y$5:$AC$3073,4,0)))</f>
        <v xml:space="preserve">3:1 ( 7,-11,10,10,,, ) </v>
      </c>
      <c r="H10" s="110"/>
      <c r="I10" s="116"/>
      <c r="J10" s="110"/>
      <c r="K10" s="57"/>
      <c r="L10" s="60" t="str">
        <f t="shared" si="0"/>
        <v>D4P22</v>
      </c>
      <c r="M10" s="52" t="str">
        <f>E10</f>
        <v>CHYLOVÁ / PAPCUNOVÁ</v>
      </c>
      <c r="T10" s="169">
        <f t="shared" si="1"/>
        <v>7</v>
      </c>
      <c r="U10" s="170">
        <v>7</v>
      </c>
      <c r="V10" s="169" t="str">
        <f>IF(H23=G21,G25,G21)</f>
        <v>VIŠŇOVSKÁ / LEDAJOVÁ</v>
      </c>
      <c r="BR10" s="49"/>
      <c r="CW10" s="65">
        <v>15</v>
      </c>
      <c r="CX10" s="66">
        <v>2</v>
      </c>
      <c r="CY10" s="49">
        <v>7</v>
      </c>
      <c r="CZ10" s="59" t="s">
        <v>120</v>
      </c>
      <c r="DA10" s="59" t="s">
        <v>120</v>
      </c>
      <c r="DB10" s="59" t="s">
        <v>120</v>
      </c>
      <c r="DC10" s="59" t="s">
        <v>120</v>
      </c>
      <c r="DD10" s="59" t="s">
        <v>121</v>
      </c>
      <c r="DE10" s="59" t="s">
        <v>121</v>
      </c>
      <c r="DF10" s="59" t="s">
        <v>121</v>
      </c>
      <c r="DG10" s="59" t="s">
        <v>121</v>
      </c>
    </row>
    <row r="11" spans="1:111" ht="60" customHeight="1" thickBot="1">
      <c r="A11" s="49" t="s">
        <v>276</v>
      </c>
      <c r="B11" s="541"/>
      <c r="C11" s="544"/>
      <c r="D11" s="545"/>
      <c r="G11" s="106"/>
      <c r="H11" s="122" t="s">
        <v>278</v>
      </c>
      <c r="I11" s="121" t="str">
        <f>VLOOKUP($A7,'zapisy k stolom'!$Y$5:$AC$3073,3,0)</f>
        <v>LABOŠOVÁ / ŠINKAROVÁ</v>
      </c>
      <c r="J11" s="109"/>
      <c r="K11" s="71"/>
      <c r="L11" s="60" t="str">
        <f t="shared" si="0"/>
        <v>D4P151</v>
      </c>
      <c r="M11" s="52" t="str">
        <f>I11</f>
        <v>LABOŠOVÁ / ŠINKAROVÁ</v>
      </c>
      <c r="R11" s="63"/>
      <c r="S11" s="64"/>
      <c r="T11" s="169">
        <f t="shared" si="1"/>
        <v>8</v>
      </c>
      <c r="U11" s="170">
        <v>8</v>
      </c>
      <c r="V11" s="169" t="str">
        <f>IF(H31=G29,G33,G29)</f>
        <v>SLOBODNÍKOVÁ / LACENOVÁ</v>
      </c>
      <c r="Y11" s="531"/>
      <c r="Z11" s="531"/>
      <c r="AA11" s="531"/>
      <c r="AD11" s="63"/>
      <c r="AE11" s="64"/>
      <c r="AK11" s="531"/>
      <c r="AL11" s="531"/>
      <c r="AM11" s="531"/>
      <c r="BO11" s="531"/>
      <c r="BP11" s="531"/>
      <c r="BQ11" s="531"/>
      <c r="BR11" s="49"/>
      <c r="BT11" s="63"/>
      <c r="BU11" s="64"/>
      <c r="CA11" s="531"/>
      <c r="CB11" s="531"/>
      <c r="CC11" s="531"/>
      <c r="CF11" s="73"/>
      <c r="CG11" s="64"/>
      <c r="CM11" s="531"/>
      <c r="CN11" s="531"/>
      <c r="CO11" s="531"/>
      <c r="CW11" s="74">
        <v>16</v>
      </c>
      <c r="CX11" s="75">
        <v>0</v>
      </c>
      <c r="CY11" s="49">
        <v>8</v>
      </c>
      <c r="CZ11" s="59" t="s">
        <v>120</v>
      </c>
      <c r="DA11" s="59" t="s">
        <v>120</v>
      </c>
      <c r="DB11" s="59" t="s">
        <v>120</v>
      </c>
      <c r="DC11" s="59" t="s">
        <v>120</v>
      </c>
      <c r="DD11" s="59" t="s">
        <v>120</v>
      </c>
      <c r="DE11" s="59" t="s">
        <v>120</v>
      </c>
      <c r="DF11" s="59" t="s">
        <v>120</v>
      </c>
      <c r="DG11" s="59" t="s">
        <v>120</v>
      </c>
    </row>
    <row r="12" spans="1:111" ht="60" customHeight="1" thickBot="1">
      <c r="A12" s="49" t="s">
        <v>277</v>
      </c>
      <c r="B12" s="541">
        <v>2</v>
      </c>
      <c r="C12" s="544">
        <f t="shared" ref="C12" si="4">IF(HLOOKUP($H$1,$CZ$3:$DG$19,D12+1,0)="x","X",D12)</f>
        <v>5</v>
      </c>
      <c r="D12" s="545">
        <v>5</v>
      </c>
      <c r="E12" s="107" t="str">
        <f>IF(ISERROR(IF($J$1="n","",IF($J$1="a",VLOOKUP(C12,vylosovanie!$D$113:$O$137,11,0),"")))=TRUE,"",IF($J$1="n","",IF($J$1="a",VLOOKUP(C12,vylosovanie!$D$113:$O$137,11,0),"")))</f>
        <v>ŠVAJDLENKOVÁ / HURBANOVÁ</v>
      </c>
      <c r="F12" s="108" t="str">
        <f>IF(ISERROR(IF($J$1="n","",IF($J$1="a",VLOOKUP(C12,vylosovanie!$D$113:$O$137,12,0),"")))=TRUE,"",IF($J$1="n","",IF($J$1="a",VLOOKUP(C12,vylosovanie!$D$113:$O$137,12,0),"")))</f>
        <v>MSK MALACKY / MSK MALACKY</v>
      </c>
      <c r="G12" s="109"/>
      <c r="H12" s="124" t="str">
        <f>VLOOKUP($A7,'zapisy k stolom'!$Y$5:$AC$3073,5,0)</f>
        <v>Tbl.: 3   H: 9.30   D: Ne</v>
      </c>
      <c r="I12" s="145" t="str">
        <f>IF(I11="","",VLOOKUP($A7,'zapisy k stolom'!$Y$5:$AC$3073,4,0))</f>
        <v xml:space="preserve">3:0 ( 6,4,3,,,, ) </v>
      </c>
      <c r="J12" s="116"/>
      <c r="K12" s="57"/>
      <c r="L12" s="60" t="str">
        <f t="shared" si="0"/>
        <v>D4P31</v>
      </c>
      <c r="M12" s="52" t="str">
        <f>E12</f>
        <v>ŠVAJDLENKOVÁ / HURBANOVÁ</v>
      </c>
      <c r="R12" s="63"/>
      <c r="T12" s="169">
        <f t="shared" si="1"/>
        <v>8</v>
      </c>
      <c r="U12" s="170">
        <v>9</v>
      </c>
      <c r="V12" s="169" t="str">
        <f>IF(G5=E4,E6,E4)</f>
        <v>X</v>
      </c>
      <c r="W12" s="56"/>
      <c r="X12" s="56"/>
      <c r="Y12" s="56"/>
      <c r="AD12" s="63"/>
      <c r="AG12" s="56"/>
      <c r="AH12" s="56"/>
      <c r="AI12" s="56"/>
      <c r="AJ12" s="56"/>
      <c r="AK12" s="56"/>
      <c r="BN12" s="56"/>
      <c r="BO12" s="56"/>
      <c r="BR12" s="49"/>
      <c r="BT12" s="63"/>
      <c r="BW12" s="56"/>
      <c r="BX12" s="56"/>
      <c r="BY12" s="56"/>
      <c r="BZ12" s="56"/>
      <c r="CA12" s="56"/>
      <c r="CF12" s="63"/>
      <c r="CI12" s="56"/>
      <c r="CJ12" s="56"/>
      <c r="CK12" s="56"/>
      <c r="CL12" s="56"/>
      <c r="CM12" s="56"/>
      <c r="CY12" s="49">
        <v>9</v>
      </c>
      <c r="CZ12" s="59" t="s">
        <v>120</v>
      </c>
      <c r="DA12" s="59" t="s">
        <v>120</v>
      </c>
      <c r="DB12" s="59" t="s">
        <v>120</v>
      </c>
      <c r="DC12" s="59" t="s">
        <v>120</v>
      </c>
      <c r="DD12" s="59" t="s">
        <v>120</v>
      </c>
      <c r="DE12" s="59" t="s">
        <v>120</v>
      </c>
      <c r="DF12" s="59" t="s">
        <v>120</v>
      </c>
      <c r="DG12" s="59" t="s">
        <v>120</v>
      </c>
    </row>
    <row r="13" spans="1:111" ht="60" customHeight="1" thickBot="1">
      <c r="A13" s="49" t="s">
        <v>279</v>
      </c>
      <c r="B13" s="541"/>
      <c r="C13" s="544"/>
      <c r="D13" s="545"/>
      <c r="E13" s="111" t="str">
        <f>VLOOKUP($A12,'zapisy k stolom'!$Y$5:$AC$3073,5,0)</f>
        <v>Tbl.: 3   H: 13.30   D: So</v>
      </c>
      <c r="F13" s="112" t="s">
        <v>280</v>
      </c>
      <c r="G13" s="113" t="str">
        <f>IF(C12="x",E14,IF(C14="x",E12,VLOOKUP($A12,'zapisy k stolom'!$Y$5:$AC$3073,3,0)))</f>
        <v>ŠVAJDLENKOVÁ / HURBANOVÁ</v>
      </c>
      <c r="H13" s="109"/>
      <c r="I13" s="116"/>
      <c r="J13" s="116"/>
      <c r="K13" s="57"/>
      <c r="L13" s="60" t="str">
        <f t="shared" si="0"/>
        <v>D4P101</v>
      </c>
      <c r="M13" s="52" t="str">
        <f>G13</f>
        <v>ŠVAJDLENKOVÁ / HURBANOVÁ</v>
      </c>
      <c r="R13" s="63"/>
      <c r="T13" s="169">
        <f t="shared" si="1"/>
        <v>9</v>
      </c>
      <c r="U13" s="170">
        <v>10</v>
      </c>
      <c r="V13" s="169" t="str">
        <f>IF(G9=E8,E10,E8)</f>
        <v>CHYLOVÁ / PAPCUNOVÁ</v>
      </c>
      <c r="W13" s="56"/>
      <c r="X13" s="56"/>
      <c r="Y13" s="56"/>
      <c r="AD13" s="63"/>
      <c r="AG13" s="56"/>
      <c r="AH13" s="56"/>
      <c r="AI13" s="56"/>
      <c r="AJ13" s="56"/>
      <c r="AK13" s="56"/>
      <c r="BN13" s="56"/>
      <c r="BO13" s="56"/>
      <c r="BR13" s="49">
        <f>IF(BS13="x",0,MAX(BR$5:$BR12)+1)</f>
        <v>2</v>
      </c>
      <c r="BS13" s="57" t="str">
        <f>IF(G13=E12,E14,E12)</f>
        <v>SISKOVÁ / GORFOLOVÁ</v>
      </c>
      <c r="BT13" s="63"/>
      <c r="BW13" s="56"/>
      <c r="BX13" s="56"/>
      <c r="BY13" s="56"/>
      <c r="BZ13" s="56"/>
      <c r="CA13" s="56"/>
      <c r="CF13" s="63"/>
      <c r="CI13" s="56"/>
      <c r="CJ13" s="56"/>
      <c r="CK13" s="56"/>
      <c r="CL13" s="56"/>
      <c r="CM13" s="56"/>
      <c r="CY13" s="49">
        <v>10</v>
      </c>
      <c r="CZ13" s="59" t="s">
        <v>120</v>
      </c>
      <c r="DA13" s="59" t="s">
        <v>120</v>
      </c>
      <c r="DB13" s="59" t="s">
        <v>120</v>
      </c>
      <c r="DC13" s="59" t="s">
        <v>121</v>
      </c>
      <c r="DD13" s="59" t="s">
        <v>121</v>
      </c>
      <c r="DE13" s="59" t="s">
        <v>121</v>
      </c>
      <c r="DF13" s="59" t="s">
        <v>121</v>
      </c>
      <c r="DG13" s="59" t="s">
        <v>121</v>
      </c>
    </row>
    <row r="14" spans="1:111" ht="60" customHeight="1" thickBot="1">
      <c r="A14" s="49" t="s">
        <v>281</v>
      </c>
      <c r="B14" s="536">
        <v>3</v>
      </c>
      <c r="C14" s="544">
        <f t="shared" ref="C14" si="5">IF(HLOOKUP($H$1,$CZ$3:$DG$19,D14+1,0)="x","X",D14)</f>
        <v>6</v>
      </c>
      <c r="D14" s="545">
        <v>6</v>
      </c>
      <c r="E14" s="108" t="str">
        <f>IF(ISERROR(IF($J$1="n","",IF($J$1="a",VLOOKUP(C14,vylosovanie!$D$113:$O$137,11,0),"")))=TRUE,"",IF($J$1="n","",IF($J$1="a",VLOOKUP(C14,vylosovanie!$D$113:$O$137,11,0),"")))</f>
        <v>SISKOVÁ / GORFOLOVÁ</v>
      </c>
      <c r="F14" s="114" t="str">
        <f>IF(ISERROR(IF($J$1="n","",IF($J$1="a",VLOOKUP(C14,vylosovanie!$D$113:$O$137,12,0),"")))=TRUE,"",IF($J$1="n","",IF($J$1="a",VLOOKUP(C14,vylosovanie!$D$113:$O$137,12,0),"")))</f>
        <v>TTC MAJCICHOV / GASTO METALFIN GALANTA</v>
      </c>
      <c r="G14" s="115" t="str">
        <f>IF(G13="","",IF(OR(C12="x",C14="x"),"",VLOOKUP($A12,'zapisy k stolom'!$Y$5:$AC$3073,4,0)))</f>
        <v xml:space="preserve">3:0 ( 8,4,6,,,, ) </v>
      </c>
      <c r="H14" s="116"/>
      <c r="I14" s="116"/>
      <c r="J14" s="116"/>
      <c r="K14" s="57"/>
      <c r="L14" s="60" t="str">
        <f t="shared" si="0"/>
        <v>D4P32</v>
      </c>
      <c r="M14" s="52" t="str">
        <f>E14</f>
        <v>SISKOVÁ / GORFOLOVÁ</v>
      </c>
      <c r="R14" s="63"/>
      <c r="T14" s="169">
        <f t="shared" si="1"/>
        <v>10</v>
      </c>
      <c r="U14" s="170">
        <v>11</v>
      </c>
      <c r="V14" s="169" t="str">
        <f>IF(G13=E12,E14,E12)</f>
        <v>SISKOVÁ / GORFOLOVÁ</v>
      </c>
      <c r="W14" s="56"/>
      <c r="X14" s="56"/>
      <c r="Y14" s="56"/>
      <c r="AD14" s="63"/>
      <c r="AG14" s="56"/>
      <c r="AH14" s="56"/>
      <c r="AI14" s="56"/>
      <c r="AJ14" s="56"/>
      <c r="AK14" s="56"/>
      <c r="BN14" s="56"/>
      <c r="BO14" s="56"/>
      <c r="BR14" s="49"/>
      <c r="BT14" s="63"/>
      <c r="BW14" s="56"/>
      <c r="BX14" s="56"/>
      <c r="BY14" s="56"/>
      <c r="BZ14" s="56"/>
      <c r="CA14" s="56"/>
      <c r="CF14" s="63"/>
      <c r="CI14" s="56"/>
      <c r="CJ14" s="56"/>
      <c r="CK14" s="56"/>
      <c r="CL14" s="56"/>
      <c r="CM14" s="56"/>
      <c r="CY14" s="49">
        <v>11</v>
      </c>
      <c r="CZ14" s="59" t="s">
        <v>120</v>
      </c>
      <c r="DA14" s="59" t="s">
        <v>120</v>
      </c>
      <c r="DB14" s="59" t="s">
        <v>120</v>
      </c>
      <c r="DC14" s="59" t="s">
        <v>120</v>
      </c>
      <c r="DD14" s="59" t="s">
        <v>120</v>
      </c>
      <c r="DE14" s="59" t="s">
        <v>120</v>
      </c>
      <c r="DF14" s="59" t="s">
        <v>121</v>
      </c>
      <c r="DG14" s="59" t="s">
        <v>121</v>
      </c>
    </row>
    <row r="15" spans="1:111" ht="60" customHeight="1" thickBot="1">
      <c r="A15" s="49" t="s">
        <v>282</v>
      </c>
      <c r="B15" s="536"/>
      <c r="C15" s="544"/>
      <c r="D15" s="545"/>
      <c r="G15" s="122" t="s">
        <v>284</v>
      </c>
      <c r="H15" s="121" t="str">
        <f>VLOOKUP($A13,'zapisy k stolom'!$Y$5:$AC$3073,3,0)</f>
        <v>ŠVAJDLENKOVÁ / HURBANOVÁ</v>
      </c>
      <c r="I15" s="116"/>
      <c r="J15" s="116"/>
      <c r="K15" s="57"/>
      <c r="L15" s="60" t="str">
        <f t="shared" si="0"/>
        <v>D4P132</v>
      </c>
      <c r="M15" s="52" t="str">
        <f>H15</f>
        <v>ŠVAJDLENKOVÁ / HURBANOVÁ</v>
      </c>
      <c r="R15" s="63"/>
      <c r="T15" s="169">
        <f t="shared" si="1"/>
        <v>10</v>
      </c>
      <c r="U15" s="170">
        <v>12</v>
      </c>
      <c r="V15" s="169" t="str">
        <f>IF(G17=E16,E18,E16)</f>
        <v>X</v>
      </c>
      <c r="W15" s="56"/>
      <c r="X15" s="56"/>
      <c r="Y15" s="56"/>
      <c r="AD15" s="63"/>
      <c r="AG15" s="56"/>
      <c r="AH15" s="56"/>
      <c r="AI15" s="56"/>
      <c r="AJ15" s="56"/>
      <c r="AK15" s="56"/>
      <c r="BN15" s="56"/>
      <c r="BO15" s="56"/>
      <c r="BR15" s="49"/>
      <c r="BT15" s="72" t="str">
        <f>IF(H15=G13,G17,G13)</f>
        <v>MAJERSKÁ / GAŠPARÍKOVÁ</v>
      </c>
      <c r="BW15" s="56"/>
      <c r="BX15" s="56"/>
      <c r="BY15" s="56"/>
      <c r="BZ15" s="56"/>
      <c r="CA15" s="56"/>
      <c r="CF15" s="63"/>
      <c r="CI15" s="56"/>
      <c r="CJ15" s="56"/>
      <c r="CK15" s="56"/>
      <c r="CL15" s="56"/>
      <c r="CM15" s="56"/>
      <c r="CY15" s="49">
        <v>12</v>
      </c>
      <c r="CZ15" s="59" t="s">
        <v>120</v>
      </c>
      <c r="DA15" s="59" t="s">
        <v>120</v>
      </c>
      <c r="DB15" s="59" t="s">
        <v>120</v>
      </c>
      <c r="DC15" s="59" t="s">
        <v>120</v>
      </c>
      <c r="DD15" s="59" t="s">
        <v>120</v>
      </c>
      <c r="DE15" s="59" t="s">
        <v>120</v>
      </c>
      <c r="DF15" s="59" t="s">
        <v>120</v>
      </c>
      <c r="DG15" s="59" t="s">
        <v>120</v>
      </c>
    </row>
    <row r="16" spans="1:111" ht="60" customHeight="1" thickBot="1">
      <c r="A16" s="49" t="s">
        <v>283</v>
      </c>
      <c r="B16" s="536">
        <v>3</v>
      </c>
      <c r="C16" s="544" t="str">
        <f t="shared" ref="C16" si="6">IF(HLOOKUP($H$1,$CZ$3:$DG$19,D16+1,0)="x","X",D16)</f>
        <v>X</v>
      </c>
      <c r="D16" s="545">
        <v>7</v>
      </c>
      <c r="E16" s="107" t="str">
        <f>IF(ISERROR(IF($J$1="n","",IF($J$1="a",VLOOKUP(C16,vylosovanie!$D$113:$O$137,11,0),"")))=TRUE,"",IF($J$1="n","",IF($J$1="a",VLOOKUP(C16,vylosovanie!$D$113:$O$137,11,0),"")))</f>
        <v>X</v>
      </c>
      <c r="F16" s="108" t="str">
        <f>IF(ISERROR(IF($J$1="n","",IF($J$1="a",VLOOKUP(C16,vylosovanie!$D$113:$O$137,12,0),"")))=TRUE,"",IF($J$1="n","",IF($J$1="a",VLOOKUP(C16,vylosovanie!$D$113:$O$137,12,0),"")))</f>
        <v>X</v>
      </c>
      <c r="G16" s="124" t="str">
        <f>VLOOKUP($A13,'zapisy k stolom'!$Y$5:$AC$3073,5,0)</f>
        <v>Tbl.: 6   H: 17.00   D: So</v>
      </c>
      <c r="H16" s="144" t="str">
        <f>IF(H15="","",VLOOKUP($A13,'zapisy k stolom'!$Y$5:$AC$3073,4,0))</f>
        <v xml:space="preserve">3:1 ( -8,8,6,9,,, ) </v>
      </c>
      <c r="I16" s="110"/>
      <c r="J16" s="116"/>
      <c r="K16" s="57"/>
      <c r="L16" s="60" t="str">
        <f t="shared" si="0"/>
        <v>D4P41</v>
      </c>
      <c r="M16" s="52" t="str">
        <f>E16</f>
        <v>X</v>
      </c>
      <c r="P16" s="52" t="str">
        <f>IF(('[1]S 4'!$Y78=4),'[1]S 4'!$E78,IF(('[1]S 4'!$Y79=4),'[1]S 4'!$E79,IF(('[1]S 4'!$Y80=4),'[1]S 4'!$E80,IF(('[1]S 4'!$Y81=4),'[1]S 4'!$E81," "))))</f>
        <v xml:space="preserve"> </v>
      </c>
      <c r="T16" s="169">
        <f t="shared" si="1"/>
        <v>10</v>
      </c>
      <c r="U16" s="170">
        <v>13</v>
      </c>
      <c r="V16" s="169" t="str">
        <f>IF(G21=E20,E22,E20)</f>
        <v>X</v>
      </c>
      <c r="BR16" s="49"/>
      <c r="CY16" s="49">
        <v>13</v>
      </c>
      <c r="CZ16" s="59" t="s">
        <v>120</v>
      </c>
      <c r="DA16" s="59" t="s">
        <v>120</v>
      </c>
      <c r="DB16" s="59" t="s">
        <v>120</v>
      </c>
      <c r="DC16" s="59" t="s">
        <v>120</v>
      </c>
      <c r="DD16" s="59" t="s">
        <v>120</v>
      </c>
      <c r="DE16" s="59" t="s">
        <v>120</v>
      </c>
      <c r="DF16" s="59" t="s">
        <v>120</v>
      </c>
      <c r="DG16" s="59" t="s">
        <v>120</v>
      </c>
    </row>
    <row r="17" spans="1:111" ht="60" customHeight="1" thickBot="1">
      <c r="A17" s="49" t="s">
        <v>285</v>
      </c>
      <c r="B17" s="536"/>
      <c r="C17" s="544"/>
      <c r="D17" s="545"/>
      <c r="E17" s="151"/>
      <c r="F17" s="117" t="s">
        <v>286</v>
      </c>
      <c r="G17" s="121" t="str">
        <f>IF(C16="x",E18,IF(C18="x",E16,VLOOKUP($A16,'zapisy k stolom'!$Y$5:$AC$3073,3,0)))</f>
        <v>MAJERSKÁ / GAŠPARÍKOVÁ</v>
      </c>
      <c r="H17" s="116"/>
      <c r="I17" s="110"/>
      <c r="J17" s="116"/>
      <c r="K17" s="57"/>
      <c r="L17" s="60" t="str">
        <f t="shared" si="0"/>
        <v>D4P102</v>
      </c>
      <c r="M17" s="52" t="str">
        <f>G17</f>
        <v>MAJERSKÁ / GAŠPARÍKOVÁ</v>
      </c>
      <c r="P17" s="52" t="str">
        <f>IF(('[1]S 4'!$Y84=4),'[1]S 4'!$E84,IF(('[1]S 4'!$Y85=4),'[1]S 4'!$E85,IF(('[1]S 4'!$Y86=4),'[1]S 4'!$E86,IF(('[1]S 4'!$Y87=4),'[1]S 4'!$E87," "))))</f>
        <v xml:space="preserve"> </v>
      </c>
      <c r="R17" s="63"/>
      <c r="S17" s="64"/>
      <c r="T17" s="169">
        <f t="shared" si="1"/>
        <v>11</v>
      </c>
      <c r="U17" s="170">
        <v>14</v>
      </c>
      <c r="V17" s="169" t="str">
        <f>IF(G25=E24,E26,E24)</f>
        <v>MIKULOVÁ / DZUROVÁ</v>
      </c>
      <c r="Y17" s="531"/>
      <c r="Z17" s="531"/>
      <c r="AA17" s="531"/>
      <c r="AD17" s="63"/>
      <c r="AE17" s="64"/>
      <c r="AK17" s="531"/>
      <c r="AL17" s="531"/>
      <c r="AM17" s="531"/>
      <c r="BB17" s="76"/>
      <c r="BC17" s="77"/>
      <c r="BD17" s="68"/>
      <c r="BE17" s="68"/>
      <c r="BF17" s="68"/>
      <c r="BG17" s="68"/>
      <c r="BH17" s="68"/>
      <c r="BI17" s="533"/>
      <c r="BJ17" s="533"/>
      <c r="BK17" s="533"/>
      <c r="BL17" s="67"/>
      <c r="BO17" s="531"/>
      <c r="BP17" s="531"/>
      <c r="BQ17" s="531"/>
      <c r="BR17" s="49">
        <f>IF(BS17="x",0,MAX(BR$5:$BR16)+1)</f>
        <v>0</v>
      </c>
      <c r="BS17" s="57" t="str">
        <f>IF(G17=E16,E18,E16)</f>
        <v>X</v>
      </c>
      <c r="BT17" s="63"/>
      <c r="BU17" s="64"/>
      <c r="CA17" s="531"/>
      <c r="CB17" s="531"/>
      <c r="CC17" s="531"/>
      <c r="CF17" s="63"/>
      <c r="CG17" s="64"/>
      <c r="CM17" s="531"/>
      <c r="CN17" s="531"/>
      <c r="CO17" s="531"/>
      <c r="CY17" s="49">
        <v>14</v>
      </c>
      <c r="CZ17" s="59" t="s">
        <v>120</v>
      </c>
      <c r="DA17" s="59" t="s">
        <v>120</v>
      </c>
      <c r="DB17" s="59" t="s">
        <v>120</v>
      </c>
      <c r="DC17" s="59" t="s">
        <v>120</v>
      </c>
      <c r="DD17" s="59" t="s">
        <v>120</v>
      </c>
      <c r="DE17" s="59" t="s">
        <v>120</v>
      </c>
      <c r="DF17" s="59" t="s">
        <v>120</v>
      </c>
      <c r="DG17" s="59" t="s">
        <v>121</v>
      </c>
    </row>
    <row r="18" spans="1:111" ht="60" customHeight="1" thickBot="1">
      <c r="A18" s="49" t="s">
        <v>287</v>
      </c>
      <c r="B18" s="542">
        <v>1</v>
      </c>
      <c r="C18" s="544">
        <f>IF(HLOOKUP($H$1,$CZ$3:$DG$19,D18+1,0)="x","X",D18)</f>
        <v>8</v>
      </c>
      <c r="D18" s="545">
        <v>8</v>
      </c>
      <c r="E18" s="108" t="str">
        <f>IF(ISERROR(IF($J$1="n","",IF($J$1="a",VLOOKUP(C18,vylosovanie!$D$113:$O$137,11,0),"")))=TRUE,"",IF($J$1="n","",IF($J$1="a",VLOOKUP(C18,vylosovanie!$D$113:$O$137,11,0),"")))</f>
        <v>MAJERSKÁ / GAŠPARÍKOVÁ</v>
      </c>
      <c r="F18" s="114" t="str">
        <f>IF(ISERROR(IF($J$1="n","",IF($J$1="a",VLOOKUP(C18,vylosovanie!$D$113:$O$137,12,0),"")))=TRUE,"",IF($J$1="n","",IF($J$1="a",VLOOKUP(C18,vylosovanie!$D$113:$O$137,12,0),"")))</f>
        <v>STO VALALIKY / TTC MAJCICHOV</v>
      </c>
      <c r="G18" s="119" t="str">
        <f>IF(G17="","",IF(OR(C16="x",C18="x"),"",VLOOKUP($A16,'zapisy k stolom'!$Y$5:$AC$3073,4,0)))</f>
        <v/>
      </c>
      <c r="H18" s="110"/>
      <c r="I18" s="110"/>
      <c r="J18" s="116"/>
      <c r="K18" s="57"/>
      <c r="L18" s="60" t="str">
        <f t="shared" si="0"/>
        <v>D4P42</v>
      </c>
      <c r="M18" s="52" t="str">
        <f>E18</f>
        <v>MAJERSKÁ / GAŠPARÍKOVÁ</v>
      </c>
      <c r="P18" s="52" t="str">
        <f>IF(('[1]S 4'!$Y90=4),'[1]S 4'!$E90,IF(('[1]S 4'!$Y91=4),'[1]S 4'!$E91,IF(('[1]S 4'!$Y92=4),'[1]S 4'!$E92,IF(('[1]S 4'!$Y93=4),'[1]S 4'!$E93," "))))</f>
        <v xml:space="preserve"> </v>
      </c>
      <c r="R18" s="63"/>
      <c r="T18" s="169">
        <f t="shared" si="1"/>
        <v>12</v>
      </c>
      <c r="U18" s="170">
        <v>15</v>
      </c>
      <c r="V18" s="169" t="str">
        <f>IF(G29=E28,E30,E28)</f>
        <v>GALČÍKOVÁ / VOJTASOVA</v>
      </c>
      <c r="W18" s="56"/>
      <c r="X18" s="56"/>
      <c r="Y18" s="56"/>
      <c r="AD18" s="63"/>
      <c r="AG18" s="56"/>
      <c r="AH18" s="56"/>
      <c r="AI18" s="56"/>
      <c r="AJ18" s="56"/>
      <c r="AK18" s="56"/>
      <c r="BB18" s="76"/>
      <c r="BC18" s="67"/>
      <c r="BD18" s="68"/>
      <c r="BE18" s="69"/>
      <c r="BF18" s="69"/>
      <c r="BG18" s="69"/>
      <c r="BH18" s="69"/>
      <c r="BI18" s="69"/>
      <c r="BJ18" s="68"/>
      <c r="BK18" s="69"/>
      <c r="BL18" s="67"/>
      <c r="BN18" s="56"/>
      <c r="BO18" s="56"/>
      <c r="BR18" s="49"/>
      <c r="BT18" s="63"/>
      <c r="BW18" s="56"/>
      <c r="BX18" s="56"/>
      <c r="BY18" s="56"/>
      <c r="BZ18" s="56"/>
      <c r="CA18" s="56"/>
      <c r="CF18" s="63"/>
      <c r="CI18" s="56"/>
      <c r="CJ18" s="56"/>
      <c r="CK18" s="56"/>
      <c r="CL18" s="56"/>
      <c r="CM18" s="56"/>
      <c r="CY18" s="49">
        <v>15</v>
      </c>
      <c r="CZ18" s="59" t="s">
        <v>120</v>
      </c>
      <c r="DA18" s="59" t="s">
        <v>120</v>
      </c>
      <c r="DB18" s="59" t="s">
        <v>121</v>
      </c>
      <c r="DC18" s="59" t="s">
        <v>121</v>
      </c>
      <c r="DD18" s="59" t="s">
        <v>121</v>
      </c>
      <c r="DE18" s="59" t="s">
        <v>121</v>
      </c>
      <c r="DF18" s="59" t="s">
        <v>121</v>
      </c>
      <c r="DG18" s="59" t="s">
        <v>121</v>
      </c>
    </row>
    <row r="19" spans="1:111" ht="60" customHeight="1" thickBot="1">
      <c r="B19" s="542"/>
      <c r="C19" s="544"/>
      <c r="D19" s="545"/>
      <c r="G19" s="106"/>
      <c r="H19" s="110"/>
      <c r="I19" s="122" t="s">
        <v>289</v>
      </c>
      <c r="J19" s="121" t="str">
        <f>VLOOKUP($A11,'zapisy k stolom'!$Y$5:$AC$3073,3,0)</f>
        <v>PEKOVÁ / DIVINSKÁ</v>
      </c>
      <c r="K19" s="82"/>
      <c r="L19" s="60"/>
      <c r="M19" s="52"/>
      <c r="P19" s="52" t="str">
        <f>IF(('[1]S 4'!$Y96=4),'[1]S 4'!$E96,IF(('[1]S 4'!$Y97=4),'[1]S 4'!$E97,IF(('[1]S 4'!$Y98=4),'[1]S 4'!$E98,IF(('[1]S 4'!$Y99=4),'[1]S 4'!$E99," "))))</f>
        <v xml:space="preserve"> </v>
      </c>
      <c r="R19" s="63"/>
      <c r="T19" s="169">
        <f t="shared" si="1"/>
        <v>12</v>
      </c>
      <c r="U19" s="170">
        <v>16</v>
      </c>
      <c r="V19" s="169" t="str">
        <f>IF(G33=E32,E34,E32)</f>
        <v>X</v>
      </c>
      <c r="W19" s="56"/>
      <c r="X19" s="56"/>
      <c r="Y19" s="56"/>
      <c r="AD19" s="63"/>
      <c r="AG19" s="56"/>
      <c r="AH19" s="56"/>
      <c r="AI19" s="56"/>
      <c r="AJ19" s="56"/>
      <c r="AK19" s="56"/>
      <c r="BB19" s="76"/>
      <c r="BC19" s="67"/>
      <c r="BD19" s="68"/>
      <c r="BE19" s="69"/>
      <c r="BF19" s="69"/>
      <c r="BG19" s="69"/>
      <c r="BH19" s="69"/>
      <c r="BI19" s="69"/>
      <c r="BJ19" s="68"/>
      <c r="BK19" s="69"/>
      <c r="BL19" s="67"/>
      <c r="BN19" s="56"/>
      <c r="BO19" s="56"/>
      <c r="BR19" s="49"/>
      <c r="BT19" s="63"/>
      <c r="BW19" s="56"/>
      <c r="BX19" s="56"/>
      <c r="BY19" s="56"/>
      <c r="BZ19" s="56"/>
      <c r="CA19" s="56"/>
      <c r="CF19" s="63"/>
      <c r="CI19" s="56"/>
      <c r="CJ19" s="56"/>
      <c r="CK19" s="56"/>
      <c r="CL19" s="56"/>
      <c r="CM19" s="56"/>
      <c r="CY19" s="49">
        <v>16</v>
      </c>
      <c r="CZ19" s="59" t="s">
        <v>120</v>
      </c>
      <c r="DA19" s="59" t="s">
        <v>120</v>
      </c>
      <c r="DB19" s="59" t="s">
        <v>120</v>
      </c>
      <c r="DC19" s="59" t="s">
        <v>120</v>
      </c>
      <c r="DD19" s="59" t="s">
        <v>120</v>
      </c>
      <c r="DE19" s="59" t="s">
        <v>120</v>
      </c>
      <c r="DF19" s="59" t="s">
        <v>120</v>
      </c>
      <c r="DG19" s="59" t="s">
        <v>120</v>
      </c>
    </row>
    <row r="20" spans="1:111" ht="60" customHeight="1" thickBot="1">
      <c r="A20" s="49" t="s">
        <v>288</v>
      </c>
      <c r="B20" s="542">
        <v>1</v>
      </c>
      <c r="C20" s="544">
        <f t="shared" ref="C20" si="7">IF(HLOOKUP($H$1,$CZ$3:$DG$19,D20+1,0)="x","X",D20)</f>
        <v>9</v>
      </c>
      <c r="D20" s="545">
        <v>9</v>
      </c>
      <c r="E20" s="107" t="str">
        <f>IF(ISERROR(IF($J$1="n","",IF($J$1="a",VLOOKUP(C20,vylosovanie!$D$113:$O$137,11,0),"")))=TRUE,"",IF($J$1="n","",IF($J$1="a",VLOOKUP(C20,vylosovanie!$D$113:$O$137,11,0),"")))</f>
        <v>DZELINSKA / TEREZKOVÁ</v>
      </c>
      <c r="F20" s="108" t="str">
        <f>IF(ISERROR(IF($J$1="n","",IF($J$1="a",VLOOKUP(C20,vylosovanie!$D$113:$O$137,12,0),"")))=TRUE,"",IF($J$1="n","",IF($J$1="a",VLOOKUP(C20,vylosovanie!$D$113:$O$137,12,0),"")))</f>
        <v>ŠKST MICHALOVCE/STK LOKOMOTÍVA KOŠICE / ŠKST MICHALOVCE</v>
      </c>
      <c r="G20" s="109"/>
      <c r="H20" s="110"/>
      <c r="I20" s="126" t="str">
        <f>VLOOKUP($A11,'zapisy k stolom'!$Y$5:$AC$3073,5,0)</f>
        <v>Tbl.: 2   H: 11.30   D: Ne</v>
      </c>
      <c r="J20" s="115" t="str">
        <f>IF(J19="","",VLOOKUP($A11,'zapisy k stolom'!$Y$5:$AC$3073,4,0))</f>
        <v xml:space="preserve">3:0 ( 7,12,9,,,, ) </v>
      </c>
      <c r="K20" s="82"/>
      <c r="L20" s="60" t="str">
        <f t="shared" si="0"/>
        <v>D4P51</v>
      </c>
      <c r="M20" s="52" t="str">
        <f>E20</f>
        <v>DZELINSKA / TEREZKOVÁ</v>
      </c>
      <c r="P20" s="52" t="str">
        <f>IF(('[1]S 4'!$Y102=4),'[1]S 4'!$E102,IF(('[1]S 4'!$Y103=4),'[1]S 4'!$E103,IF(('[1]S 4'!$Y104=4),'[1]S 4'!$E104,IF(('[1]S 4'!$Y105=4),'[1]S 4'!$E105," "))))</f>
        <v xml:space="preserve"> </v>
      </c>
      <c r="R20" s="63"/>
      <c r="S20" s="58" t="s">
        <v>385</v>
      </c>
      <c r="T20" s="169">
        <f>MAX(T4:T19)</f>
        <v>12</v>
      </c>
      <c r="V20" s="170"/>
      <c r="W20" s="56"/>
      <c r="X20" s="56"/>
      <c r="Y20" s="56"/>
      <c r="AD20" s="63"/>
      <c r="AG20" s="56"/>
      <c r="AH20" s="56"/>
      <c r="AI20" s="56"/>
      <c r="AJ20" s="56"/>
      <c r="AK20" s="56"/>
      <c r="BB20" s="76"/>
      <c r="BC20" s="67"/>
      <c r="BD20" s="68"/>
      <c r="BE20" s="69"/>
      <c r="BF20" s="69"/>
      <c r="BG20" s="69"/>
      <c r="BH20" s="69"/>
      <c r="BI20" s="69"/>
      <c r="BJ20" s="68"/>
      <c r="BK20" s="69"/>
      <c r="BL20" s="67"/>
      <c r="BN20" s="56"/>
      <c r="BO20" s="56"/>
      <c r="BR20" s="49"/>
      <c r="BT20" s="63"/>
      <c r="BW20" s="56"/>
      <c r="BX20" s="56"/>
      <c r="BY20" s="56"/>
      <c r="BZ20" s="56"/>
      <c r="CA20" s="56"/>
      <c r="CF20" s="63"/>
      <c r="CI20" s="56"/>
      <c r="CJ20" s="56"/>
      <c r="CK20" s="56"/>
      <c r="CL20" s="56"/>
      <c r="CM20" s="56"/>
    </row>
    <row r="21" spans="1:111" ht="60" customHeight="1" thickBot="1">
      <c r="A21" s="49" t="s">
        <v>290</v>
      </c>
      <c r="B21" s="542"/>
      <c r="C21" s="544"/>
      <c r="D21" s="545"/>
      <c r="E21" s="151"/>
      <c r="F21" s="112" t="s">
        <v>291</v>
      </c>
      <c r="G21" s="113" t="str">
        <f>IF(C20="x",E22,IF(C22="x",E20,VLOOKUP($A20,'zapisy k stolom'!$Y$5:$AC$3073,3,0)))</f>
        <v>DZELINSKA / TEREZKOVÁ</v>
      </c>
      <c r="H21" s="109"/>
      <c r="I21" s="110"/>
      <c r="J21" s="116"/>
      <c r="K21" s="57"/>
      <c r="L21" s="60" t="str">
        <f t="shared" si="0"/>
        <v>D4P111</v>
      </c>
      <c r="M21" s="52" t="str">
        <f>G21</f>
        <v>DZELINSKA / TEREZKOVÁ</v>
      </c>
      <c r="P21" s="52" t="str">
        <f>IF(('[1]S 4'!$Y108=4),'[1]S 4'!$E108,IF(('[1]S 4'!$Y109=4),'[1]S 4'!$E109,IF(('[1]S 4'!$Y110=4),'[1]S 4'!$E110,IF(('[1]S 4'!$Y111=4),'[1]S 4'!$E111," "))))</f>
        <v xml:space="preserve"> </v>
      </c>
      <c r="R21" s="63"/>
      <c r="V21" s="170"/>
      <c r="W21" s="56"/>
      <c r="X21" s="56"/>
      <c r="Y21" s="56"/>
      <c r="AD21" s="63"/>
      <c r="AG21" s="56"/>
      <c r="AH21" s="56"/>
      <c r="AI21" s="56"/>
      <c r="AJ21" s="56"/>
      <c r="AK21" s="56"/>
      <c r="BB21" s="76"/>
      <c r="BC21" s="67"/>
      <c r="BD21" s="68"/>
      <c r="BE21" s="69"/>
      <c r="BF21" s="69"/>
      <c r="BG21" s="69"/>
      <c r="BH21" s="69"/>
      <c r="BI21" s="69"/>
      <c r="BJ21" s="68"/>
      <c r="BK21" s="69"/>
      <c r="BL21" s="67"/>
      <c r="BN21" s="56"/>
      <c r="BO21" s="56"/>
      <c r="BR21" s="49">
        <f>IF(BS21="x",0,MAX(BR$5:$BR20)+1)</f>
        <v>0</v>
      </c>
      <c r="BS21" s="57" t="str">
        <f>IF(G21=E20,E22,E20)</f>
        <v>X</v>
      </c>
      <c r="BT21" s="63"/>
      <c r="BW21" s="56"/>
      <c r="BX21" s="56"/>
      <c r="BY21" s="56"/>
      <c r="BZ21" s="56"/>
      <c r="CA21" s="56"/>
      <c r="CF21" s="63"/>
      <c r="CI21" s="56"/>
      <c r="CJ21" s="56"/>
      <c r="CK21" s="56"/>
      <c r="CL21" s="56"/>
      <c r="CM21" s="56"/>
    </row>
    <row r="22" spans="1:111" ht="60" customHeight="1" thickBot="1">
      <c r="A22" s="49" t="s">
        <v>292</v>
      </c>
      <c r="B22" s="536">
        <v>3</v>
      </c>
      <c r="C22" s="544" t="str">
        <f t="shared" ref="C22" si="8">IF(HLOOKUP($H$1,$CZ$3:$DG$19,D22+1,0)="x","X",D22)</f>
        <v>X</v>
      </c>
      <c r="D22" s="545">
        <v>10</v>
      </c>
      <c r="E22" s="108" t="str">
        <f>IF(ISERROR(IF($J$1="n","",IF($J$1="a",VLOOKUP(C22,vylosovanie!$D$113:$O$137,11,0),"")))=TRUE,"",IF($J$1="n","",IF($J$1="a",VLOOKUP(C22,vylosovanie!$D$113:$O$137,11,0),"")))</f>
        <v>X</v>
      </c>
      <c r="F22" s="114" t="str">
        <f>IF(ISERROR(IF($J$1="n","",IF($J$1="a",VLOOKUP(C22,vylosovanie!$D$113:$O$137,12,0),"")))=TRUE,"",IF($J$1="n","",IF($J$1="a",VLOOKUP(C22,vylosovanie!$D$113:$O$137,12,0),"")))</f>
        <v>X</v>
      </c>
      <c r="G22" s="115" t="str">
        <f>IF(G21="","",IF(OR(C20="x",C22="x"),"",VLOOKUP($A20,'zapisy k stolom'!$Y$5:$AC$3073,4,0)))</f>
        <v/>
      </c>
      <c r="H22" s="116"/>
      <c r="I22" s="110"/>
      <c r="J22" s="116"/>
      <c r="K22" s="57"/>
      <c r="L22" s="60" t="str">
        <f t="shared" si="0"/>
        <v>D4P52</v>
      </c>
      <c r="M22" s="52" t="str">
        <f>E22</f>
        <v>X</v>
      </c>
      <c r="P22" s="52" t="str">
        <f>IF(('[1]S 4'!$Y114=4),'[1]S 4'!$E114,IF(('[1]S 4'!$Y115=4),'[1]S 4'!$E115,IF(('[1]S 4'!$Y116=4),'[1]S 4'!$E116,IF(('[1]S 4'!$Y117=4),'[1]S 4'!$E117," "))))</f>
        <v xml:space="preserve"> </v>
      </c>
      <c r="BB22" s="67"/>
      <c r="BC22" s="67"/>
      <c r="BD22" s="68"/>
      <c r="BE22" s="68"/>
      <c r="BF22" s="68"/>
      <c r="BG22" s="68"/>
      <c r="BH22" s="68"/>
      <c r="BI22" s="68"/>
      <c r="BJ22" s="68"/>
      <c r="BK22" s="69"/>
      <c r="BL22" s="67"/>
      <c r="BR22" s="49"/>
    </row>
    <row r="23" spans="1:111" ht="60" customHeight="1" thickBot="1">
      <c r="A23" s="49" t="s">
        <v>293</v>
      </c>
      <c r="B23" s="536"/>
      <c r="C23" s="544"/>
      <c r="D23" s="545"/>
      <c r="G23" s="117" t="s">
        <v>266</v>
      </c>
      <c r="H23" s="121" t="str">
        <f>VLOOKUP($A21,'zapisy k stolom'!$Y$5:$AC$3073,3,0)</f>
        <v>DZELINSKA / TEREZKOVÁ</v>
      </c>
      <c r="I23" s="109"/>
      <c r="J23" s="127"/>
      <c r="K23" s="57"/>
      <c r="L23" s="60" t="str">
        <f t="shared" si="0"/>
        <v>D4P141</v>
      </c>
      <c r="M23" s="52" t="str">
        <f>H23</f>
        <v>DZELINSKA / TEREZKOVÁ</v>
      </c>
      <c r="P23" s="52" t="str">
        <f>IF(('[1]S 4'!$Y120=4),'[1]S 4'!$E120,IF(('[1]S 4'!$Y121=4),'[1]S 4'!$E121,IF(('[1]S 4'!$Y122=4),'[1]S 4'!$E122,IF(('[1]S 4'!$Y123=4),'[1]S 4'!$E123," "))))</f>
        <v xml:space="preserve"> </v>
      </c>
      <c r="R23" s="63"/>
      <c r="S23" s="64"/>
      <c r="Y23" s="531"/>
      <c r="Z23" s="531"/>
      <c r="AA23" s="531"/>
      <c r="AD23" s="63"/>
      <c r="AE23" s="64"/>
      <c r="AK23" s="531"/>
      <c r="AL23" s="531"/>
      <c r="AM23" s="531"/>
      <c r="BB23" s="76"/>
      <c r="BC23" s="77"/>
      <c r="BD23" s="68"/>
      <c r="BE23" s="68"/>
      <c r="BF23" s="68"/>
      <c r="BG23" s="68"/>
      <c r="BH23" s="68"/>
      <c r="BI23" s="533"/>
      <c r="BJ23" s="533"/>
      <c r="BK23" s="533"/>
      <c r="BL23" s="67"/>
      <c r="BO23" s="531"/>
      <c r="BP23" s="531"/>
      <c r="BQ23" s="531"/>
      <c r="BR23" s="49"/>
      <c r="BT23" s="72" t="str">
        <f>IF(H23=G21,G25,G21)</f>
        <v>VIŠŇOVSKÁ / LEDAJOVÁ</v>
      </c>
      <c r="BU23" s="64"/>
      <c r="CA23" s="531"/>
      <c r="CB23" s="531"/>
      <c r="CC23" s="531"/>
      <c r="CF23" s="63"/>
      <c r="CG23" s="64"/>
      <c r="CM23" s="531"/>
      <c r="CN23" s="531"/>
      <c r="CO23" s="531"/>
    </row>
    <row r="24" spans="1:111" ht="60" customHeight="1" thickBot="1">
      <c r="A24" s="49" t="s">
        <v>294</v>
      </c>
      <c r="B24" s="536">
        <v>3</v>
      </c>
      <c r="C24" s="544">
        <f t="shared" ref="C24" si="9">IF(HLOOKUP($H$1,$CZ$3:$DG$19,D24+1,0)="x","X",D24)</f>
        <v>11</v>
      </c>
      <c r="D24" s="545">
        <v>11</v>
      </c>
      <c r="E24" s="107" t="str">
        <f>IF(ISERROR(IF($J$1="n","",IF($J$1="a",VLOOKUP(C24,vylosovanie!$D$113:$O$137,11,0),"")))=TRUE,"",IF($J$1="n","",IF($J$1="a",VLOOKUP(C24,vylosovanie!$D$113:$O$137,11,0),"")))</f>
        <v>VIŠŇOVSKÁ / LEDAJOVÁ</v>
      </c>
      <c r="F24" s="108" t="str">
        <f>IF(ISERROR(IF($J$1="n","",IF($J$1="a",VLOOKUP(C24,vylosovanie!$D$113:$O$137,12,0),"")))=TRUE,"",IF($J$1="n","",IF($J$1="a",VLOOKUP(C24,vylosovanie!$D$113:$O$137,12,0),"")))</f>
        <v>TTC INTERSPEAD N.ZÁMKY / STK OROL OTRHÁNKY</v>
      </c>
      <c r="G24" s="119" t="str">
        <f>VLOOKUP($A21,'zapisy k stolom'!$Y$5:$AC$3073,5,0)</f>
        <v>Tbl.: 7   H: 17.00   D: So</v>
      </c>
      <c r="H24" s="153" t="str">
        <f>IF(H23="","",VLOOKUP($A21,'zapisy k stolom'!$Y$5:$AC$3073,4,0))</f>
        <v xml:space="preserve">3:0 ( 6,9,4,,,, ) </v>
      </c>
      <c r="I24" s="116"/>
      <c r="J24" s="116"/>
      <c r="K24" s="57"/>
      <c r="L24" s="60" t="str">
        <f t="shared" si="0"/>
        <v>D4P61</v>
      </c>
      <c r="M24" s="52" t="str">
        <f>E24</f>
        <v>VIŠŇOVSKÁ / LEDAJOVÁ</v>
      </c>
      <c r="P24" s="52" t="str">
        <f>IF(('[1]S 4'!$Y126=4),'[1]S 4'!$E126,IF(('[1]S 4'!$Y127=4),'[1]S 4'!$E127,IF(('[1]S 4'!$Y128=4),'[1]S 4'!$E128,IF(('[1]S 4'!$Y129=4),'[1]S 4'!$E129," "))))</f>
        <v xml:space="preserve"> </v>
      </c>
      <c r="R24" s="63"/>
      <c r="V24" s="170"/>
      <c r="W24" s="56"/>
      <c r="X24" s="56"/>
      <c r="Y24" s="56"/>
      <c r="AD24" s="63"/>
      <c r="AG24" s="56"/>
      <c r="AH24" s="56"/>
      <c r="AI24" s="56"/>
      <c r="AJ24" s="56"/>
      <c r="AK24" s="56"/>
      <c r="BB24" s="76"/>
      <c r="BC24" s="67"/>
      <c r="BD24" s="68"/>
      <c r="BE24" s="69"/>
      <c r="BF24" s="69"/>
      <c r="BG24" s="69"/>
      <c r="BH24" s="69"/>
      <c r="BI24" s="69"/>
      <c r="BJ24" s="68"/>
      <c r="BK24" s="69"/>
      <c r="BL24" s="67"/>
      <c r="BN24" s="56"/>
      <c r="BO24" s="56"/>
      <c r="BR24" s="49"/>
      <c r="BT24" s="63"/>
      <c r="BW24" s="56"/>
      <c r="BX24" s="56"/>
      <c r="BY24" s="56"/>
      <c r="BZ24" s="56"/>
      <c r="CA24" s="56"/>
      <c r="CF24" s="63"/>
      <c r="CI24" s="56"/>
      <c r="CJ24" s="56"/>
      <c r="CK24" s="56"/>
      <c r="CL24" s="56"/>
      <c r="CM24" s="56"/>
    </row>
    <row r="25" spans="1:111" ht="60" customHeight="1" thickBot="1">
      <c r="A25" s="49" t="s">
        <v>295</v>
      </c>
      <c r="B25" s="536"/>
      <c r="C25" s="544"/>
      <c r="D25" s="545"/>
      <c r="E25" s="111" t="str">
        <f>VLOOKUP($A24,'zapisy k stolom'!$Y$5:$AC$3073,5,0)</f>
        <v>Tbl.: 6   H: 13.30   D: So</v>
      </c>
      <c r="F25" s="117" t="s">
        <v>296</v>
      </c>
      <c r="G25" s="121" t="str">
        <f>IF(C24="x",E26,IF(C26="x",E24,VLOOKUP($A24,'zapisy k stolom'!$Y$5:$AC$3073,3,0)))</f>
        <v>VIŠŇOVSKÁ / LEDAJOVÁ</v>
      </c>
      <c r="H25" s="116"/>
      <c r="I25" s="116"/>
      <c r="J25" s="116"/>
      <c r="K25" s="57"/>
      <c r="L25" s="60" t="str">
        <f t="shared" si="0"/>
        <v>D4P112</v>
      </c>
      <c r="M25" s="52" t="str">
        <f>G25</f>
        <v>VIŠŇOVSKÁ / LEDAJOVÁ</v>
      </c>
      <c r="P25" s="52" t="str">
        <f>IF(('[1]S 4'!$Y132=4),'[1]S 4'!$E132,IF(('[1]S 4'!$Y133=4),'[1]S 4'!$E133,IF(('[1]S 4'!$Y134=4),'[1]S 4'!$E134,IF(('[1]S 4'!$Y135=4),'[1]S 4'!$E135," "))))</f>
        <v xml:space="preserve"> </v>
      </c>
      <c r="R25" s="63"/>
      <c r="V25" s="170"/>
      <c r="W25" s="56"/>
      <c r="X25" s="56"/>
      <c r="Y25" s="56"/>
      <c r="AD25" s="63"/>
      <c r="AG25" s="56"/>
      <c r="AH25" s="56"/>
      <c r="AI25" s="56"/>
      <c r="AJ25" s="56"/>
      <c r="AK25" s="56"/>
      <c r="BB25" s="76"/>
      <c r="BC25" s="67"/>
      <c r="BD25" s="68"/>
      <c r="BE25" s="69"/>
      <c r="BF25" s="69"/>
      <c r="BG25" s="69"/>
      <c r="BH25" s="69"/>
      <c r="BI25" s="69"/>
      <c r="BJ25" s="68"/>
      <c r="BK25" s="69"/>
      <c r="BL25" s="67"/>
      <c r="BN25" s="56"/>
      <c r="BO25" s="56"/>
      <c r="BR25" s="49">
        <f>IF(BS25="x",0,MAX(BR$5:$BR24)+1)</f>
        <v>3</v>
      </c>
      <c r="BS25" s="57" t="str">
        <f>IF(G25=E24,E26,E24)</f>
        <v>MIKULOVÁ / DZUROVÁ</v>
      </c>
      <c r="BT25" s="63"/>
      <c r="BW25" s="56"/>
      <c r="BX25" s="56"/>
      <c r="BY25" s="56"/>
      <c r="BZ25" s="56"/>
      <c r="CA25" s="56"/>
      <c r="CF25" s="63"/>
      <c r="CI25" s="56"/>
      <c r="CJ25" s="56"/>
      <c r="CK25" s="56"/>
      <c r="CL25" s="56"/>
      <c r="CM25" s="56"/>
    </row>
    <row r="26" spans="1:111" ht="60" customHeight="1" thickBot="1">
      <c r="A26" s="49" t="s">
        <v>297</v>
      </c>
      <c r="B26" s="541">
        <v>2</v>
      </c>
      <c r="C26" s="544">
        <f>IF(HLOOKUP($H$1,$CZ$3:$DG$19,D26+1,0)="x","X",D26)</f>
        <v>12</v>
      </c>
      <c r="D26" s="545">
        <v>12</v>
      </c>
      <c r="E26" s="108" t="str">
        <f>IF(ISERROR(IF($J$1="n","",IF($J$1="a",VLOOKUP(C26,vylosovanie!$D$113:$O$137,11,0),"")))=TRUE,"",IF($J$1="n","",IF($J$1="a",VLOOKUP(C26,vylosovanie!$D$113:$O$137,11,0),"")))</f>
        <v>MIKULOVÁ / DZUROVÁ</v>
      </c>
      <c r="F26" s="114" t="str">
        <f>IF(ISERROR(IF($J$1="n","",IF($J$1="a",VLOOKUP(C26,vylosovanie!$D$113:$O$137,12,0),"")))=TRUE,"",IF($J$1="n","",IF($J$1="a",VLOOKUP(C26,vylosovanie!$D$113:$O$137,12,0),"")))</f>
        <v>KST DRIVE TR. JASTRABIE / STK STARÁ TURÁ</v>
      </c>
      <c r="G26" s="144" t="str">
        <f>IF(G25="","",IF(OR(C24="x",C26="x"),"",VLOOKUP($A24,'zapisy k stolom'!$Y$5:$AC$3073,4,0)))</f>
        <v xml:space="preserve">3:1 ( 8,-7,8,6,,, ) </v>
      </c>
      <c r="H26" s="110"/>
      <c r="I26" s="116"/>
      <c r="J26" s="116"/>
      <c r="K26" s="57"/>
      <c r="L26" s="60" t="str">
        <f t="shared" si="0"/>
        <v>D4P62</v>
      </c>
      <c r="M26" s="52" t="str">
        <f>E26</f>
        <v>MIKULOVÁ / DZUROVÁ</v>
      </c>
      <c r="P26" s="52" t="str">
        <f>IF(('[1]S 4'!$Y138=4),'[1]S 4'!$E138,IF(('[1]S 4'!$Y139=4),'[1]S 4'!$E139,IF(('[1]S 4'!$Y140=4),'[1]S 4'!$E140,IF(('[1]S 4'!$Y141=4),'[1]S 4'!$E141," "))))</f>
        <v xml:space="preserve"> </v>
      </c>
      <c r="R26" s="63"/>
      <c r="V26" s="170"/>
      <c r="W26" s="56"/>
      <c r="X26" s="56"/>
      <c r="Y26" s="56"/>
      <c r="AD26" s="63"/>
      <c r="AG26" s="56"/>
      <c r="AH26" s="56"/>
      <c r="AI26" s="56"/>
      <c r="AJ26" s="56"/>
      <c r="AK26" s="56"/>
      <c r="BB26" s="76"/>
      <c r="BC26" s="67"/>
      <c r="BD26" s="68"/>
      <c r="BE26" s="69"/>
      <c r="BF26" s="69"/>
      <c r="BG26" s="69"/>
      <c r="BH26" s="69"/>
      <c r="BI26" s="69"/>
      <c r="BJ26" s="68"/>
      <c r="BK26" s="69"/>
      <c r="BL26" s="67"/>
      <c r="BN26" s="56"/>
      <c r="BO26" s="56"/>
      <c r="BR26" s="49"/>
      <c r="BT26" s="63"/>
      <c r="BW26" s="56"/>
      <c r="BX26" s="56"/>
      <c r="BY26" s="56"/>
      <c r="BZ26" s="56"/>
      <c r="CA26" s="56"/>
      <c r="CF26" s="63"/>
      <c r="CI26" s="56"/>
      <c r="CJ26" s="56"/>
      <c r="CK26" s="56"/>
      <c r="CL26" s="56"/>
      <c r="CM26" s="56"/>
    </row>
    <row r="27" spans="1:111" ht="60" customHeight="1" thickBot="1">
      <c r="A27" s="49" t="s">
        <v>298</v>
      </c>
      <c r="B27" s="541"/>
      <c r="C27" s="544"/>
      <c r="D27" s="545"/>
      <c r="G27" s="106"/>
      <c r="H27" s="122" t="s">
        <v>300</v>
      </c>
      <c r="I27" s="121" t="str">
        <f>VLOOKUP($A23,'zapisy k stolom'!$Y$5:$AC$3073,3,0)</f>
        <v>PEKOVÁ / DIVINSKÁ</v>
      </c>
      <c r="J27" s="116"/>
      <c r="K27" s="57"/>
      <c r="L27" s="60" t="str">
        <f t="shared" si="0"/>
        <v>D4P152</v>
      </c>
      <c r="M27" s="52" t="str">
        <f>I27</f>
        <v>PEKOVÁ / DIVINSKÁ</v>
      </c>
      <c r="P27" s="52" t="str">
        <f>IF(('[1]S 4'!$Y144=4),'[1]S 4'!$E144,IF(('[1]S 4'!$Y145=4),'[1]S 4'!$E145,IF(('[1]S 4'!$Y146=4),'[1]S 4'!$E146,IF(('[1]S 4'!$Y147=4),'[1]S 4'!$E147," "))))</f>
        <v xml:space="preserve"> </v>
      </c>
      <c r="R27" s="63"/>
      <c r="V27" s="170"/>
      <c r="W27" s="56"/>
      <c r="X27" s="56"/>
      <c r="Y27" s="56"/>
      <c r="AD27" s="63"/>
      <c r="AG27" s="56"/>
      <c r="AH27" s="56"/>
      <c r="AI27" s="56"/>
      <c r="AJ27" s="56"/>
      <c r="AK27" s="56"/>
      <c r="BB27" s="76"/>
      <c r="BC27" s="67"/>
      <c r="BD27" s="68"/>
      <c r="BE27" s="69"/>
      <c r="BF27" s="69"/>
      <c r="BG27" s="69"/>
      <c r="BH27" s="69"/>
      <c r="BI27" s="69"/>
      <c r="BJ27" s="68"/>
      <c r="BK27" s="69"/>
      <c r="BL27" s="67"/>
      <c r="BN27" s="56"/>
      <c r="BO27" s="56"/>
      <c r="BR27" s="49"/>
      <c r="BT27" s="63"/>
      <c r="BW27" s="56"/>
      <c r="BX27" s="56"/>
      <c r="BY27" s="56"/>
      <c r="BZ27" s="56"/>
      <c r="CA27" s="56"/>
      <c r="CF27" s="63"/>
      <c r="CI27" s="56"/>
      <c r="CJ27" s="56"/>
      <c r="CK27" s="56"/>
      <c r="CL27" s="56"/>
      <c r="CM27" s="56"/>
    </row>
    <row r="28" spans="1:111" ht="60" customHeight="1" thickBot="1">
      <c r="A28" s="49" t="s">
        <v>299</v>
      </c>
      <c r="B28" s="541">
        <v>2</v>
      </c>
      <c r="C28" s="544">
        <f t="shared" ref="C28" si="10">IF(HLOOKUP($H$1,$CZ$3:$DG$19,D28+1,0)="x","X",D28)</f>
        <v>13</v>
      </c>
      <c r="D28" s="545">
        <v>13</v>
      </c>
      <c r="E28" s="107" t="str">
        <f>IF(ISERROR(IF($J$1="n","",IF($J$1="a",VLOOKUP(C28,vylosovanie!$D$113:$O$137,11,0),"")))=TRUE,"",IF($J$1="n","",IF($J$1="a",VLOOKUP(C28,vylosovanie!$D$113:$O$137,11,0),"")))</f>
        <v>SLOBODNÍKOVÁ / LACENOVÁ</v>
      </c>
      <c r="F28" s="108" t="str">
        <f>IF(ISERROR(IF($J$1="n","",IF($J$1="a",VLOOKUP(C28,vylosovanie!$D$113:$O$137,12,0),"")))=TRUE,"",IF($J$1="n","",IF($J$1="a",VLOOKUP(C28,vylosovanie!$D$113:$O$137,12,0),"")))</f>
        <v>ŠKST KARLOVA VES / ŠKST TOPOĽČANY</v>
      </c>
      <c r="G28" s="109"/>
      <c r="H28" s="124" t="str">
        <f>VLOOKUP($A23,'zapisy k stolom'!$Y$5:$AC$3073,5,0)</f>
        <v>Tbl.: 4   H: 9.30   D: Ne</v>
      </c>
      <c r="I28" s="144" t="str">
        <f>IF(I27="","",VLOOKUP($A23,'zapisy k stolom'!$Y$5:$AC$3073,4,0))</f>
        <v xml:space="preserve">3:2 ( 7,10,-9,-7,8,, ) </v>
      </c>
      <c r="J28" s="110"/>
      <c r="K28" s="57"/>
      <c r="L28" s="60" t="str">
        <f t="shared" si="0"/>
        <v>D4P71</v>
      </c>
      <c r="M28" s="52" t="str">
        <f>E28</f>
        <v>SLOBODNÍKOVÁ / LACENOVÁ</v>
      </c>
      <c r="P28" s="52" t="str">
        <f>IF(('[1]S 4'!$Y150=4),'[1]S 4'!$E150,IF(('[1]S 4'!$Y151=4),'[1]S 4'!$E151,IF(('[1]S 4'!$Y152=4),'[1]S 4'!$E152,IF(('[1]S 4'!$Y153=4),'[1]S 4'!$E153," "))))</f>
        <v xml:space="preserve"> </v>
      </c>
      <c r="BR28" s="49"/>
    </row>
    <row r="29" spans="1:111" ht="60" customHeight="1" thickBot="1">
      <c r="A29" s="49" t="s">
        <v>301</v>
      </c>
      <c r="B29" s="541"/>
      <c r="C29" s="544"/>
      <c r="D29" s="545"/>
      <c r="E29" s="111" t="str">
        <f>VLOOKUP($A28,'zapisy k stolom'!$Y$5:$AC$3073,5,0)</f>
        <v>Tbl.: 8   H: 13.30   D: So</v>
      </c>
      <c r="F29" s="112" t="s">
        <v>302</v>
      </c>
      <c r="G29" s="113" t="str">
        <f>IF(C28="x",E30,IF(C30="x",E28,VLOOKUP($A28,'zapisy k stolom'!$Y$5:$AC$3073,3,0)))</f>
        <v>SLOBODNÍKOVÁ / LACENOVÁ</v>
      </c>
      <c r="H29" s="109"/>
      <c r="I29" s="116"/>
      <c r="J29" s="110"/>
      <c r="K29" s="57"/>
      <c r="L29" s="60" t="str">
        <f t="shared" si="0"/>
        <v>D4P121</v>
      </c>
      <c r="M29" s="52" t="str">
        <f>G29</f>
        <v>SLOBODNÍKOVÁ / LACENOVÁ</v>
      </c>
      <c r="P29" s="52" t="str">
        <f>IF(('[1]S 4'!$Y156=4),'[1]S 4'!$E156,IF(('[1]S 4'!$Y157=4),'[1]S 4'!$E157,IF(('[1]S 4'!$Y158=4),'[1]S 4'!$E158,IF(('[1]S 4'!$Y159=4),'[1]S 4'!$E159," "))))</f>
        <v xml:space="preserve"> </v>
      </c>
      <c r="R29" s="63"/>
      <c r="S29" s="64"/>
      <c r="Y29" s="531"/>
      <c r="Z29" s="531"/>
      <c r="AA29" s="531"/>
      <c r="AD29" s="63"/>
      <c r="AE29" s="64"/>
      <c r="AK29" s="531"/>
      <c r="AL29" s="531"/>
      <c r="AM29" s="531"/>
      <c r="AP29" s="76"/>
      <c r="AQ29" s="77"/>
      <c r="AR29" s="68"/>
      <c r="AS29" s="68"/>
      <c r="AT29" s="68"/>
      <c r="AU29" s="68"/>
      <c r="AV29" s="68"/>
      <c r="AW29" s="533"/>
      <c r="AX29" s="533"/>
      <c r="AY29" s="533"/>
      <c r="AZ29" s="67"/>
      <c r="BB29" s="76"/>
      <c r="BC29" s="77"/>
      <c r="BD29" s="68"/>
      <c r="BE29" s="68"/>
      <c r="BF29" s="68"/>
      <c r="BG29" s="68"/>
      <c r="BH29" s="68"/>
      <c r="BI29" s="533"/>
      <c r="BJ29" s="533"/>
      <c r="BK29" s="533"/>
      <c r="BL29" s="67"/>
      <c r="BO29" s="531"/>
      <c r="BP29" s="531"/>
      <c r="BQ29" s="531"/>
      <c r="BR29" s="49">
        <f>IF(BS29="x",0,MAX(BR$5:$BR28)+1)</f>
        <v>4</v>
      </c>
      <c r="BS29" s="57" t="str">
        <f>IF(G29=E28,E30,E28)</f>
        <v>GALČÍKOVÁ / VOJTASOVA</v>
      </c>
      <c r="BT29" s="63"/>
      <c r="BU29" s="64"/>
      <c r="CA29" s="531"/>
      <c r="CB29" s="531"/>
      <c r="CC29" s="531"/>
      <c r="CF29" s="63"/>
      <c r="CG29" s="64"/>
      <c r="CM29" s="531"/>
      <c r="CN29" s="531"/>
      <c r="CO29" s="531"/>
    </row>
    <row r="30" spans="1:111" ht="60" customHeight="1" thickBot="1">
      <c r="A30" s="49" t="s">
        <v>303</v>
      </c>
      <c r="B30" s="536">
        <v>3</v>
      </c>
      <c r="C30" s="544">
        <f t="shared" ref="C30" si="11">IF(HLOOKUP($H$1,$CZ$3:$DG$19,D30+1,0)="x","X",D30)</f>
        <v>14</v>
      </c>
      <c r="D30" s="545">
        <v>14</v>
      </c>
      <c r="E30" s="108" t="str">
        <f>IF(ISERROR(IF($J$1="n","",IF($J$1="a",VLOOKUP(C30,vylosovanie!$D$113:$O$137,11,0),"")))=TRUE,"",IF($J$1="n","",IF($J$1="a",VLOOKUP(C30,vylosovanie!$D$113:$O$137,11,0),"")))</f>
        <v>GALČÍKOVÁ / VOJTASOVA</v>
      </c>
      <c r="F30" s="114" t="str">
        <f>IF(ISERROR(IF($J$1="n","",IF($J$1="a",VLOOKUP(C30,vylosovanie!$D$113:$O$137,12,0),"")))=TRUE,"",IF($J$1="n","",IF($J$1="a",VLOOKUP(C30,vylosovanie!$D$113:$O$137,12,0),"")))</f>
        <v>TJ ORAVAN NÁMESTOVO / ZŠ LIETAVSKÁ LÚČKA</v>
      </c>
      <c r="G30" s="115" t="str">
        <f>IF(G29="","",IF(OR(C28="x",C30="x"),"",VLOOKUP($A28,'zapisy k stolom'!$Y$5:$AC$3073,4,0)))</f>
        <v xml:space="preserve">3:1 ( -7,4,8,5,,, ) </v>
      </c>
      <c r="H30" s="116"/>
      <c r="I30" s="116"/>
      <c r="L30" s="60" t="str">
        <f t="shared" si="0"/>
        <v>D4P72</v>
      </c>
      <c r="M30" s="49" t="str">
        <f>E30</f>
        <v>GALČÍKOVÁ / VOJTASOVA</v>
      </c>
      <c r="P30" s="52" t="str">
        <f>IF(('[1]S 4'!$Y162=4),'[1]S 4'!$E162,IF(('[1]S 4'!$Y163=4),'[1]S 4'!$E163,IF(('[1]S 4'!$Y164=4),'[1]S 4'!$E164,IF(('[1]S 4'!$Y165=4),'[1]S 4'!$E165," "))))</f>
        <v xml:space="preserve"> </v>
      </c>
      <c r="R30" s="70"/>
      <c r="V30" s="170"/>
      <c r="W30" s="56"/>
      <c r="X30" s="56"/>
      <c r="Y30" s="56"/>
      <c r="AD30" s="70"/>
      <c r="AG30" s="56"/>
      <c r="AH30" s="56"/>
      <c r="AI30" s="56"/>
      <c r="AJ30" s="56"/>
      <c r="AK30" s="56"/>
      <c r="AP30" s="78"/>
      <c r="AQ30" s="67"/>
      <c r="AR30" s="68"/>
      <c r="AS30" s="69"/>
      <c r="AT30" s="69"/>
      <c r="AU30" s="69"/>
      <c r="AV30" s="69"/>
      <c r="AW30" s="69"/>
      <c r="AX30" s="68"/>
      <c r="AY30" s="69"/>
      <c r="AZ30" s="67"/>
      <c r="BB30" s="78"/>
      <c r="BC30" s="67"/>
      <c r="BD30" s="68"/>
      <c r="BE30" s="69"/>
      <c r="BF30" s="69"/>
      <c r="BG30" s="69"/>
      <c r="BH30" s="69"/>
      <c r="BI30" s="69"/>
      <c r="BJ30" s="68"/>
      <c r="BK30" s="69"/>
      <c r="BL30" s="67"/>
      <c r="BN30" s="56"/>
      <c r="BO30" s="56"/>
      <c r="BR30" s="49"/>
      <c r="BT30" s="63"/>
      <c r="BW30" s="56"/>
      <c r="BX30" s="56"/>
      <c r="BY30" s="56"/>
      <c r="BZ30" s="56"/>
      <c r="CA30" s="56"/>
      <c r="CF30" s="63"/>
      <c r="CI30" s="56"/>
      <c r="CJ30" s="56"/>
      <c r="CK30" s="56"/>
      <c r="CL30" s="56"/>
      <c r="CM30" s="56"/>
    </row>
    <row r="31" spans="1:111" ht="60" customHeight="1" thickBot="1">
      <c r="A31" s="49" t="s">
        <v>304</v>
      </c>
      <c r="B31" s="536"/>
      <c r="C31" s="544"/>
      <c r="D31" s="545"/>
      <c r="G31" s="122" t="s">
        <v>269</v>
      </c>
      <c r="H31" s="121" t="str">
        <f>VLOOKUP($A29,'zapisy k stolom'!$Y$5:$AC$3073,3,0)</f>
        <v>PEKOVÁ / DIVINSKÁ</v>
      </c>
      <c r="I31" s="116"/>
      <c r="L31" s="60" t="str">
        <f t="shared" si="0"/>
        <v>D4P142</v>
      </c>
      <c r="M31" s="49" t="str">
        <f>H31</f>
        <v>PEKOVÁ / DIVINSKÁ</v>
      </c>
      <c r="P31" s="52" t="str">
        <f>IF(('[1]S 4'!$Y168=4),'[1]S 4'!$E168,IF(('[1]S 4'!$Y169=4),'[1]S 4'!$E169,IF(('[1]S 4'!$Y170=4),'[1]S 4'!$E170,IF(('[1]S 4'!$Y171=4),'[1]S 4'!$E171," "))))</f>
        <v xml:space="preserve"> </v>
      </c>
      <c r="R31" s="63"/>
      <c r="V31" s="170"/>
      <c r="W31" s="56"/>
      <c r="X31" s="56"/>
      <c r="Y31" s="56"/>
      <c r="AD31" s="63"/>
      <c r="AG31" s="56"/>
      <c r="AH31" s="56"/>
      <c r="AI31" s="56"/>
      <c r="AJ31" s="56"/>
      <c r="AK31" s="56"/>
      <c r="AP31" s="76"/>
      <c r="AQ31" s="67"/>
      <c r="AR31" s="68"/>
      <c r="AS31" s="69"/>
      <c r="AT31" s="69"/>
      <c r="AU31" s="69"/>
      <c r="AV31" s="69"/>
      <c r="AW31" s="69"/>
      <c r="AX31" s="68"/>
      <c r="AY31" s="69"/>
      <c r="AZ31" s="67"/>
      <c r="BB31" s="76"/>
      <c r="BC31" s="67"/>
      <c r="BD31" s="68"/>
      <c r="BE31" s="69"/>
      <c r="BF31" s="69"/>
      <c r="BG31" s="69"/>
      <c r="BH31" s="69"/>
      <c r="BI31" s="69"/>
      <c r="BJ31" s="68"/>
      <c r="BK31" s="69"/>
      <c r="BL31" s="67"/>
      <c r="BN31" s="56"/>
      <c r="BO31" s="56"/>
      <c r="BR31" s="49"/>
      <c r="BT31" s="72" t="str">
        <f>IF(H31=G29,G33,G29)</f>
        <v>SLOBODNÍKOVÁ / LACENOVÁ</v>
      </c>
      <c r="BW31" s="56"/>
      <c r="BX31" s="56"/>
      <c r="BY31" s="56"/>
      <c r="BZ31" s="56"/>
      <c r="CA31" s="56"/>
      <c r="CF31" s="63"/>
      <c r="CI31" s="56"/>
      <c r="CJ31" s="56"/>
      <c r="CK31" s="56"/>
      <c r="CL31" s="56"/>
      <c r="CM31" s="56"/>
    </row>
    <row r="32" spans="1:111" ht="60" customHeight="1" thickBot="1">
      <c r="A32" s="49" t="s">
        <v>305</v>
      </c>
      <c r="B32" s="536">
        <v>3</v>
      </c>
      <c r="C32" s="544" t="str">
        <f t="shared" ref="C32" si="12">IF(HLOOKUP($H$1,$CZ$3:$DG$19,D32+1,0)="x","X",D32)</f>
        <v>X</v>
      </c>
      <c r="D32" s="545">
        <v>15</v>
      </c>
      <c r="E32" s="107" t="str">
        <f>IF(ISERROR(IF($J$1="n","",IF($J$1="a",VLOOKUP(C32,vylosovanie!$D$113:$O$137,11,0),"")))=TRUE,"",IF($J$1="n","",IF($J$1="a",VLOOKUP(C32,vylosovanie!$D$113:$O$137,11,0),"")))</f>
        <v>X</v>
      </c>
      <c r="F32" s="108" t="str">
        <f>IF(ISERROR(IF($J$1="n","",IF($J$1="a",VLOOKUP(C32,vylosovanie!$D$113:$O$137,12,0),"")))=TRUE,"",IF($J$1="n","",IF($J$1="a",VLOOKUP(C32,vylosovanie!$D$113:$O$137,12,0),"")))</f>
        <v>X</v>
      </c>
      <c r="G32" s="124" t="str">
        <f>VLOOKUP($A29,'zapisy k stolom'!$Y$5:$AC$3073,5,0)</f>
        <v>Tbl.: 8   H: 17.00   D: So</v>
      </c>
      <c r="H32" s="144" t="str">
        <f>IF(H31="","",VLOOKUP($A29,'zapisy k stolom'!$Y$5:$AC$3073,4,0))</f>
        <v xml:space="preserve">3:0 ( 9,5,5,,,, ) </v>
      </c>
      <c r="I32" s="110"/>
      <c r="L32" s="60" t="str">
        <f t="shared" si="0"/>
        <v>D4P81</v>
      </c>
      <c r="M32" s="49" t="str">
        <f>E32</f>
        <v>X</v>
      </c>
      <c r="P32" s="52" t="str">
        <f>IF(('[1]S 4'!$Y174=4),'[1]S 4'!$E174,IF(('[1]S 4'!$Y175=4),'[1]S 4'!$E175,IF(('[1]S 4'!$Y176=4),'[1]S 4'!$E176,IF(('[1]S 4'!$Y177=4),'[1]S 4'!$E177," "))))</f>
        <v xml:space="preserve"> </v>
      </c>
      <c r="R32" s="63"/>
      <c r="V32" s="170"/>
      <c r="W32" s="56"/>
      <c r="X32" s="56"/>
      <c r="Y32" s="56"/>
      <c r="AD32" s="63"/>
      <c r="AG32" s="56"/>
      <c r="AH32" s="56"/>
      <c r="AI32" s="56"/>
      <c r="AJ32" s="56"/>
      <c r="AK32" s="56"/>
      <c r="AP32" s="76"/>
      <c r="AQ32" s="67"/>
      <c r="AR32" s="68"/>
      <c r="AS32" s="69"/>
      <c r="AT32" s="69"/>
      <c r="AU32" s="69"/>
      <c r="AV32" s="69"/>
      <c r="AW32" s="69"/>
      <c r="AX32" s="68"/>
      <c r="AY32" s="69"/>
      <c r="AZ32" s="67"/>
      <c r="BB32" s="76"/>
      <c r="BC32" s="67"/>
      <c r="BD32" s="68"/>
      <c r="BE32" s="69"/>
      <c r="BF32" s="69"/>
      <c r="BG32" s="69"/>
      <c r="BH32" s="69"/>
      <c r="BI32" s="69"/>
      <c r="BJ32" s="68"/>
      <c r="BK32" s="69"/>
      <c r="BL32" s="67"/>
      <c r="BN32" s="56"/>
      <c r="BO32" s="56"/>
      <c r="BR32" s="49"/>
      <c r="BT32" s="63"/>
      <c r="BW32" s="56"/>
      <c r="BX32" s="56"/>
      <c r="BY32" s="56"/>
      <c r="BZ32" s="56"/>
      <c r="CA32" s="56"/>
      <c r="CF32" s="63"/>
      <c r="CI32" s="56"/>
      <c r="CJ32" s="56"/>
      <c r="CK32" s="56"/>
      <c r="CL32" s="56"/>
      <c r="CM32" s="56"/>
    </row>
    <row r="33" spans="1:93" ht="60" customHeight="1" thickBot="1">
      <c r="A33" s="49" t="s">
        <v>306</v>
      </c>
      <c r="B33" s="536"/>
      <c r="C33" s="544"/>
      <c r="D33" s="545"/>
      <c r="E33" s="151"/>
      <c r="F33" s="117" t="s">
        <v>307</v>
      </c>
      <c r="G33" s="121" t="str">
        <f>IF(C32="x",E34,IF(C34="x",E32,VLOOKUP($A32,'zapisy k stolom'!$Y$5:$AC$3073,3,0)))</f>
        <v>PEKOVÁ / DIVINSKÁ</v>
      </c>
      <c r="H33" s="116"/>
      <c r="I33" s="110"/>
      <c r="L33" s="60" t="str">
        <f t="shared" si="0"/>
        <v>D4P122</v>
      </c>
      <c r="M33" s="49" t="str">
        <f>G33</f>
        <v>PEKOVÁ / DIVINSKÁ</v>
      </c>
      <c r="P33" s="52" t="str">
        <f>IF(('[1]S 4'!$Y180=4),'[1]S 4'!$E180,IF(('[1]S 4'!$Y181=4),'[1]S 4'!$E181,IF(('[1]S 4'!$Y182=4),'[1]S 4'!$E182,IF(('[1]S 4'!$Y183=4),'[1]S 4'!$E183," "))))</f>
        <v xml:space="preserve"> </v>
      </c>
      <c r="R33" s="63"/>
      <c r="V33" s="170"/>
      <c r="W33" s="56"/>
      <c r="X33" s="56"/>
      <c r="Y33" s="56"/>
      <c r="AD33" s="63"/>
      <c r="AG33" s="56"/>
      <c r="AH33" s="56"/>
      <c r="AI33" s="56"/>
      <c r="AJ33" s="56"/>
      <c r="AK33" s="56"/>
      <c r="AP33" s="76"/>
      <c r="AQ33" s="67"/>
      <c r="AR33" s="68"/>
      <c r="AS33" s="69"/>
      <c r="AT33" s="69"/>
      <c r="AU33" s="69"/>
      <c r="AV33" s="69"/>
      <c r="AW33" s="69"/>
      <c r="AX33" s="68"/>
      <c r="AY33" s="69"/>
      <c r="AZ33" s="67"/>
      <c r="BB33" s="76"/>
      <c r="BC33" s="67"/>
      <c r="BD33" s="68"/>
      <c r="BE33" s="69"/>
      <c r="BF33" s="69"/>
      <c r="BG33" s="69"/>
      <c r="BH33" s="69"/>
      <c r="BI33" s="69"/>
      <c r="BJ33" s="68"/>
      <c r="BK33" s="69"/>
      <c r="BL33" s="67"/>
      <c r="BN33" s="56"/>
      <c r="BO33" s="56"/>
      <c r="BR33" s="49">
        <f>IF(BS33="x",0,MAX(BR$5:$BR32)+1)</f>
        <v>0</v>
      </c>
      <c r="BS33" s="57" t="str">
        <f>IF(G33=E32,E34,E32)</f>
        <v>X</v>
      </c>
      <c r="BT33" s="63"/>
      <c r="BW33" s="56"/>
      <c r="BX33" s="56"/>
      <c r="BY33" s="56"/>
      <c r="BZ33" s="56"/>
      <c r="CA33" s="56"/>
      <c r="CF33" s="63"/>
      <c r="CI33" s="56"/>
      <c r="CJ33" s="56"/>
      <c r="CK33" s="56"/>
      <c r="CL33" s="56"/>
      <c r="CM33" s="56"/>
    </row>
    <row r="34" spans="1:93" ht="60" customHeight="1" thickBot="1">
      <c r="A34" s="49" t="s">
        <v>308</v>
      </c>
      <c r="B34" s="539"/>
      <c r="C34" s="544">
        <v>16</v>
      </c>
      <c r="D34" s="545">
        <v>16</v>
      </c>
      <c r="E34" s="108" t="str">
        <f>IF(ISERROR(IF($J$1="n","",IF($J$1="a",VLOOKUP(C34,vylosovanie!$D$113:$O$137,11,0),"")))=TRUE,"",IF($J$1="n","",IF($J$1="a",VLOOKUP(C34,vylosovanie!$D$113:$O$137,11,0),"")))</f>
        <v>PEKOVÁ / DIVINSKÁ</v>
      </c>
      <c r="F34" s="114" t="str">
        <f>IF(ISERROR(IF($J$1="n","",IF($J$1="a",VLOOKUP(C34,vylosovanie!$D$113:$O$137,12,0),"")))=TRUE,"",IF($J$1="n","",IF($J$1="a",VLOOKUP(C34,vylosovanie!$D$113:$O$137,12,0),"")))</f>
        <v>KST VIKTÓRIA TRNAVA / MSTK TVRDOŠÍN</v>
      </c>
      <c r="G34" s="119" t="str">
        <f>IF(G33="","",IF(OR(C32="x",C34="x"),"",VLOOKUP($A32,'zapisy k stolom'!$Y$5:$AC$3073,4,0)))</f>
        <v/>
      </c>
      <c r="H34" s="110"/>
      <c r="I34" s="128"/>
      <c r="L34" s="60" t="str">
        <f t="shared" si="0"/>
        <v>D4P82</v>
      </c>
      <c r="M34" s="49" t="str">
        <f>E34</f>
        <v>PEKOVÁ / DIVINSKÁ</v>
      </c>
      <c r="P34" s="52" t="str">
        <f>IF(('[1]S 4'!$Y186=4),'[1]S 4'!$E186,IF(('[1]S 4'!$Y187=4),'[1]S 4'!$E187,IF(('[1]S 4'!$Y188=4),'[1]S 4'!$E188,IF(('[1]S 4'!$Y189=4),'[1]S 4'!$E189," "))))</f>
        <v xml:space="preserve"> </v>
      </c>
      <c r="AP34" s="67"/>
      <c r="AQ34" s="67"/>
      <c r="AR34" s="68"/>
      <c r="AS34" s="68"/>
      <c r="AT34" s="68"/>
      <c r="AU34" s="68"/>
      <c r="AV34" s="68"/>
      <c r="AW34" s="68"/>
      <c r="AX34" s="68"/>
      <c r="AY34" s="69"/>
      <c r="AZ34" s="67"/>
      <c r="BB34" s="67"/>
      <c r="BC34" s="67"/>
      <c r="BD34" s="68"/>
      <c r="BE34" s="68"/>
      <c r="BF34" s="68"/>
      <c r="BG34" s="68"/>
      <c r="BH34" s="68"/>
      <c r="BI34" s="68"/>
      <c r="BJ34" s="68"/>
      <c r="BK34" s="69"/>
      <c r="BL34" s="67"/>
      <c r="BR34" s="49"/>
    </row>
    <row r="35" spans="1:93" ht="60" customHeight="1">
      <c r="B35" s="539"/>
      <c r="C35" s="544"/>
      <c r="D35" s="545"/>
      <c r="G35" s="106"/>
      <c r="H35" s="110"/>
      <c r="I35" s="128"/>
      <c r="J35" s="128"/>
      <c r="K35" s="79"/>
      <c r="L35" s="60"/>
      <c r="M35" s="52"/>
      <c r="P35" s="52" t="str">
        <f>IF(('[1]S 4'!$Y192=4),'[1]S 4'!$E192,IF(('[1]S 4'!$Y193=4),'[1]S 4'!$E193,IF(('[1]S 4'!$Y194=4),'[1]S 4'!$E194,IF(('[1]S 4'!$Y195=4),'[1]S 4'!$E195," "))))</f>
        <v xml:space="preserve"> </v>
      </c>
      <c r="R35" s="63"/>
      <c r="S35" s="64"/>
      <c r="Y35" s="531"/>
      <c r="Z35" s="531"/>
      <c r="AA35" s="531"/>
      <c r="AD35" s="63"/>
      <c r="AE35" s="64"/>
      <c r="AK35" s="531"/>
      <c r="AL35" s="531"/>
      <c r="AM35" s="531"/>
      <c r="AP35" s="76"/>
      <c r="AQ35" s="77"/>
      <c r="AR35" s="68"/>
      <c r="AS35" s="68"/>
      <c r="AT35" s="68"/>
      <c r="AU35" s="68"/>
      <c r="AV35" s="68"/>
      <c r="AW35" s="533"/>
      <c r="AX35" s="533"/>
      <c r="AY35" s="533"/>
      <c r="AZ35" s="67"/>
      <c r="BB35" s="76"/>
      <c r="BC35" s="77"/>
      <c r="BD35" s="68"/>
      <c r="BE35" s="68"/>
      <c r="BF35" s="68"/>
      <c r="BG35" s="68"/>
      <c r="BH35" s="68"/>
      <c r="BI35" s="533"/>
      <c r="BJ35" s="533"/>
      <c r="BK35" s="533"/>
      <c r="BL35" s="67"/>
      <c r="BO35" s="531"/>
      <c r="BP35" s="531"/>
      <c r="BQ35" s="531"/>
      <c r="BR35" s="49"/>
      <c r="BT35" s="63"/>
      <c r="BU35" s="64"/>
      <c r="CA35" s="531"/>
      <c r="CB35" s="531"/>
      <c r="CC35" s="531"/>
      <c r="CF35" s="63"/>
      <c r="CG35" s="64"/>
      <c r="CM35" s="531"/>
      <c r="CN35" s="531"/>
      <c r="CO35" s="531"/>
    </row>
    <row r="36" spans="1:93" ht="39.950000000000003" customHeight="1">
      <c r="C36" s="546" t="s">
        <v>120</v>
      </c>
      <c r="D36" s="547"/>
      <c r="F36" s="105"/>
      <c r="G36" s="110"/>
      <c r="H36" s="110"/>
      <c r="I36" s="128"/>
      <c r="J36" s="128"/>
      <c r="K36" s="79"/>
      <c r="L36" s="60"/>
      <c r="M36" s="52"/>
      <c r="P36" s="52" t="str">
        <f>IF(('[1]S 4'!$Y198=4),'[1]S 4'!$E198,IF(('[1]S 4'!$Y199=4),'[1]S 4'!$E199,IF(('[1]S 4'!$Y200=4),'[1]S 4'!$E200,IF(('[1]S 4'!$Y201=4),'[1]S 4'!$E201," "))))</f>
        <v xml:space="preserve"> </v>
      </c>
      <c r="R36" s="63"/>
      <c r="V36" s="170"/>
      <c r="W36" s="56"/>
      <c r="X36" s="56"/>
      <c r="Y36" s="56"/>
      <c r="AD36" s="63"/>
      <c r="AG36" s="56"/>
      <c r="AH36" s="56"/>
      <c r="AI36" s="56"/>
      <c r="AJ36" s="56"/>
      <c r="AK36" s="56"/>
      <c r="AP36" s="76"/>
      <c r="AQ36" s="67"/>
      <c r="AR36" s="68"/>
      <c r="AS36" s="69"/>
      <c r="AT36" s="69"/>
      <c r="AU36" s="69"/>
      <c r="AV36" s="69"/>
      <c r="AW36" s="69"/>
      <c r="AX36" s="68"/>
      <c r="AY36" s="69"/>
      <c r="AZ36" s="67"/>
      <c r="BB36" s="76"/>
      <c r="BC36" s="67"/>
      <c r="BD36" s="68"/>
      <c r="BE36" s="69"/>
      <c r="BF36" s="69"/>
      <c r="BG36" s="69"/>
      <c r="BH36" s="69"/>
      <c r="BI36" s="69"/>
      <c r="BJ36" s="68"/>
      <c r="BK36" s="69"/>
      <c r="BL36" s="67"/>
      <c r="BN36" s="56"/>
      <c r="BO36" s="56"/>
      <c r="BR36" s="49"/>
      <c r="BT36" s="63"/>
      <c r="BW36" s="56"/>
      <c r="BX36" s="56"/>
      <c r="BY36" s="56"/>
      <c r="BZ36" s="56"/>
      <c r="CA36" s="56"/>
      <c r="CF36" s="63"/>
      <c r="CI36" s="56"/>
      <c r="CJ36" s="56"/>
      <c r="CK36" s="56"/>
      <c r="CL36" s="56"/>
      <c r="CM36" s="56"/>
    </row>
    <row r="37" spans="1:93" ht="39.950000000000003" customHeight="1">
      <c r="C37" s="546"/>
      <c r="D37" s="547"/>
      <c r="G37" s="106"/>
      <c r="H37" s="110"/>
      <c r="I37" s="128"/>
      <c r="J37" s="128"/>
      <c r="K37" s="79"/>
      <c r="L37" s="60"/>
      <c r="M37" s="52"/>
      <c r="P37" s="52" t="str">
        <f>IF(('[1]S 4'!$Y204=4),'[1]S 4'!$E204,IF(('[1]S 4'!$Y205=4),'[1]S 4'!$E205,IF(('[1]S 4'!$Y206=4),'[1]S 4'!$E206,IF(('[1]S 4'!$Y207=4),'[1]S 4'!$E207," "))))</f>
        <v xml:space="preserve"> </v>
      </c>
      <c r="R37" s="63"/>
      <c r="V37" s="170"/>
      <c r="W37" s="56"/>
      <c r="X37" s="56"/>
      <c r="Y37" s="56"/>
      <c r="AD37" s="63"/>
      <c r="AG37" s="56"/>
      <c r="AH37" s="56"/>
      <c r="AI37" s="56"/>
      <c r="AJ37" s="56"/>
      <c r="AK37" s="56"/>
      <c r="AP37" s="76"/>
      <c r="AQ37" s="67"/>
      <c r="AR37" s="68"/>
      <c r="AS37" s="69"/>
      <c r="AT37" s="69"/>
      <c r="AU37" s="69"/>
      <c r="AV37" s="69"/>
      <c r="AW37" s="69"/>
      <c r="AX37" s="68"/>
      <c r="AY37" s="69"/>
      <c r="AZ37" s="67"/>
      <c r="BB37" s="76"/>
      <c r="BC37" s="67"/>
      <c r="BD37" s="68"/>
      <c r="BE37" s="69"/>
      <c r="BF37" s="69"/>
      <c r="BG37" s="69"/>
      <c r="BH37" s="69"/>
      <c r="BI37" s="69"/>
      <c r="BJ37" s="68"/>
      <c r="BK37" s="69"/>
      <c r="BL37" s="67"/>
      <c r="BN37" s="56"/>
      <c r="BO37" s="56"/>
      <c r="BR37" s="49"/>
      <c r="BT37" s="63"/>
      <c r="BW37" s="56"/>
      <c r="BX37" s="56"/>
      <c r="BY37" s="56"/>
      <c r="BZ37" s="56"/>
      <c r="CA37" s="56"/>
      <c r="CF37" s="63"/>
      <c r="CI37" s="56"/>
      <c r="CJ37" s="56"/>
      <c r="CK37" s="56"/>
      <c r="CL37" s="56"/>
      <c r="CM37" s="56"/>
    </row>
    <row r="38" spans="1:93" ht="39.950000000000003" customHeight="1">
      <c r="C38" s="546"/>
      <c r="D38" s="547"/>
      <c r="H38" s="105"/>
      <c r="I38" s="129"/>
      <c r="J38" s="129"/>
      <c r="K38" s="80"/>
      <c r="L38" s="60"/>
      <c r="M38" s="52"/>
      <c r="P38" s="52" t="str">
        <f>IF(('[1]S 4'!$Y210=4),'[1]S 4'!$E210,IF(('[1]S 4'!$Y211=4),'[1]S 4'!$E211,IF(('[1]S 4'!$Y212=4),'[1]S 4'!$E212,IF(('[1]S 4'!$Y213=4),'[1]S 4'!$E213," "))))</f>
        <v xml:space="preserve"> </v>
      </c>
      <c r="R38" s="63"/>
      <c r="V38" s="170"/>
      <c r="W38" s="56"/>
      <c r="X38" s="56"/>
      <c r="Y38" s="56"/>
      <c r="AD38" s="63"/>
      <c r="AG38" s="56"/>
      <c r="AH38" s="56"/>
      <c r="AI38" s="56"/>
      <c r="AJ38" s="56"/>
      <c r="AK38" s="56"/>
      <c r="AP38" s="76"/>
      <c r="AQ38" s="67"/>
      <c r="AR38" s="68"/>
      <c r="AS38" s="69"/>
      <c r="AT38" s="69"/>
      <c r="AU38" s="69"/>
      <c r="AV38" s="69"/>
      <c r="AW38" s="69"/>
      <c r="AX38" s="68"/>
      <c r="AY38" s="69"/>
      <c r="AZ38" s="67"/>
      <c r="BB38" s="76"/>
      <c r="BC38" s="67"/>
      <c r="BD38" s="68"/>
      <c r="BE38" s="69"/>
      <c r="BF38" s="69"/>
      <c r="BG38" s="69"/>
      <c r="BH38" s="69"/>
      <c r="BI38" s="69"/>
      <c r="BJ38" s="68"/>
      <c r="BK38" s="69"/>
      <c r="BL38" s="67"/>
      <c r="BN38" s="56"/>
      <c r="BO38" s="56"/>
      <c r="BR38" s="49"/>
      <c r="BT38" s="63"/>
      <c r="BW38" s="56"/>
      <c r="BX38" s="56"/>
      <c r="BY38" s="56"/>
      <c r="BZ38" s="56"/>
      <c r="CA38" s="56"/>
      <c r="CF38" s="63"/>
      <c r="CI38" s="56"/>
      <c r="CJ38" s="56"/>
      <c r="CK38" s="56"/>
      <c r="CL38" s="56"/>
      <c r="CM38" s="56"/>
    </row>
    <row r="39" spans="1:93" ht="39.950000000000003" customHeight="1">
      <c r="C39" s="546"/>
      <c r="D39" s="547"/>
      <c r="H39" s="105"/>
      <c r="I39" s="129"/>
      <c r="J39" s="129"/>
      <c r="K39" s="80"/>
      <c r="L39" s="60"/>
      <c r="M39" s="52"/>
      <c r="P39" s="52" t="str">
        <f>IF(('[1]S 4'!$Y216=4),'[1]S 4'!$E216,IF(('[1]S 4'!$Y217=4),'[1]S 4'!$E217,IF(('[1]S 4'!$Y218=4),'[1]S 4'!$E218,IF(('[1]S 4'!$Y219=4),'[1]S 4'!$E219," "))))</f>
        <v xml:space="preserve"> </v>
      </c>
      <c r="R39" s="63"/>
      <c r="V39" s="170"/>
      <c r="W39" s="56"/>
      <c r="X39" s="56"/>
      <c r="Y39" s="56"/>
      <c r="AD39" s="63"/>
      <c r="AG39" s="56"/>
      <c r="AH39" s="56"/>
      <c r="AI39" s="56"/>
      <c r="AJ39" s="56"/>
      <c r="AK39" s="56"/>
      <c r="AP39" s="76"/>
      <c r="AQ39" s="67"/>
      <c r="AR39" s="68"/>
      <c r="AS39" s="69"/>
      <c r="AT39" s="69"/>
      <c r="AU39" s="69"/>
      <c r="AV39" s="69"/>
      <c r="AW39" s="69"/>
      <c r="AX39" s="68"/>
      <c r="AY39" s="69"/>
      <c r="AZ39" s="67"/>
      <c r="BB39" s="76"/>
      <c r="BC39" s="67"/>
      <c r="BD39" s="68"/>
      <c r="BE39" s="69"/>
      <c r="BF39" s="69"/>
      <c r="BG39" s="69"/>
      <c r="BH39" s="69"/>
      <c r="BI39" s="69"/>
      <c r="BJ39" s="68"/>
      <c r="BK39" s="69"/>
      <c r="BL39" s="67"/>
      <c r="BN39" s="56"/>
      <c r="BO39" s="56"/>
      <c r="BR39" s="49"/>
      <c r="BT39" s="63"/>
      <c r="BW39" s="56"/>
      <c r="BX39" s="56"/>
      <c r="BY39" s="56"/>
      <c r="BZ39" s="56"/>
      <c r="CA39" s="56"/>
      <c r="CF39" s="63"/>
      <c r="CI39" s="56"/>
      <c r="CJ39" s="56"/>
      <c r="CK39" s="56"/>
      <c r="CL39" s="56"/>
      <c r="CM39" s="56"/>
    </row>
    <row r="40" spans="1:93" ht="39.950000000000003" customHeight="1">
      <c r="C40" s="546"/>
      <c r="D40" s="547"/>
      <c r="H40" s="105"/>
      <c r="I40" s="129"/>
      <c r="J40" s="129"/>
      <c r="K40" s="80"/>
      <c r="L40" s="60"/>
      <c r="M40" s="52"/>
      <c r="P40" s="52" t="str">
        <f>IF(('[1]S 4'!$Y222=4),'[1]S 4'!$E222,IF(('[1]S 4'!$Y223=4),'[1]S 4'!$E223,IF(('[1]S 4'!$Y224=4),'[1]S 4'!$E224,IF(('[1]S 4'!$Y225=4),'[1]S 4'!$E225," "))))</f>
        <v xml:space="preserve"> </v>
      </c>
      <c r="AP40" s="67"/>
      <c r="AQ40" s="67"/>
      <c r="AR40" s="68"/>
      <c r="AS40" s="68"/>
      <c r="AT40" s="68"/>
      <c r="AU40" s="68"/>
      <c r="AV40" s="68"/>
      <c r="AW40" s="68"/>
      <c r="AX40" s="68"/>
      <c r="AY40" s="69"/>
      <c r="AZ40" s="67"/>
      <c r="BB40" s="67"/>
      <c r="BC40" s="67"/>
      <c r="BD40" s="68"/>
      <c r="BE40" s="68"/>
      <c r="BF40" s="68"/>
      <c r="BG40" s="68"/>
      <c r="BH40" s="68"/>
      <c r="BI40" s="68"/>
      <c r="BJ40" s="68"/>
      <c r="BK40" s="69"/>
      <c r="BL40" s="67"/>
      <c r="BR40" s="49"/>
    </row>
    <row r="41" spans="1:93" ht="39.950000000000003" customHeight="1">
      <c r="C41" s="546"/>
      <c r="D41" s="547"/>
      <c r="G41" s="105"/>
      <c r="H41" s="105"/>
      <c r="I41" s="129"/>
      <c r="J41" s="129"/>
      <c r="K41" s="80"/>
      <c r="L41" s="60"/>
      <c r="M41" s="52"/>
      <c r="P41" s="52" t="str">
        <f>IF(('[1]S 4'!$Y228=4),'[1]S 4'!$E228,IF(('[1]S 4'!$Y229=4),'[1]S 4'!$E229,IF(('[1]S 4'!$Y230=4),'[1]S 4'!$E230,IF(('[1]S 4'!$Y231=4),'[1]S 4'!$E231," "))))</f>
        <v xml:space="preserve"> </v>
      </c>
      <c r="R41" s="63"/>
      <c r="S41" s="64"/>
      <c r="Y41" s="531"/>
      <c r="Z41" s="531"/>
      <c r="AA41" s="531"/>
      <c r="AD41" s="63"/>
      <c r="AE41" s="64"/>
      <c r="AK41" s="531"/>
      <c r="AL41" s="531"/>
      <c r="AM41" s="531"/>
      <c r="AP41" s="76"/>
      <c r="AQ41" s="77"/>
      <c r="AR41" s="68"/>
      <c r="AS41" s="68"/>
      <c r="AT41" s="68"/>
      <c r="AU41" s="68"/>
      <c r="AV41" s="68"/>
      <c r="AW41" s="533"/>
      <c r="AX41" s="533"/>
      <c r="AY41" s="533"/>
      <c r="AZ41" s="67"/>
      <c r="BB41" s="76"/>
      <c r="BC41" s="77"/>
      <c r="BD41" s="68"/>
      <c r="BE41" s="68"/>
      <c r="BF41" s="68"/>
      <c r="BG41" s="68"/>
      <c r="BH41" s="68"/>
      <c r="BI41" s="533"/>
      <c r="BJ41" s="533"/>
      <c r="BK41" s="533"/>
      <c r="BL41" s="67"/>
      <c r="BO41" s="531"/>
      <c r="BP41" s="531"/>
      <c r="BQ41" s="531"/>
      <c r="BR41" s="49"/>
      <c r="BT41" s="63"/>
      <c r="BU41" s="64"/>
      <c r="CA41" s="531"/>
      <c r="CB41" s="531"/>
      <c r="CC41" s="531"/>
      <c r="CF41" s="63"/>
      <c r="CG41" s="64"/>
      <c r="CM41" s="531"/>
      <c r="CN41" s="531"/>
      <c r="CO41" s="531"/>
    </row>
    <row r="42" spans="1:93" ht="39.950000000000003" customHeight="1">
      <c r="C42" s="546"/>
      <c r="D42" s="547"/>
      <c r="F42" s="130" t="s">
        <v>122</v>
      </c>
      <c r="G42" s="130" t="s">
        <v>123</v>
      </c>
      <c r="H42" s="105"/>
      <c r="I42" s="105"/>
      <c r="J42" s="105"/>
      <c r="K42" s="52"/>
      <c r="L42" s="60"/>
      <c r="M42" s="52"/>
      <c r="P42" s="52" t="str">
        <f>IF(('[1]S 4'!$Y234=4),'[1]S 4'!$E234,IF(('[1]S 4'!$Y235=4),'[1]S 4'!$E235,IF(('[1]S 4'!$Y236=4),'[1]S 4'!$E236,IF(('[1]S 4'!$Y237=4),'[1]S 4'!$E237," "))))</f>
        <v xml:space="preserve"> </v>
      </c>
      <c r="R42" s="63"/>
      <c r="V42" s="170"/>
      <c r="W42" s="56"/>
      <c r="X42" s="56"/>
      <c r="Y42" s="56"/>
      <c r="AD42" s="70"/>
      <c r="AG42" s="56"/>
      <c r="AH42" s="56"/>
      <c r="AI42" s="56"/>
      <c r="AJ42" s="56"/>
      <c r="AK42" s="56"/>
      <c r="AP42" s="76"/>
      <c r="AQ42" s="67"/>
      <c r="AR42" s="68"/>
      <c r="AS42" s="69"/>
      <c r="AT42" s="69"/>
      <c r="AU42" s="69"/>
      <c r="AV42" s="69"/>
      <c r="AW42" s="69"/>
      <c r="AX42" s="68"/>
      <c r="AY42" s="69"/>
      <c r="AZ42" s="67"/>
      <c r="BB42" s="76"/>
      <c r="BC42" s="67"/>
      <c r="BD42" s="68"/>
      <c r="BE42" s="69"/>
      <c r="BF42" s="69"/>
      <c r="BG42" s="69"/>
      <c r="BH42" s="69"/>
      <c r="BI42" s="69"/>
      <c r="BJ42" s="68"/>
      <c r="BK42" s="69"/>
      <c r="BL42" s="67"/>
      <c r="BN42" s="56"/>
      <c r="BO42" s="56"/>
      <c r="BR42" s="49"/>
      <c r="BT42" s="63"/>
      <c r="BW42" s="56"/>
      <c r="BX42" s="56"/>
      <c r="BY42" s="56"/>
      <c r="BZ42" s="56"/>
      <c r="CA42" s="56"/>
      <c r="CF42" s="63"/>
      <c r="CI42" s="56"/>
      <c r="CJ42" s="56"/>
      <c r="CK42" s="56"/>
      <c r="CL42" s="56"/>
      <c r="CM42" s="56"/>
    </row>
    <row r="43" spans="1:93" ht="39.950000000000003" customHeight="1">
      <c r="C43" s="546"/>
      <c r="D43" s="547"/>
      <c r="F43" s="131" t="s">
        <v>124</v>
      </c>
      <c r="G43" s="132" t="s">
        <v>125</v>
      </c>
      <c r="H43" s="105"/>
      <c r="I43" s="105"/>
      <c r="J43" s="110"/>
      <c r="K43" s="71"/>
      <c r="L43" s="60"/>
      <c r="M43" s="52"/>
      <c r="P43" s="52" t="str">
        <f>IF(('[1]S 4'!$Y240=4),'[1]S 4'!$E240,IF(('[1]S 4'!$Y241=4),'[1]S 4'!$E241,IF(('[1]S 4'!$Y242=4),'[1]S 4'!$E242,IF(('[1]S 4'!$Y243=4),'[1]S 4'!$E243," "))))</f>
        <v xml:space="preserve"> </v>
      </c>
      <c r="R43" s="63"/>
      <c r="V43" s="170"/>
      <c r="W43" s="56"/>
      <c r="X43" s="56"/>
      <c r="Y43" s="56"/>
      <c r="AD43" s="63"/>
      <c r="AG43" s="56"/>
      <c r="AH43" s="56"/>
      <c r="AI43" s="56"/>
      <c r="AJ43" s="56"/>
      <c r="AK43" s="56"/>
      <c r="AP43" s="76"/>
      <c r="AQ43" s="67"/>
      <c r="AR43" s="68"/>
      <c r="AS43" s="69"/>
      <c r="AT43" s="69"/>
      <c r="AU43" s="69"/>
      <c r="AV43" s="69"/>
      <c r="AW43" s="69"/>
      <c r="AX43" s="68"/>
      <c r="AY43" s="69"/>
      <c r="AZ43" s="67"/>
      <c r="BB43" s="76"/>
      <c r="BC43" s="67"/>
      <c r="BD43" s="68"/>
      <c r="BE43" s="69"/>
      <c r="BF43" s="69"/>
      <c r="BG43" s="69"/>
      <c r="BH43" s="69"/>
      <c r="BI43" s="69"/>
      <c r="BJ43" s="68"/>
      <c r="BK43" s="69"/>
      <c r="BL43" s="67"/>
      <c r="BN43" s="56"/>
      <c r="BO43" s="56"/>
      <c r="BR43" s="49"/>
      <c r="BT43" s="63"/>
      <c r="BW43" s="56"/>
      <c r="BX43" s="56"/>
      <c r="BY43" s="56"/>
      <c r="BZ43" s="56"/>
      <c r="CA43" s="56"/>
      <c r="CF43" s="63"/>
      <c r="CI43" s="56"/>
      <c r="CJ43" s="56"/>
      <c r="CK43" s="56"/>
      <c r="CL43" s="56"/>
      <c r="CM43" s="56"/>
    </row>
    <row r="44" spans="1:93" ht="39.950000000000003" customHeight="1">
      <c r="C44" s="546"/>
      <c r="D44" s="547"/>
      <c r="F44" s="133" t="s">
        <v>126</v>
      </c>
      <c r="G44" s="133" t="s">
        <v>127</v>
      </c>
      <c r="H44" s="105"/>
      <c r="I44" s="105"/>
      <c r="J44" s="110"/>
      <c r="K44" s="57"/>
      <c r="L44" s="60"/>
      <c r="M44" s="52"/>
      <c r="P44" s="52" t="str">
        <f>IF(('[1]S 4'!$Y246=4),'[1]S 4'!$E246,IF(('[1]S 4'!$Y247=4),'[1]S 4'!$E247,IF(('[1]S 4'!$Y248=4),'[1]S 4'!$E248,IF(('[1]S 4'!$Y249=4),'[1]S 4'!$E249," "))))</f>
        <v xml:space="preserve"> </v>
      </c>
      <c r="R44" s="63"/>
      <c r="V44" s="170"/>
      <c r="W44" s="56"/>
      <c r="X44" s="56"/>
      <c r="Y44" s="56"/>
      <c r="AD44" s="63"/>
      <c r="AG44" s="56"/>
      <c r="AH44" s="56"/>
      <c r="AI44" s="56"/>
      <c r="AJ44" s="56"/>
      <c r="AK44" s="56"/>
      <c r="AP44" s="76"/>
      <c r="AQ44" s="67"/>
      <c r="AR44" s="68"/>
      <c r="AS44" s="69"/>
      <c r="AT44" s="69"/>
      <c r="AU44" s="69"/>
      <c r="AV44" s="69"/>
      <c r="AW44" s="69"/>
      <c r="AX44" s="68"/>
      <c r="AY44" s="69"/>
      <c r="AZ44" s="67"/>
      <c r="BB44" s="76"/>
      <c r="BC44" s="67"/>
      <c r="BD44" s="68"/>
      <c r="BE44" s="69"/>
      <c r="BF44" s="69"/>
      <c r="BG44" s="69"/>
      <c r="BH44" s="69"/>
      <c r="BI44" s="69"/>
      <c r="BJ44" s="68"/>
      <c r="BK44" s="69"/>
      <c r="BL44" s="67"/>
      <c r="BN44" s="56"/>
      <c r="BO44" s="56"/>
      <c r="BR44" s="49"/>
      <c r="BT44" s="63"/>
      <c r="BW44" s="56"/>
      <c r="BX44" s="56"/>
      <c r="BY44" s="56"/>
      <c r="BZ44" s="56"/>
      <c r="CA44" s="56"/>
      <c r="CF44" s="63"/>
      <c r="CI44" s="56"/>
      <c r="CJ44" s="56"/>
      <c r="CK44" s="56"/>
      <c r="CL44" s="56"/>
      <c r="CM44" s="56"/>
    </row>
    <row r="45" spans="1:93" ht="39.950000000000003" customHeight="1">
      <c r="C45" s="546"/>
      <c r="D45" s="547"/>
      <c r="F45" s="105"/>
      <c r="G45" s="105"/>
      <c r="H45" s="105"/>
      <c r="I45" s="105"/>
      <c r="J45" s="110"/>
      <c r="K45" s="57"/>
      <c r="L45" s="60"/>
      <c r="M45" s="52"/>
      <c r="P45" s="52" t="str">
        <f>IF(('[1]S 4'!$Y252=4),'[1]S 4'!$E252,IF(('[1]S 4'!$Y253=4),'[1]S 4'!$E253,IF(('[1]S 4'!$Y254=4),'[1]S 4'!$E254,IF(('[1]S 4'!$Y255=4),'[1]S 4'!$E255," "))))</f>
        <v xml:space="preserve"> </v>
      </c>
      <c r="R45" s="63"/>
      <c r="V45" s="170"/>
      <c r="W45" s="56"/>
      <c r="X45" s="56"/>
      <c r="Y45" s="56"/>
      <c r="AD45" s="63"/>
      <c r="AG45" s="56"/>
      <c r="AH45" s="56"/>
      <c r="AI45" s="56"/>
      <c r="AJ45" s="56"/>
      <c r="AK45" s="56"/>
      <c r="AP45" s="76"/>
      <c r="AQ45" s="67"/>
      <c r="AR45" s="68"/>
      <c r="AS45" s="69"/>
      <c r="AT45" s="69"/>
      <c r="AU45" s="69"/>
      <c r="AV45" s="69"/>
      <c r="AW45" s="69"/>
      <c r="AX45" s="68"/>
      <c r="AY45" s="69"/>
      <c r="AZ45" s="67"/>
      <c r="BB45" s="76"/>
      <c r="BC45" s="67"/>
      <c r="BD45" s="68"/>
      <c r="BE45" s="69"/>
      <c r="BF45" s="69"/>
      <c r="BG45" s="69"/>
      <c r="BH45" s="69"/>
      <c r="BI45" s="69"/>
      <c r="BJ45" s="68"/>
      <c r="BK45" s="69"/>
      <c r="BL45" s="67"/>
      <c r="BN45" s="56"/>
      <c r="BO45" s="56"/>
      <c r="BR45" s="49"/>
      <c r="BT45" s="63"/>
      <c r="BW45" s="56"/>
      <c r="BX45" s="56"/>
      <c r="BY45" s="56"/>
      <c r="BZ45" s="56"/>
      <c r="CA45" s="56"/>
      <c r="CF45" s="63"/>
      <c r="CI45" s="56"/>
      <c r="CJ45" s="56"/>
      <c r="CK45" s="56"/>
      <c r="CL45" s="56"/>
      <c r="CM45" s="56"/>
    </row>
    <row r="46" spans="1:93" ht="39.950000000000003" customHeight="1">
      <c r="C46" s="546"/>
      <c r="D46" s="547"/>
      <c r="F46" s="105"/>
      <c r="G46" s="105"/>
      <c r="H46" s="105"/>
      <c r="I46" s="105"/>
      <c r="J46" s="110"/>
      <c r="K46" s="57"/>
      <c r="L46" s="60"/>
      <c r="M46" s="52"/>
      <c r="P46" s="52" t="str">
        <f>IF(('[1]S 4'!$Y258=4),'[1]S 4'!$E258,IF(('[1]S 4'!$Y259=4),'[1]S 4'!$E259,IF(('[1]S 4'!$Y260=4),'[1]S 4'!$E260,IF(('[1]S 4'!$Y261=4),'[1]S 4'!$E261," "))))</f>
        <v xml:space="preserve"> </v>
      </c>
      <c r="AP46" s="67"/>
      <c r="AQ46" s="67"/>
      <c r="AR46" s="68"/>
      <c r="AS46" s="68"/>
      <c r="AT46" s="68"/>
      <c r="AU46" s="68"/>
      <c r="AV46" s="68"/>
      <c r="AW46" s="68"/>
      <c r="AX46" s="68"/>
      <c r="AY46" s="69"/>
      <c r="AZ46" s="67"/>
      <c r="BB46" s="67"/>
      <c r="BC46" s="67"/>
      <c r="BD46" s="68"/>
      <c r="BE46" s="68"/>
      <c r="BF46" s="68"/>
      <c r="BG46" s="68"/>
      <c r="BH46" s="68"/>
      <c r="BI46" s="68"/>
      <c r="BJ46" s="68"/>
      <c r="BK46" s="69"/>
      <c r="BL46" s="67"/>
      <c r="BR46" s="49"/>
    </row>
    <row r="47" spans="1:93" ht="39.950000000000003" customHeight="1">
      <c r="C47" s="546"/>
      <c r="D47" s="547"/>
      <c r="F47" s="105"/>
      <c r="G47" s="105"/>
      <c r="H47" s="105"/>
      <c r="I47" s="105"/>
      <c r="J47" s="110"/>
      <c r="K47" s="57"/>
      <c r="L47" s="60"/>
      <c r="M47" s="52"/>
      <c r="P47" s="52" t="str">
        <f>IF(('[1]S 4'!$Y264=4),'[1]S 4'!$E264,IF(('[1]S 4'!$Y265=4),'[1]S 4'!$E265,IF(('[1]S 4'!$Y266=4),'[1]S 4'!$E266,IF(('[1]S 4'!$Y267=4),'[1]S 4'!$E267," "))))</f>
        <v xml:space="preserve"> </v>
      </c>
      <c r="R47" s="63"/>
      <c r="S47" s="64"/>
      <c r="Y47" s="531"/>
      <c r="Z47" s="531"/>
      <c r="AA47" s="531"/>
      <c r="AD47" s="63"/>
      <c r="AE47" s="64"/>
      <c r="AK47" s="531"/>
      <c r="AL47" s="531"/>
      <c r="AM47" s="531"/>
      <c r="AP47" s="76"/>
      <c r="AQ47" s="77"/>
      <c r="AR47" s="68"/>
      <c r="AS47" s="68"/>
      <c r="AT47" s="68"/>
      <c r="AU47" s="68"/>
      <c r="AV47" s="68"/>
      <c r="AW47" s="533"/>
      <c r="AX47" s="533"/>
      <c r="AY47" s="533"/>
      <c r="AZ47" s="67"/>
      <c r="BB47" s="76"/>
      <c r="BC47" s="77"/>
      <c r="BD47" s="68"/>
      <c r="BE47" s="68"/>
      <c r="BF47" s="68"/>
      <c r="BG47" s="68"/>
      <c r="BH47" s="68"/>
      <c r="BI47" s="533"/>
      <c r="BJ47" s="533"/>
      <c r="BK47" s="533"/>
      <c r="BL47" s="67"/>
      <c r="BO47" s="531"/>
      <c r="BP47" s="531"/>
      <c r="BQ47" s="531"/>
      <c r="BR47" s="49"/>
      <c r="BT47" s="63"/>
      <c r="BU47" s="64"/>
      <c r="CA47" s="531"/>
      <c r="CB47" s="531"/>
      <c r="CC47" s="531"/>
      <c r="CF47" s="63"/>
      <c r="CG47" s="64"/>
      <c r="CM47" s="531"/>
      <c r="CN47" s="531"/>
      <c r="CO47" s="531"/>
    </row>
    <row r="48" spans="1:93" ht="39.950000000000003" customHeight="1">
      <c r="C48" s="546"/>
      <c r="D48" s="547"/>
      <c r="F48" s="105"/>
      <c r="G48" s="105"/>
      <c r="H48" s="105"/>
      <c r="I48" s="105"/>
      <c r="J48" s="105"/>
      <c r="K48" s="52"/>
      <c r="L48" s="60"/>
      <c r="M48" s="52"/>
      <c r="P48" s="52" t="str">
        <f>IF(('[1]S 4'!$Y270=4),'[1]S 4'!$E270,IF(('[1]S 4'!$Y271=4),'[1]S 4'!$E271,IF(('[1]S 4'!$Y272=4),'[1]S 4'!$E272,IF(('[1]S 4'!$Y273=4),'[1]S 4'!$E273," "))))</f>
        <v xml:space="preserve"> </v>
      </c>
      <c r="R48" s="63"/>
      <c r="V48" s="170"/>
      <c r="W48" s="56"/>
      <c r="X48" s="56"/>
      <c r="Y48" s="56"/>
      <c r="AD48" s="63"/>
      <c r="AG48" s="56"/>
      <c r="AH48" s="56"/>
      <c r="AI48" s="56"/>
      <c r="AJ48" s="56"/>
      <c r="AK48" s="56"/>
      <c r="AP48" s="76"/>
      <c r="AQ48" s="67"/>
      <c r="AR48" s="68"/>
      <c r="AS48" s="69"/>
      <c r="AT48" s="69"/>
      <c r="AU48" s="69"/>
      <c r="AV48" s="69"/>
      <c r="AW48" s="69"/>
      <c r="AX48" s="68"/>
      <c r="AY48" s="69"/>
      <c r="AZ48" s="67"/>
      <c r="BB48" s="76"/>
      <c r="BC48" s="67"/>
      <c r="BD48" s="68"/>
      <c r="BE48" s="69"/>
      <c r="BF48" s="69"/>
      <c r="BG48" s="69"/>
      <c r="BH48" s="69"/>
      <c r="BI48" s="69"/>
      <c r="BJ48" s="68"/>
      <c r="BK48" s="69"/>
      <c r="BL48" s="67"/>
      <c r="BN48" s="56"/>
      <c r="BO48" s="56"/>
      <c r="BR48" s="49"/>
      <c r="BT48" s="63"/>
      <c r="BW48" s="56"/>
      <c r="BX48" s="56"/>
      <c r="BY48" s="56"/>
      <c r="BZ48" s="56"/>
      <c r="CA48" s="56"/>
      <c r="CF48" s="63"/>
      <c r="CI48" s="56"/>
      <c r="CJ48" s="56"/>
      <c r="CK48" s="56"/>
      <c r="CL48" s="56"/>
      <c r="CM48" s="56"/>
    </row>
    <row r="49" spans="3:93" ht="39.950000000000003" customHeight="1">
      <c r="C49" s="546"/>
      <c r="D49" s="547"/>
      <c r="F49" s="105"/>
      <c r="G49" s="105"/>
      <c r="H49" s="105"/>
      <c r="I49" s="105"/>
      <c r="J49" s="105"/>
      <c r="K49" s="52"/>
      <c r="P49" s="52" t="str">
        <f>IF(('[1]S 4'!$Y276=4),'[1]S 4'!$E276,IF(('[1]S 4'!$Y277=4),'[1]S 4'!$E277,IF(('[1]S 4'!$Y278=4),'[1]S 4'!$E278,IF(('[1]S 4'!$Y279=4),'[1]S 4'!$E279," "))))</f>
        <v xml:space="preserve"> </v>
      </c>
      <c r="R49" s="63"/>
      <c r="V49" s="170"/>
      <c r="W49" s="56"/>
      <c r="X49" s="56"/>
      <c r="Y49" s="56"/>
      <c r="AD49" s="63"/>
      <c r="AG49" s="56"/>
      <c r="AH49" s="56"/>
      <c r="AI49" s="56"/>
      <c r="AJ49" s="56"/>
      <c r="AK49" s="56"/>
      <c r="AP49" s="76"/>
      <c r="AQ49" s="67"/>
      <c r="AR49" s="68"/>
      <c r="AS49" s="69"/>
      <c r="AT49" s="69"/>
      <c r="AU49" s="69"/>
      <c r="AV49" s="69"/>
      <c r="AW49" s="69"/>
      <c r="AX49" s="68"/>
      <c r="AY49" s="69"/>
      <c r="AZ49" s="67"/>
      <c r="BB49" s="76"/>
      <c r="BC49" s="67"/>
      <c r="BD49" s="68"/>
      <c r="BE49" s="69"/>
      <c r="BF49" s="69"/>
      <c r="BG49" s="69"/>
      <c r="BH49" s="69"/>
      <c r="BI49" s="69"/>
      <c r="BJ49" s="68"/>
      <c r="BK49" s="69"/>
      <c r="BL49" s="67"/>
      <c r="BN49" s="56"/>
      <c r="BO49" s="56"/>
      <c r="BR49" s="49"/>
      <c r="BT49" s="63"/>
      <c r="BW49" s="56"/>
      <c r="BX49" s="56"/>
      <c r="BY49" s="56"/>
      <c r="BZ49" s="56"/>
      <c r="CA49" s="56"/>
      <c r="CF49" s="63"/>
      <c r="CI49" s="56"/>
      <c r="CJ49" s="56"/>
      <c r="CK49" s="56"/>
      <c r="CL49" s="56"/>
      <c r="CM49" s="56"/>
    </row>
    <row r="50" spans="3:93" ht="39.950000000000003" customHeight="1">
      <c r="C50" s="546"/>
      <c r="D50" s="547"/>
      <c r="F50" s="105"/>
      <c r="G50" s="105"/>
      <c r="H50" s="105"/>
      <c r="I50" s="105"/>
      <c r="J50" s="105"/>
      <c r="K50" s="52"/>
      <c r="P50" s="52" t="str">
        <f>IF(('[1]S 4'!$Y282=4),'[1]S 4'!$E282,IF(('[1]S 4'!$Y283=4),'[1]S 4'!$E283,IF(('[1]S 4'!$Y284=4),'[1]S 4'!$E284,IF(('[1]S 4'!$Y285=4),'[1]S 4'!$E285," "))))</f>
        <v xml:space="preserve"> </v>
      </c>
      <c r="R50" s="63"/>
      <c r="V50" s="170"/>
      <c r="W50" s="56"/>
      <c r="X50" s="56"/>
      <c r="Y50" s="56"/>
      <c r="AD50" s="63"/>
      <c r="AG50" s="56"/>
      <c r="AH50" s="56"/>
      <c r="AI50" s="56"/>
      <c r="AJ50" s="56"/>
      <c r="AK50" s="56"/>
      <c r="AP50" s="76"/>
      <c r="AQ50" s="67"/>
      <c r="AR50" s="68"/>
      <c r="AS50" s="69"/>
      <c r="AT50" s="69"/>
      <c r="AU50" s="69"/>
      <c r="AV50" s="69"/>
      <c r="AW50" s="69"/>
      <c r="AX50" s="68"/>
      <c r="AY50" s="69"/>
      <c r="AZ50" s="67"/>
      <c r="BB50" s="76"/>
      <c r="BC50" s="67"/>
      <c r="BD50" s="68"/>
      <c r="BE50" s="69"/>
      <c r="BF50" s="69"/>
      <c r="BG50" s="69"/>
      <c r="BH50" s="69"/>
      <c r="BI50" s="69"/>
      <c r="BJ50" s="68"/>
      <c r="BK50" s="69"/>
      <c r="BL50" s="67"/>
      <c r="BN50" s="56"/>
      <c r="BO50" s="56"/>
      <c r="BR50" s="49"/>
      <c r="BT50" s="63"/>
      <c r="BW50" s="56"/>
      <c r="BX50" s="56"/>
      <c r="BY50" s="56"/>
      <c r="BZ50" s="56"/>
      <c r="CA50" s="56"/>
      <c r="CF50" s="63"/>
      <c r="CI50" s="56"/>
      <c r="CJ50" s="56"/>
      <c r="CK50" s="56"/>
      <c r="CL50" s="56"/>
      <c r="CM50" s="56"/>
    </row>
    <row r="51" spans="3:93" ht="39.950000000000003" customHeight="1">
      <c r="C51" s="546"/>
      <c r="D51" s="547"/>
      <c r="F51" s="105"/>
      <c r="G51" s="105"/>
      <c r="H51" s="105"/>
      <c r="I51" s="105"/>
      <c r="J51" s="105"/>
      <c r="K51" s="52"/>
      <c r="P51" s="52" t="str">
        <f>IF(('[1]S 4'!$Y288=4),'[1]S 4'!$E288,IF(('[1]S 4'!$Y289=4),'[1]S 4'!$E289,IF(('[1]S 4'!$Y290=4),'[1]S 4'!$E290,IF(('[1]S 4'!$Y291=4),'[1]S 4'!$E291," "))))</f>
        <v xml:space="preserve"> </v>
      </c>
      <c r="R51" s="63"/>
      <c r="V51" s="170"/>
      <c r="W51" s="56"/>
      <c r="X51" s="56"/>
      <c r="Y51" s="56"/>
      <c r="AD51" s="63"/>
      <c r="AG51" s="56"/>
      <c r="AH51" s="56"/>
      <c r="AI51" s="56"/>
      <c r="AJ51" s="56"/>
      <c r="AK51" s="56"/>
      <c r="AP51" s="76"/>
      <c r="AQ51" s="67"/>
      <c r="AR51" s="68"/>
      <c r="AS51" s="69"/>
      <c r="AT51" s="69"/>
      <c r="AU51" s="69"/>
      <c r="AV51" s="69"/>
      <c r="AW51" s="69"/>
      <c r="AX51" s="68"/>
      <c r="AY51" s="69"/>
      <c r="AZ51" s="67"/>
      <c r="BB51" s="76"/>
      <c r="BC51" s="67"/>
      <c r="BD51" s="68"/>
      <c r="BE51" s="69"/>
      <c r="BF51" s="69"/>
      <c r="BG51" s="69"/>
      <c r="BH51" s="69"/>
      <c r="BI51" s="69"/>
      <c r="BJ51" s="68"/>
      <c r="BK51" s="69"/>
      <c r="BL51" s="67"/>
      <c r="BN51" s="56"/>
      <c r="BO51" s="56"/>
      <c r="BR51" s="49"/>
      <c r="BT51" s="63"/>
      <c r="BW51" s="56"/>
      <c r="BX51" s="56"/>
      <c r="BY51" s="56"/>
      <c r="BZ51" s="56"/>
      <c r="CA51" s="56"/>
      <c r="CF51" s="63"/>
      <c r="CI51" s="56"/>
      <c r="CJ51" s="56"/>
      <c r="CK51" s="56"/>
      <c r="CL51" s="56"/>
      <c r="CM51" s="56"/>
    </row>
    <row r="52" spans="3:93" ht="39.950000000000003" customHeight="1">
      <c r="C52" s="546"/>
      <c r="D52" s="547"/>
      <c r="F52" s="105"/>
      <c r="G52" s="105"/>
      <c r="H52" s="105"/>
      <c r="I52" s="105"/>
      <c r="J52" s="105"/>
      <c r="K52" s="52"/>
      <c r="P52" s="52" t="str">
        <f>IF(('[1]S 4'!$Y294=4),'[1]S 4'!$E294,IF(('[1]S 4'!$Y295=4),'[1]S 4'!$E295,IF(('[1]S 4'!$Y296=4),'[1]S 4'!$E296,IF(('[1]S 4'!$Y297=4),'[1]S 4'!$E297," "))))</f>
        <v xml:space="preserve"> </v>
      </c>
      <c r="BR52" s="49"/>
    </row>
    <row r="53" spans="3:93" ht="39.950000000000003" customHeight="1">
      <c r="C53" s="546"/>
      <c r="D53" s="547"/>
      <c r="F53" s="105"/>
      <c r="G53" s="105"/>
      <c r="H53" s="105"/>
      <c r="I53" s="105"/>
      <c r="J53" s="105"/>
      <c r="K53" s="52"/>
      <c r="P53" s="52" t="str">
        <f>IF(('[1]S 4'!$Y300=4),'[1]S 4'!$E300,IF(('[1]S 4'!$Y301=4),'[1]S 4'!$E301,IF(('[1]S 4'!$Y302=4),'[1]S 4'!$E302,IF(('[1]S 4'!$Y303=4),'[1]S 4'!$E303," "))))</f>
        <v xml:space="preserve"> </v>
      </c>
      <c r="R53" s="63"/>
      <c r="S53" s="64"/>
      <c r="Y53" s="531"/>
      <c r="Z53" s="531"/>
      <c r="AA53" s="531"/>
      <c r="AD53" s="63"/>
      <c r="AE53" s="64"/>
      <c r="AK53" s="531"/>
      <c r="AL53" s="531"/>
      <c r="AM53" s="531"/>
      <c r="AO53" s="68"/>
      <c r="AP53" s="76"/>
      <c r="AQ53" s="77"/>
      <c r="AR53" s="68"/>
      <c r="AS53" s="68"/>
      <c r="AT53" s="68"/>
      <c r="AU53" s="68"/>
      <c r="AV53" s="68"/>
      <c r="AW53" s="533"/>
      <c r="AX53" s="533"/>
      <c r="AY53" s="533"/>
      <c r="AZ53" s="67"/>
      <c r="BA53" s="68"/>
      <c r="BB53" s="76"/>
      <c r="BC53" s="77"/>
      <c r="BD53" s="68"/>
      <c r="BE53" s="68"/>
      <c r="BF53" s="68"/>
      <c r="BG53" s="68"/>
      <c r="BH53" s="68"/>
      <c r="BI53" s="533"/>
      <c r="BJ53" s="533"/>
      <c r="BK53" s="533"/>
      <c r="BL53" s="67"/>
      <c r="BM53" s="67"/>
      <c r="BO53" s="531"/>
      <c r="BP53" s="531"/>
      <c r="BQ53" s="531"/>
      <c r="BR53" s="49"/>
      <c r="BT53" s="63"/>
      <c r="BU53" s="64"/>
      <c r="CA53" s="531"/>
      <c r="CB53" s="531"/>
      <c r="CC53" s="531"/>
      <c r="CF53" s="63"/>
      <c r="CG53" s="64"/>
      <c r="CM53" s="531"/>
      <c r="CN53" s="531"/>
      <c r="CO53" s="531"/>
    </row>
    <row r="54" spans="3:93" ht="39.950000000000003" customHeight="1">
      <c r="C54" s="546"/>
      <c r="D54" s="547"/>
      <c r="F54" s="105"/>
      <c r="G54" s="105"/>
      <c r="H54" s="105"/>
      <c r="I54" s="105"/>
      <c r="J54" s="105"/>
      <c r="K54" s="52"/>
      <c r="P54" s="52" t="e">
        <f>IF(('[1]S 4'!#REF!=4),'[1]S 4'!#REF!,IF(('[1]S 4'!#REF!=4),'[1]S 4'!#REF!,IF(('[1]S 4'!#REF!=4),'[1]S 4'!#REF!,IF(('[1]S 4'!#REF!=4),'[1]S 4'!#REF!," "))))</f>
        <v>#REF!</v>
      </c>
      <c r="R54" s="63"/>
      <c r="V54" s="170"/>
      <c r="W54" s="56"/>
      <c r="X54" s="56"/>
      <c r="Y54" s="56"/>
      <c r="AD54" s="63"/>
      <c r="AG54" s="56"/>
      <c r="AH54" s="56"/>
      <c r="AI54" s="56"/>
      <c r="AJ54" s="56"/>
      <c r="AK54" s="56"/>
      <c r="AO54" s="68"/>
      <c r="AP54" s="76"/>
      <c r="AQ54" s="67"/>
      <c r="AR54" s="68"/>
      <c r="AS54" s="69"/>
      <c r="AT54" s="69"/>
      <c r="AU54" s="69"/>
      <c r="AV54" s="69"/>
      <c r="AW54" s="69"/>
      <c r="AX54" s="68"/>
      <c r="AY54" s="69"/>
      <c r="AZ54" s="67"/>
      <c r="BA54" s="69"/>
      <c r="BB54" s="76"/>
      <c r="BC54" s="67"/>
      <c r="BD54" s="68"/>
      <c r="BE54" s="69"/>
      <c r="BF54" s="69"/>
      <c r="BG54" s="69"/>
      <c r="BH54" s="69"/>
      <c r="BI54" s="69"/>
      <c r="BJ54" s="68"/>
      <c r="BK54" s="69"/>
      <c r="BL54" s="67"/>
      <c r="BM54" s="67"/>
      <c r="BN54" s="56"/>
      <c r="BO54" s="56"/>
      <c r="BR54" s="49"/>
      <c r="BT54" s="63"/>
      <c r="BW54" s="56"/>
      <c r="BX54" s="56"/>
      <c r="BY54" s="56"/>
      <c r="BZ54" s="56"/>
      <c r="CA54" s="56"/>
      <c r="CF54" s="63"/>
      <c r="CI54" s="56"/>
      <c r="CJ54" s="56"/>
      <c r="CK54" s="56"/>
      <c r="CL54" s="56"/>
      <c r="CM54" s="56"/>
    </row>
    <row r="55" spans="3:93" ht="39.950000000000003" customHeight="1">
      <c r="C55" s="546"/>
      <c r="D55" s="547"/>
      <c r="F55" s="105"/>
      <c r="G55" s="105"/>
      <c r="H55" s="105"/>
      <c r="I55" s="105"/>
      <c r="J55" s="105"/>
      <c r="K55" s="52"/>
      <c r="P55" s="52" t="e">
        <f>IF(('[1]S 4'!#REF!=4),'[1]S 4'!#REF!,IF(('[1]S 4'!#REF!=4),'[1]S 4'!#REF!,IF(('[1]S 4'!#REF!=4),'[1]S 4'!#REF!,IF(('[1]S 4'!#REF!=4),'[1]S 4'!#REF!," "))))</f>
        <v>#REF!</v>
      </c>
      <c r="R55" s="63"/>
      <c r="V55" s="170"/>
      <c r="W55" s="56"/>
      <c r="X55" s="56"/>
      <c r="Y55" s="56"/>
      <c r="AD55" s="63"/>
      <c r="AG55" s="56"/>
      <c r="AH55" s="56"/>
      <c r="AI55" s="56"/>
      <c r="AJ55" s="56"/>
      <c r="AK55" s="56"/>
      <c r="AO55" s="68"/>
      <c r="AP55" s="76"/>
      <c r="AQ55" s="67"/>
      <c r="AR55" s="68"/>
      <c r="AS55" s="69"/>
      <c r="AT55" s="69"/>
      <c r="AU55" s="69"/>
      <c r="AV55" s="69"/>
      <c r="AW55" s="69"/>
      <c r="AX55" s="68"/>
      <c r="AY55" s="69"/>
      <c r="AZ55" s="67"/>
      <c r="BA55" s="69"/>
      <c r="BB55" s="76"/>
      <c r="BC55" s="67"/>
      <c r="BD55" s="68"/>
      <c r="BE55" s="69"/>
      <c r="BF55" s="69"/>
      <c r="BG55" s="69"/>
      <c r="BH55" s="69"/>
      <c r="BI55" s="69"/>
      <c r="BJ55" s="68"/>
      <c r="BK55" s="69"/>
      <c r="BL55" s="67"/>
      <c r="BM55" s="67"/>
      <c r="BN55" s="56"/>
      <c r="BO55" s="56"/>
      <c r="BR55" s="49"/>
      <c r="BT55" s="63"/>
      <c r="BW55" s="56"/>
      <c r="BX55" s="56"/>
      <c r="BY55" s="56"/>
      <c r="BZ55" s="56"/>
      <c r="CA55" s="56"/>
      <c r="CF55" s="63"/>
      <c r="CI55" s="56"/>
      <c r="CJ55" s="56"/>
      <c r="CK55" s="56"/>
      <c r="CL55" s="56"/>
      <c r="CM55" s="56"/>
    </row>
    <row r="56" spans="3:93" ht="39.950000000000003" customHeight="1">
      <c r="C56" s="546"/>
      <c r="D56" s="547"/>
      <c r="F56" s="105"/>
      <c r="G56" s="105"/>
      <c r="H56" s="105"/>
      <c r="I56" s="105"/>
      <c r="J56" s="105"/>
      <c r="K56" s="52"/>
      <c r="P56" s="52" t="e">
        <f>IF(('[1]S 4'!#REF!=4),'[1]S 4'!#REF!,IF(('[1]S 4'!#REF!=4),'[1]S 4'!#REF!,IF(('[1]S 4'!#REF!=4),'[1]S 4'!#REF!,IF(('[1]S 4'!#REF!=4),'[1]S 4'!#REF!," "))))</f>
        <v>#REF!</v>
      </c>
      <c r="R56" s="63"/>
      <c r="V56" s="170"/>
      <c r="W56" s="56"/>
      <c r="X56" s="56"/>
      <c r="Y56" s="56"/>
      <c r="AD56" s="63"/>
      <c r="AG56" s="56"/>
      <c r="AH56" s="56"/>
      <c r="AI56" s="56"/>
      <c r="AJ56" s="56"/>
      <c r="AK56" s="56"/>
      <c r="AO56" s="68"/>
      <c r="AP56" s="76"/>
      <c r="AQ56" s="67"/>
      <c r="AR56" s="68"/>
      <c r="AS56" s="69"/>
      <c r="AT56" s="69"/>
      <c r="AU56" s="69"/>
      <c r="AV56" s="69"/>
      <c r="AW56" s="69"/>
      <c r="AX56" s="68"/>
      <c r="AY56" s="69"/>
      <c r="AZ56" s="67"/>
      <c r="BA56" s="69"/>
      <c r="BB56" s="76"/>
      <c r="BC56" s="67"/>
      <c r="BD56" s="68"/>
      <c r="BE56" s="69"/>
      <c r="BF56" s="69"/>
      <c r="BG56" s="69"/>
      <c r="BH56" s="69"/>
      <c r="BI56" s="69"/>
      <c r="BJ56" s="68"/>
      <c r="BK56" s="69"/>
      <c r="BL56" s="67"/>
      <c r="BM56" s="67"/>
      <c r="BN56" s="56"/>
      <c r="BO56" s="56"/>
      <c r="BR56" s="49"/>
      <c r="BT56" s="63"/>
      <c r="BW56" s="56"/>
      <c r="BX56" s="56"/>
      <c r="BY56" s="56"/>
      <c r="BZ56" s="56"/>
      <c r="CA56" s="56"/>
      <c r="CF56" s="63"/>
      <c r="CI56" s="56"/>
      <c r="CJ56" s="56"/>
      <c r="CK56" s="56"/>
      <c r="CL56" s="56"/>
      <c r="CM56" s="56"/>
    </row>
    <row r="57" spans="3:93" ht="39.950000000000003" customHeight="1">
      <c r="C57" s="546"/>
      <c r="D57" s="547"/>
      <c r="F57" s="105"/>
      <c r="G57" s="105"/>
      <c r="H57" s="105"/>
      <c r="I57" s="105"/>
      <c r="J57" s="105"/>
      <c r="K57" s="52"/>
      <c r="P57" s="52" t="e">
        <f>IF(('[1]S 4'!#REF!=4),'[1]S 4'!#REF!,IF(('[1]S 4'!#REF!=4),'[1]S 4'!#REF!,IF(('[1]S 4'!#REF!=4),'[1]S 4'!#REF!,IF(('[1]S 4'!#REF!=4),'[1]S 4'!#REF!," "))))</f>
        <v>#REF!</v>
      </c>
      <c r="R57" s="63"/>
      <c r="V57" s="170"/>
      <c r="W57" s="56"/>
      <c r="X57" s="56"/>
      <c r="Y57" s="56"/>
      <c r="AD57" s="63"/>
      <c r="AG57" s="56"/>
      <c r="AH57" s="56"/>
      <c r="AI57" s="56"/>
      <c r="AJ57" s="56"/>
      <c r="AK57" s="56"/>
      <c r="AO57" s="68"/>
      <c r="AP57" s="76"/>
      <c r="AQ57" s="67"/>
      <c r="AR57" s="68"/>
      <c r="AS57" s="69"/>
      <c r="AT57" s="69"/>
      <c r="AU57" s="69"/>
      <c r="AV57" s="69"/>
      <c r="AW57" s="69"/>
      <c r="AX57" s="68"/>
      <c r="AY57" s="69"/>
      <c r="AZ57" s="67"/>
      <c r="BA57" s="69"/>
      <c r="BB57" s="76"/>
      <c r="BC57" s="67"/>
      <c r="BD57" s="68"/>
      <c r="BE57" s="69"/>
      <c r="BF57" s="69"/>
      <c r="BG57" s="69"/>
      <c r="BH57" s="69"/>
      <c r="BI57" s="69"/>
      <c r="BJ57" s="68"/>
      <c r="BK57" s="69"/>
      <c r="BL57" s="67"/>
      <c r="BM57" s="67"/>
      <c r="BN57" s="56"/>
      <c r="BO57" s="56"/>
      <c r="BR57" s="49"/>
      <c r="BT57" s="63"/>
      <c r="BW57" s="56"/>
      <c r="BX57" s="56"/>
      <c r="BY57" s="56"/>
      <c r="BZ57" s="56"/>
      <c r="CA57" s="56"/>
      <c r="CF57" s="63"/>
      <c r="CI57" s="56"/>
      <c r="CJ57" s="56"/>
      <c r="CK57" s="56"/>
      <c r="CL57" s="56"/>
      <c r="CM57" s="56"/>
    </row>
    <row r="58" spans="3:93" ht="39.950000000000003" customHeight="1">
      <c r="C58" s="546"/>
      <c r="D58" s="547"/>
      <c r="F58" s="105"/>
      <c r="G58" s="105"/>
      <c r="H58" s="105"/>
      <c r="I58" s="105"/>
      <c r="J58" s="105"/>
      <c r="K58" s="52"/>
      <c r="P58" s="52" t="e">
        <f>IF(('[1]S 4'!#REF!=4),'[1]S 4'!#REF!,IF(('[1]S 4'!#REF!=4),'[1]S 4'!#REF!,IF(('[1]S 4'!#REF!=4),'[1]S 4'!#REF!,IF(('[1]S 4'!#REF!=4),'[1]S 4'!#REF!," "))))</f>
        <v>#REF!</v>
      </c>
      <c r="AO58" s="68"/>
      <c r="AP58" s="67"/>
      <c r="AQ58" s="67"/>
      <c r="AR58" s="68"/>
      <c r="AS58" s="68"/>
      <c r="AT58" s="68"/>
      <c r="AU58" s="68"/>
      <c r="AV58" s="68"/>
      <c r="AW58" s="68"/>
      <c r="AX58" s="68"/>
      <c r="AY58" s="69"/>
      <c r="AZ58" s="67"/>
      <c r="BA58" s="68"/>
      <c r="BB58" s="67"/>
      <c r="BC58" s="67"/>
      <c r="BD58" s="68"/>
      <c r="BE58" s="68"/>
      <c r="BF58" s="68"/>
      <c r="BG58" s="68"/>
      <c r="BH58" s="68"/>
      <c r="BI58" s="68"/>
      <c r="BJ58" s="68"/>
      <c r="BK58" s="69"/>
      <c r="BL58" s="67"/>
      <c r="BM58" s="67"/>
      <c r="BR58" s="49"/>
    </row>
    <row r="59" spans="3:93" ht="39.950000000000003" customHeight="1">
      <c r="C59" s="546"/>
      <c r="D59" s="547"/>
      <c r="F59" s="105"/>
      <c r="G59" s="105"/>
      <c r="H59" s="105"/>
      <c r="I59" s="105"/>
      <c r="J59" s="105"/>
      <c r="K59" s="52"/>
      <c r="P59" s="52" t="e">
        <f>IF(('[1]S 4'!#REF!=4),'[1]S 4'!#REF!,IF(('[1]S 4'!#REF!=4),'[1]S 4'!#REF!,IF(('[1]S 4'!#REF!=4),'[1]S 4'!#REF!,IF(('[1]S 4'!#REF!=4),'[1]S 4'!#REF!," "))))</f>
        <v>#REF!</v>
      </c>
      <c r="R59" s="63"/>
      <c r="S59" s="64"/>
      <c r="Y59" s="531"/>
      <c r="Z59" s="531"/>
      <c r="AA59" s="531"/>
      <c r="AD59" s="63"/>
      <c r="AE59" s="64"/>
      <c r="AK59" s="531"/>
      <c r="AL59" s="531"/>
      <c r="AM59" s="531"/>
      <c r="AO59" s="68"/>
      <c r="AP59" s="76"/>
      <c r="AQ59" s="77"/>
      <c r="AR59" s="68"/>
      <c r="AS59" s="68"/>
      <c r="AT59" s="68"/>
      <c r="AU59" s="68"/>
      <c r="AV59" s="68"/>
      <c r="AW59" s="533"/>
      <c r="AX59" s="533"/>
      <c r="AY59" s="533"/>
      <c r="AZ59" s="67"/>
      <c r="BA59" s="68"/>
      <c r="BB59" s="76"/>
      <c r="BC59" s="77"/>
      <c r="BD59" s="68"/>
      <c r="BE59" s="68"/>
      <c r="BF59" s="68"/>
      <c r="BG59" s="68"/>
      <c r="BH59" s="68"/>
      <c r="BI59" s="533"/>
      <c r="BJ59" s="533"/>
      <c r="BK59" s="533"/>
      <c r="BL59" s="67"/>
      <c r="BM59" s="67"/>
      <c r="BO59" s="531"/>
      <c r="BP59" s="531"/>
      <c r="BQ59" s="531"/>
      <c r="BR59" s="49"/>
      <c r="BT59" s="63"/>
      <c r="BU59" s="64"/>
      <c r="CA59" s="531"/>
      <c r="CB59" s="531"/>
      <c r="CC59" s="531"/>
      <c r="CF59" s="63"/>
      <c r="CG59" s="64"/>
      <c r="CM59" s="531"/>
      <c r="CN59" s="531"/>
      <c r="CO59" s="531"/>
    </row>
    <row r="60" spans="3:93" ht="39.950000000000003" customHeight="1">
      <c r="C60" s="546"/>
      <c r="D60" s="547"/>
      <c r="F60" s="105"/>
      <c r="G60" s="105"/>
      <c r="H60" s="105"/>
      <c r="I60" s="105"/>
      <c r="J60" s="105"/>
      <c r="K60" s="52"/>
      <c r="P60" s="52" t="e">
        <f>IF(('[1]S 4'!#REF!=4),'[1]S 4'!#REF!,IF(('[1]S 4'!#REF!=4),'[1]S 4'!#REF!,IF(('[1]S 4'!#REF!=4),'[1]S 4'!#REF!,IF(('[1]S 4'!#REF!=4),'[1]S 4'!#REF!," "))))</f>
        <v>#REF!</v>
      </c>
      <c r="R60" s="63"/>
      <c r="V60" s="170"/>
      <c r="W60" s="56"/>
      <c r="X60" s="56"/>
      <c r="Y60" s="56"/>
      <c r="AD60" s="63"/>
      <c r="AG60" s="56"/>
      <c r="AH60" s="56"/>
      <c r="AI60" s="56"/>
      <c r="AJ60" s="56"/>
      <c r="AK60" s="56"/>
      <c r="AO60" s="68"/>
      <c r="AP60" s="76"/>
      <c r="AQ60" s="67"/>
      <c r="AR60" s="68"/>
      <c r="AS60" s="69"/>
      <c r="AT60" s="69"/>
      <c r="AU60" s="69"/>
      <c r="AV60" s="69"/>
      <c r="AW60" s="69"/>
      <c r="AX60" s="68"/>
      <c r="AY60" s="69"/>
      <c r="AZ60" s="67"/>
      <c r="BA60" s="69"/>
      <c r="BB60" s="76"/>
      <c r="BC60" s="67"/>
      <c r="BD60" s="68"/>
      <c r="BE60" s="69"/>
      <c r="BF60" s="69"/>
      <c r="BG60" s="69"/>
      <c r="BH60" s="69"/>
      <c r="BI60" s="69"/>
      <c r="BJ60" s="68"/>
      <c r="BK60" s="69"/>
      <c r="BL60" s="67"/>
      <c r="BM60" s="67"/>
      <c r="BN60" s="56"/>
      <c r="BO60" s="56"/>
      <c r="BR60" s="49"/>
      <c r="BT60" s="63"/>
      <c r="BW60" s="56"/>
      <c r="BX60" s="56"/>
      <c r="BY60" s="56"/>
      <c r="BZ60" s="56"/>
      <c r="CA60" s="56"/>
      <c r="CF60" s="63"/>
      <c r="CI60" s="56"/>
      <c r="CJ60" s="56"/>
      <c r="CK60" s="56"/>
      <c r="CL60" s="56"/>
      <c r="CM60" s="56"/>
    </row>
    <row r="61" spans="3:93" ht="39.950000000000003" customHeight="1">
      <c r="C61" s="546"/>
      <c r="D61" s="547"/>
      <c r="F61" s="105"/>
      <c r="G61" s="105"/>
      <c r="H61" s="105"/>
      <c r="I61" s="105"/>
      <c r="J61" s="105"/>
      <c r="K61" s="52"/>
      <c r="P61" s="52" t="e">
        <f>IF(('[1]S 4'!#REF!=4),'[1]S 4'!#REF!,IF(('[1]S 4'!#REF!=4),'[1]S 4'!#REF!,IF(('[1]S 4'!#REF!=4),'[1]S 4'!#REF!,IF(('[1]S 4'!#REF!=4),'[1]S 4'!#REF!," "))))</f>
        <v>#REF!</v>
      </c>
      <c r="R61" s="63"/>
      <c r="V61" s="170"/>
      <c r="W61" s="56"/>
      <c r="X61" s="56"/>
      <c r="Y61" s="56"/>
      <c r="AD61" s="63"/>
      <c r="AG61" s="56"/>
      <c r="AH61" s="56"/>
      <c r="AI61" s="56"/>
      <c r="AJ61" s="56"/>
      <c r="AK61" s="56"/>
      <c r="AO61" s="68"/>
      <c r="AP61" s="76"/>
      <c r="AQ61" s="67"/>
      <c r="AR61" s="68"/>
      <c r="AS61" s="69"/>
      <c r="AT61" s="69"/>
      <c r="AU61" s="69"/>
      <c r="AV61" s="69"/>
      <c r="AW61" s="69"/>
      <c r="AX61" s="68"/>
      <c r="AY61" s="69"/>
      <c r="AZ61" s="67"/>
      <c r="BA61" s="69"/>
      <c r="BB61" s="76"/>
      <c r="BC61" s="67"/>
      <c r="BD61" s="68"/>
      <c r="BE61" s="69"/>
      <c r="BF61" s="69"/>
      <c r="BG61" s="69"/>
      <c r="BH61" s="69"/>
      <c r="BI61" s="69"/>
      <c r="BJ61" s="68"/>
      <c r="BK61" s="69"/>
      <c r="BL61" s="67"/>
      <c r="BM61" s="67"/>
      <c r="BN61" s="56"/>
      <c r="BO61" s="56"/>
      <c r="BR61" s="49"/>
      <c r="BT61" s="63"/>
      <c r="BW61" s="56"/>
      <c r="BX61" s="56"/>
      <c r="BY61" s="56"/>
      <c r="BZ61" s="56"/>
      <c r="CA61" s="56"/>
      <c r="CF61" s="63"/>
      <c r="CI61" s="56"/>
      <c r="CJ61" s="56"/>
      <c r="CK61" s="56"/>
      <c r="CL61" s="56"/>
      <c r="CM61" s="56"/>
    </row>
    <row r="62" spans="3:93" ht="39.950000000000003" customHeight="1">
      <c r="C62" s="546"/>
      <c r="D62" s="547"/>
      <c r="F62" s="105"/>
      <c r="G62" s="105"/>
      <c r="H62" s="105"/>
      <c r="I62" s="105"/>
      <c r="J62" s="105"/>
      <c r="K62" s="52"/>
      <c r="P62" s="52" t="e">
        <f>IF(('[1]S 4'!#REF!=4),'[1]S 4'!#REF!,IF(('[1]S 4'!#REF!=4),'[1]S 4'!#REF!,IF(('[1]S 4'!#REF!=4),'[1]S 4'!#REF!,IF(('[1]S 4'!#REF!=4),'[1]S 4'!#REF!," "))))</f>
        <v>#REF!</v>
      </c>
      <c r="R62" s="63"/>
      <c r="V62" s="170"/>
      <c r="W62" s="56"/>
      <c r="X62" s="56"/>
      <c r="Y62" s="56"/>
      <c r="AD62" s="63"/>
      <c r="AG62" s="56"/>
      <c r="AH62" s="56"/>
      <c r="AI62" s="56"/>
      <c r="AJ62" s="56"/>
      <c r="AK62" s="56"/>
      <c r="AO62" s="68"/>
      <c r="AP62" s="76"/>
      <c r="AQ62" s="67"/>
      <c r="AR62" s="68"/>
      <c r="AS62" s="69"/>
      <c r="AT62" s="69"/>
      <c r="AU62" s="69"/>
      <c r="AV62" s="69"/>
      <c r="AW62" s="69"/>
      <c r="AX62" s="68"/>
      <c r="AY62" s="69"/>
      <c r="AZ62" s="67"/>
      <c r="BA62" s="69"/>
      <c r="BB62" s="76"/>
      <c r="BC62" s="67"/>
      <c r="BD62" s="68"/>
      <c r="BE62" s="69"/>
      <c r="BF62" s="69"/>
      <c r="BG62" s="69"/>
      <c r="BH62" s="69"/>
      <c r="BI62" s="69"/>
      <c r="BJ62" s="68"/>
      <c r="BK62" s="69"/>
      <c r="BL62" s="67"/>
      <c r="BM62" s="67"/>
      <c r="BN62" s="56"/>
      <c r="BO62" s="56"/>
      <c r="BR62" s="49"/>
      <c r="BT62" s="63"/>
      <c r="BW62" s="56"/>
      <c r="BX62" s="56"/>
      <c r="BY62" s="56"/>
      <c r="BZ62" s="56"/>
      <c r="CA62" s="56"/>
      <c r="CF62" s="63"/>
      <c r="CI62" s="56"/>
      <c r="CJ62" s="56"/>
      <c r="CK62" s="56"/>
      <c r="CL62" s="56"/>
      <c r="CM62" s="56"/>
    </row>
    <row r="63" spans="3:93" ht="39.950000000000003" customHeight="1">
      <c r="C63" s="546"/>
      <c r="D63" s="547"/>
      <c r="F63" s="105"/>
      <c r="G63" s="105"/>
      <c r="H63" s="105"/>
      <c r="I63" s="105"/>
      <c r="J63" s="105"/>
      <c r="K63" s="52"/>
      <c r="P63" s="52" t="e">
        <f>IF(('[1]S 4'!#REF!=4),'[1]S 4'!#REF!,IF(('[1]S 4'!#REF!=4),'[1]S 4'!#REF!,IF(('[1]S 4'!#REF!=4),'[1]S 4'!#REF!,IF(('[1]S 4'!#REF!=4),'[1]S 4'!#REF!," "))))</f>
        <v>#REF!</v>
      </c>
      <c r="R63" s="63"/>
      <c r="V63" s="170"/>
      <c r="W63" s="56"/>
      <c r="X63" s="56"/>
      <c r="Y63" s="56"/>
      <c r="AD63" s="63"/>
      <c r="AG63" s="56"/>
      <c r="AH63" s="56"/>
      <c r="AI63" s="56"/>
      <c r="AJ63" s="56"/>
      <c r="AK63" s="56"/>
      <c r="AO63" s="68"/>
      <c r="AP63" s="76"/>
      <c r="AQ63" s="67"/>
      <c r="AR63" s="68"/>
      <c r="AS63" s="69"/>
      <c r="AT63" s="69"/>
      <c r="AU63" s="69"/>
      <c r="AV63" s="69"/>
      <c r="AW63" s="69"/>
      <c r="AX63" s="68"/>
      <c r="AY63" s="69"/>
      <c r="AZ63" s="67"/>
      <c r="BA63" s="69"/>
      <c r="BB63" s="76"/>
      <c r="BC63" s="67"/>
      <c r="BD63" s="68"/>
      <c r="BE63" s="69"/>
      <c r="BF63" s="69"/>
      <c r="BG63" s="69"/>
      <c r="BH63" s="69"/>
      <c r="BI63" s="69"/>
      <c r="BJ63" s="68"/>
      <c r="BK63" s="69"/>
      <c r="BL63" s="67"/>
      <c r="BM63" s="67"/>
      <c r="BN63" s="56"/>
      <c r="BO63" s="56"/>
      <c r="BR63" s="49"/>
      <c r="BT63" s="63"/>
      <c r="BW63" s="56"/>
      <c r="BX63" s="56"/>
      <c r="BY63" s="56"/>
      <c r="BZ63" s="56"/>
      <c r="CA63" s="56"/>
      <c r="CF63" s="63"/>
      <c r="CI63" s="56"/>
      <c r="CJ63" s="56"/>
      <c r="CK63" s="56"/>
      <c r="CL63" s="56"/>
      <c r="CM63" s="56"/>
    </row>
    <row r="64" spans="3:93" ht="39.950000000000003" customHeight="1">
      <c r="C64" s="546"/>
      <c r="D64" s="547"/>
      <c r="F64" s="105"/>
      <c r="G64" s="105"/>
      <c r="H64" s="105"/>
      <c r="I64" s="105"/>
      <c r="J64" s="105"/>
      <c r="K64" s="52"/>
      <c r="P64" s="52" t="e">
        <f>IF(('[1]S 4'!#REF!=4),'[1]S 4'!#REF!,IF(('[1]S 4'!#REF!=4),'[1]S 4'!#REF!,IF(('[1]S 4'!#REF!=4),'[1]S 4'!#REF!,IF(('[1]S 4'!#REF!=4),'[1]S 4'!#REF!," "))))</f>
        <v>#REF!</v>
      </c>
      <c r="AO64" s="68"/>
      <c r="AP64" s="67"/>
      <c r="AQ64" s="67"/>
      <c r="AR64" s="68"/>
      <c r="AS64" s="68"/>
      <c r="AT64" s="68"/>
      <c r="AU64" s="68"/>
      <c r="AV64" s="68"/>
      <c r="AW64" s="68"/>
      <c r="AX64" s="68"/>
      <c r="AY64" s="69"/>
      <c r="AZ64" s="67"/>
      <c r="BA64" s="68"/>
      <c r="BB64" s="67"/>
      <c r="BC64" s="67"/>
      <c r="BD64" s="68"/>
      <c r="BE64" s="68"/>
      <c r="BF64" s="68"/>
      <c r="BG64" s="68"/>
      <c r="BH64" s="68"/>
      <c r="BI64" s="68"/>
      <c r="BJ64" s="68"/>
      <c r="BK64" s="69"/>
      <c r="BL64" s="67"/>
      <c r="BM64" s="67"/>
      <c r="BR64" s="49"/>
    </row>
    <row r="65" spans="3:93" ht="39.950000000000003" customHeight="1">
      <c r="C65" s="546"/>
      <c r="D65" s="547"/>
      <c r="F65" s="105"/>
      <c r="G65" s="105"/>
      <c r="H65" s="105"/>
      <c r="I65" s="105"/>
      <c r="J65" s="105"/>
      <c r="K65" s="52"/>
      <c r="P65" s="52" t="e">
        <f>IF(('[1]S 4'!#REF!=4),'[1]S 4'!#REF!,IF(('[1]S 4'!#REF!=4),'[1]S 4'!#REF!,IF(('[1]S 4'!#REF!=4),'[1]S 4'!#REF!,IF(('[1]S 4'!#REF!=4),'[1]S 4'!#REF!," "))))</f>
        <v>#REF!</v>
      </c>
      <c r="R65" s="63"/>
      <c r="S65" s="64"/>
      <c r="Y65" s="531"/>
      <c r="Z65" s="531"/>
      <c r="AA65" s="531"/>
      <c r="AD65" s="63"/>
      <c r="AE65" s="64"/>
      <c r="AK65" s="531"/>
      <c r="AL65" s="531"/>
      <c r="AM65" s="531"/>
      <c r="AO65" s="68"/>
      <c r="AP65" s="76"/>
      <c r="AQ65" s="77"/>
      <c r="AR65" s="68"/>
      <c r="AS65" s="68"/>
      <c r="AT65" s="68"/>
      <c r="AU65" s="68"/>
      <c r="AV65" s="68"/>
      <c r="AW65" s="533"/>
      <c r="AX65" s="533"/>
      <c r="AY65" s="533"/>
      <c r="AZ65" s="67"/>
      <c r="BA65" s="68"/>
      <c r="BB65" s="76"/>
      <c r="BC65" s="77"/>
      <c r="BD65" s="68"/>
      <c r="BE65" s="68"/>
      <c r="BF65" s="68"/>
      <c r="BG65" s="68"/>
      <c r="BH65" s="68"/>
      <c r="BI65" s="533"/>
      <c r="BJ65" s="533"/>
      <c r="BK65" s="533"/>
      <c r="BL65" s="67"/>
      <c r="BM65" s="67"/>
      <c r="BO65" s="531"/>
      <c r="BP65" s="531"/>
      <c r="BQ65" s="531"/>
      <c r="BR65" s="49"/>
      <c r="BT65" s="63"/>
      <c r="BU65" s="64"/>
      <c r="CA65" s="531"/>
      <c r="CB65" s="531"/>
      <c r="CC65" s="531"/>
      <c r="CF65" s="63"/>
      <c r="CG65" s="64"/>
      <c r="CM65" s="531"/>
      <c r="CN65" s="531"/>
      <c r="CO65" s="531"/>
    </row>
    <row r="66" spans="3:93" ht="39.950000000000003" customHeight="1">
      <c r="C66" s="546"/>
      <c r="D66" s="547"/>
      <c r="F66" s="105"/>
      <c r="G66" s="105"/>
      <c r="H66" s="105"/>
      <c r="I66" s="105"/>
      <c r="J66" s="105"/>
      <c r="K66" s="52"/>
      <c r="P66" s="52" t="e">
        <f>IF(('[1]S 4'!#REF!=4),'[1]S 4'!#REF!,IF(('[1]S 4'!#REF!=4),'[1]S 4'!#REF!,IF(('[1]S 4'!#REF!=4),'[1]S 4'!#REF!,IF(('[1]S 4'!#REF!=4),'[1]S 4'!#REF!," "))))</f>
        <v>#REF!</v>
      </c>
      <c r="R66" s="63"/>
      <c r="V66" s="170"/>
      <c r="W66" s="56"/>
      <c r="X66" s="56"/>
      <c r="Y66" s="56"/>
      <c r="AD66" s="63"/>
      <c r="AG66" s="56"/>
      <c r="AH66" s="56"/>
      <c r="AI66" s="56"/>
      <c r="AJ66" s="56"/>
      <c r="AK66" s="56"/>
      <c r="AO66" s="68"/>
      <c r="AP66" s="76"/>
      <c r="AQ66" s="67"/>
      <c r="AR66" s="68"/>
      <c r="AS66" s="69"/>
      <c r="AT66" s="69"/>
      <c r="AU66" s="69"/>
      <c r="AV66" s="69"/>
      <c r="AW66" s="69"/>
      <c r="AX66" s="68"/>
      <c r="AY66" s="69"/>
      <c r="AZ66" s="67"/>
      <c r="BA66" s="69"/>
      <c r="BB66" s="76"/>
      <c r="BC66" s="67"/>
      <c r="BD66" s="68"/>
      <c r="BE66" s="69"/>
      <c r="BF66" s="69"/>
      <c r="BG66" s="69"/>
      <c r="BH66" s="69"/>
      <c r="BI66" s="69"/>
      <c r="BJ66" s="68"/>
      <c r="BK66" s="69"/>
      <c r="BL66" s="67"/>
      <c r="BM66" s="67"/>
      <c r="BN66" s="56"/>
      <c r="BO66" s="56"/>
      <c r="BR66" s="49"/>
      <c r="BT66" s="63"/>
      <c r="BW66" s="56"/>
      <c r="BX66" s="56"/>
      <c r="BY66" s="56"/>
      <c r="BZ66" s="56"/>
      <c r="CA66" s="56"/>
      <c r="CF66" s="63"/>
      <c r="CI66" s="56"/>
      <c r="CJ66" s="56"/>
      <c r="CK66" s="56"/>
      <c r="CL66" s="56"/>
      <c r="CM66" s="56"/>
    </row>
    <row r="67" spans="3:93" ht="39.950000000000003" customHeight="1">
      <c r="C67" s="546"/>
      <c r="D67" s="547"/>
      <c r="F67" s="105"/>
      <c r="G67" s="105"/>
      <c r="H67" s="105"/>
      <c r="I67" s="105"/>
      <c r="J67" s="105"/>
      <c r="K67" s="52"/>
      <c r="P67" s="52" t="e">
        <f>IF(('[1]S 4'!#REF!=4),'[1]S 4'!#REF!,IF(('[1]S 4'!#REF!=4),'[1]S 4'!#REF!,IF(('[1]S 4'!#REF!=4),'[1]S 4'!#REF!,IF(('[1]S 4'!#REF!=4),'[1]S 4'!#REF!," "))))</f>
        <v>#REF!</v>
      </c>
      <c r="R67" s="63"/>
      <c r="V67" s="170"/>
      <c r="W67" s="56"/>
      <c r="X67" s="56"/>
      <c r="Y67" s="56"/>
      <c r="AD67" s="63"/>
      <c r="AG67" s="56"/>
      <c r="AH67" s="56"/>
      <c r="AI67" s="56"/>
      <c r="AJ67" s="56"/>
      <c r="AK67" s="56"/>
      <c r="AO67" s="68"/>
      <c r="AP67" s="76"/>
      <c r="AQ67" s="67"/>
      <c r="AR67" s="68"/>
      <c r="AS67" s="69"/>
      <c r="AT67" s="69"/>
      <c r="AU67" s="69"/>
      <c r="AV67" s="69"/>
      <c r="AW67" s="69"/>
      <c r="AX67" s="68"/>
      <c r="AY67" s="69"/>
      <c r="AZ67" s="67"/>
      <c r="BA67" s="69"/>
      <c r="BB67" s="76"/>
      <c r="BC67" s="67"/>
      <c r="BD67" s="68"/>
      <c r="BE67" s="69"/>
      <c r="BF67" s="69"/>
      <c r="BG67" s="69"/>
      <c r="BH67" s="69"/>
      <c r="BI67" s="69"/>
      <c r="BJ67" s="68"/>
      <c r="BK67" s="69"/>
      <c r="BL67" s="67"/>
      <c r="BM67" s="67"/>
      <c r="BN67" s="56"/>
      <c r="BO67" s="56"/>
      <c r="BR67" s="49"/>
      <c r="BT67" s="63"/>
      <c r="BW67" s="56"/>
      <c r="BX67" s="56"/>
      <c r="BY67" s="56"/>
      <c r="BZ67" s="56"/>
      <c r="CA67" s="56"/>
      <c r="CF67" s="63"/>
      <c r="CI67" s="56"/>
      <c r="CJ67" s="56"/>
      <c r="CK67" s="56"/>
      <c r="CL67" s="56"/>
      <c r="CM67" s="56"/>
    </row>
    <row r="68" spans="3:93" ht="39.950000000000003" customHeight="1">
      <c r="C68" s="149"/>
      <c r="D68" s="150"/>
      <c r="F68" s="105"/>
      <c r="G68" s="105"/>
      <c r="H68" s="105"/>
      <c r="I68" s="105"/>
      <c r="J68" s="105"/>
      <c r="K68" s="52"/>
      <c r="R68" s="63"/>
      <c r="V68" s="170"/>
      <c r="W68" s="56"/>
      <c r="X68" s="56"/>
      <c r="Y68" s="56"/>
      <c r="AD68" s="63"/>
      <c r="AG68" s="56"/>
      <c r="AH68" s="56"/>
      <c r="AI68" s="56"/>
      <c r="AJ68" s="56"/>
      <c r="AK68" s="56"/>
      <c r="AO68" s="68"/>
      <c r="AP68" s="76"/>
      <c r="AQ68" s="67"/>
      <c r="AR68" s="68"/>
      <c r="AS68" s="69"/>
      <c r="AT68" s="69"/>
      <c r="AU68" s="69"/>
      <c r="AV68" s="69"/>
      <c r="AW68" s="69"/>
      <c r="AX68" s="68"/>
      <c r="AY68" s="69"/>
      <c r="AZ68" s="67"/>
      <c r="BA68" s="69"/>
      <c r="BB68" s="76"/>
      <c r="BC68" s="67"/>
      <c r="BD68" s="68"/>
      <c r="BE68" s="69"/>
      <c r="BF68" s="69"/>
      <c r="BG68" s="69"/>
      <c r="BH68" s="69"/>
      <c r="BI68" s="69"/>
      <c r="BJ68" s="68"/>
      <c r="BK68" s="69"/>
      <c r="BL68" s="67"/>
      <c r="BM68" s="67"/>
      <c r="BN68" s="56"/>
      <c r="BO68" s="56"/>
      <c r="BR68" s="49"/>
      <c r="BT68" s="63"/>
      <c r="BW68" s="56"/>
      <c r="BX68" s="56"/>
      <c r="BY68" s="56"/>
      <c r="BZ68" s="56"/>
      <c r="CA68" s="56"/>
      <c r="CF68" s="63"/>
      <c r="CI68" s="56"/>
      <c r="CJ68" s="56"/>
      <c r="CK68" s="56"/>
      <c r="CL68" s="56"/>
      <c r="CM68" s="56"/>
    </row>
    <row r="69" spans="3:93" ht="39.950000000000003" customHeight="1">
      <c r="C69" s="149"/>
      <c r="D69" s="150"/>
      <c r="F69" s="105"/>
      <c r="G69" s="105"/>
      <c r="H69" s="105"/>
      <c r="I69" s="105"/>
      <c r="J69" s="105"/>
      <c r="K69" s="52"/>
      <c r="R69" s="63"/>
      <c r="V69" s="170"/>
      <c r="W69" s="56"/>
      <c r="X69" s="56"/>
      <c r="Y69" s="56"/>
      <c r="AD69" s="63"/>
      <c r="AG69" s="56"/>
      <c r="AH69" s="56"/>
      <c r="AI69" s="56"/>
      <c r="AJ69" s="56"/>
      <c r="AK69" s="56"/>
      <c r="AO69" s="68"/>
      <c r="AP69" s="76"/>
      <c r="AQ69" s="67"/>
      <c r="AR69" s="68"/>
      <c r="AS69" s="69"/>
      <c r="AT69" s="69"/>
      <c r="AU69" s="69"/>
      <c r="AV69" s="69"/>
      <c r="AW69" s="69"/>
      <c r="AX69" s="68"/>
      <c r="AY69" s="69"/>
      <c r="AZ69" s="67"/>
      <c r="BA69" s="69"/>
      <c r="BB69" s="76"/>
      <c r="BC69" s="67"/>
      <c r="BD69" s="68"/>
      <c r="BE69" s="69"/>
      <c r="BF69" s="69"/>
      <c r="BG69" s="69"/>
      <c r="BH69" s="69"/>
      <c r="BI69" s="69"/>
      <c r="BJ69" s="68"/>
      <c r="BK69" s="69"/>
      <c r="BL69" s="67"/>
      <c r="BM69" s="67"/>
      <c r="BN69" s="56"/>
      <c r="BO69" s="56"/>
      <c r="BR69" s="49"/>
      <c r="BT69" s="63"/>
      <c r="BW69" s="56"/>
      <c r="BX69" s="56"/>
      <c r="BY69" s="56"/>
      <c r="BZ69" s="56"/>
      <c r="CA69" s="56"/>
      <c r="CF69" s="63"/>
      <c r="CI69" s="56"/>
      <c r="CJ69" s="56"/>
      <c r="CK69" s="56"/>
      <c r="CL69" s="56"/>
      <c r="CM69" s="56"/>
    </row>
    <row r="70" spans="3:93" ht="39.950000000000003" customHeight="1">
      <c r="C70" s="149"/>
      <c r="D70" s="150"/>
      <c r="F70" s="105"/>
      <c r="G70" s="105"/>
      <c r="H70" s="105"/>
      <c r="I70" s="105"/>
      <c r="J70" s="105"/>
      <c r="K70" s="52"/>
      <c r="AO70" s="68"/>
      <c r="AP70" s="67"/>
      <c r="AQ70" s="67"/>
      <c r="AR70" s="68"/>
      <c r="AS70" s="68"/>
      <c r="AT70" s="68"/>
      <c r="AU70" s="68"/>
      <c r="AV70" s="68"/>
      <c r="AW70" s="68"/>
      <c r="AX70" s="68"/>
      <c r="AY70" s="69"/>
      <c r="AZ70" s="67"/>
      <c r="BA70" s="68"/>
      <c r="BB70" s="67"/>
      <c r="BC70" s="67"/>
      <c r="BD70" s="68"/>
      <c r="BE70" s="68"/>
      <c r="BF70" s="68"/>
      <c r="BG70" s="68"/>
      <c r="BH70" s="68"/>
      <c r="BI70" s="68"/>
      <c r="BJ70" s="68"/>
      <c r="BK70" s="69"/>
      <c r="BL70" s="67"/>
      <c r="BM70" s="67"/>
      <c r="BR70" s="49"/>
    </row>
    <row r="71" spans="3:93" ht="39.950000000000003" customHeight="1">
      <c r="C71" s="149"/>
      <c r="D71" s="150"/>
      <c r="F71" s="105"/>
      <c r="G71" s="105"/>
      <c r="H71" s="105"/>
      <c r="I71" s="105"/>
      <c r="J71" s="105"/>
      <c r="K71" s="52"/>
      <c r="R71" s="63"/>
      <c r="S71" s="64"/>
      <c r="Y71" s="531"/>
      <c r="Z71" s="531"/>
      <c r="AA71" s="531"/>
      <c r="AD71" s="63"/>
      <c r="AE71" s="64"/>
      <c r="AK71" s="531"/>
      <c r="AL71" s="531"/>
      <c r="AM71" s="531"/>
      <c r="AO71" s="68"/>
      <c r="AP71" s="76"/>
      <c r="AQ71" s="77"/>
      <c r="AR71" s="68"/>
      <c r="AS71" s="68"/>
      <c r="AT71" s="68"/>
      <c r="AU71" s="68"/>
      <c r="AV71" s="68"/>
      <c r="AW71" s="533"/>
      <c r="AX71" s="533"/>
      <c r="AY71" s="533"/>
      <c r="AZ71" s="67"/>
      <c r="BA71" s="68"/>
      <c r="BB71" s="76"/>
      <c r="BC71" s="77"/>
      <c r="BD71" s="68"/>
      <c r="BE71" s="68"/>
      <c r="BF71" s="68"/>
      <c r="BG71" s="68"/>
      <c r="BH71" s="68"/>
      <c r="BI71" s="533"/>
      <c r="BJ71" s="533"/>
      <c r="BK71" s="533"/>
      <c r="BL71" s="67"/>
      <c r="BM71" s="67"/>
      <c r="BO71" s="531"/>
      <c r="BP71" s="531"/>
      <c r="BQ71" s="531"/>
      <c r="BR71" s="49"/>
      <c r="BT71" s="63"/>
      <c r="BU71" s="64"/>
      <c r="CA71" s="531"/>
      <c r="CB71" s="531"/>
      <c r="CC71" s="531"/>
      <c r="CF71" s="63"/>
      <c r="CG71" s="64"/>
      <c r="CM71" s="531"/>
      <c r="CN71" s="531"/>
      <c r="CO71" s="531"/>
    </row>
    <row r="72" spans="3:93" ht="39.950000000000003" customHeight="1">
      <c r="C72" s="149"/>
      <c r="D72" s="150"/>
      <c r="F72" s="105"/>
      <c r="G72" s="105"/>
      <c r="H72" s="105"/>
      <c r="I72" s="105"/>
      <c r="J72" s="105"/>
      <c r="K72" s="52"/>
      <c r="R72" s="63"/>
      <c r="V72" s="170"/>
      <c r="W72" s="56"/>
      <c r="X72" s="56"/>
      <c r="Y72" s="56"/>
      <c r="AD72" s="63"/>
      <c r="AG72" s="56"/>
      <c r="AH72" s="56"/>
      <c r="AI72" s="56"/>
      <c r="AJ72" s="56"/>
      <c r="AK72" s="56"/>
      <c r="AO72" s="68"/>
      <c r="AP72" s="76"/>
      <c r="AQ72" s="67"/>
      <c r="AR72" s="68"/>
      <c r="AS72" s="69"/>
      <c r="AT72" s="69"/>
      <c r="AU72" s="69"/>
      <c r="AV72" s="69"/>
      <c r="AW72" s="69"/>
      <c r="AX72" s="68"/>
      <c r="AY72" s="69"/>
      <c r="AZ72" s="67"/>
      <c r="BA72" s="69"/>
      <c r="BB72" s="76"/>
      <c r="BC72" s="67"/>
      <c r="BD72" s="68"/>
      <c r="BE72" s="69"/>
      <c r="BF72" s="69"/>
      <c r="BG72" s="69"/>
      <c r="BH72" s="69"/>
      <c r="BI72" s="69"/>
      <c r="BJ72" s="68"/>
      <c r="BK72" s="69"/>
      <c r="BL72" s="67"/>
      <c r="BM72" s="67"/>
      <c r="BN72" s="56"/>
      <c r="BO72" s="56"/>
      <c r="BR72" s="49"/>
      <c r="BT72" s="63"/>
      <c r="BW72" s="56"/>
      <c r="BX72" s="56"/>
      <c r="BY72" s="56"/>
      <c r="BZ72" s="56"/>
      <c r="CA72" s="56"/>
      <c r="CF72" s="63"/>
      <c r="CI72" s="56"/>
      <c r="CJ72" s="56"/>
      <c r="CK72" s="56"/>
      <c r="CL72" s="56"/>
      <c r="CM72" s="56"/>
    </row>
    <row r="73" spans="3:93" ht="39.950000000000003" customHeight="1">
      <c r="C73" s="149"/>
      <c r="D73" s="150"/>
      <c r="F73" s="105"/>
      <c r="G73" s="105"/>
      <c r="H73" s="105"/>
      <c r="I73" s="105"/>
      <c r="J73" s="105"/>
      <c r="K73" s="52"/>
      <c r="R73" s="63"/>
      <c r="V73" s="170"/>
      <c r="W73" s="56"/>
      <c r="X73" s="56"/>
      <c r="Y73" s="56"/>
      <c r="AD73" s="63"/>
      <c r="AG73" s="56"/>
      <c r="AH73" s="56"/>
      <c r="AI73" s="56"/>
      <c r="AJ73" s="56"/>
      <c r="AK73" s="56"/>
      <c r="AO73" s="68"/>
      <c r="AP73" s="76"/>
      <c r="AQ73" s="67"/>
      <c r="AR73" s="68"/>
      <c r="AS73" s="69"/>
      <c r="AT73" s="69"/>
      <c r="AU73" s="69"/>
      <c r="AV73" s="69"/>
      <c r="AW73" s="69"/>
      <c r="AX73" s="68"/>
      <c r="AY73" s="69"/>
      <c r="AZ73" s="67"/>
      <c r="BA73" s="69"/>
      <c r="BB73" s="76"/>
      <c r="BC73" s="67"/>
      <c r="BD73" s="68"/>
      <c r="BE73" s="69"/>
      <c r="BF73" s="69"/>
      <c r="BG73" s="69"/>
      <c r="BH73" s="69"/>
      <c r="BI73" s="69"/>
      <c r="BJ73" s="68"/>
      <c r="BK73" s="69"/>
      <c r="BL73" s="67"/>
      <c r="BM73" s="67"/>
      <c r="BN73" s="56"/>
      <c r="BO73" s="56"/>
      <c r="BR73" s="49"/>
      <c r="BT73" s="63"/>
      <c r="BW73" s="56"/>
      <c r="BX73" s="56"/>
      <c r="BY73" s="56"/>
      <c r="BZ73" s="56"/>
      <c r="CA73" s="56"/>
      <c r="CF73" s="63"/>
      <c r="CI73" s="56"/>
      <c r="CJ73" s="56"/>
      <c r="CK73" s="56"/>
      <c r="CL73" s="56"/>
      <c r="CM73" s="56"/>
    </row>
    <row r="74" spans="3:93" ht="39.950000000000003" customHeight="1">
      <c r="C74" s="149"/>
      <c r="D74" s="150"/>
      <c r="F74" s="105"/>
      <c r="G74" s="105"/>
      <c r="H74" s="105"/>
      <c r="I74" s="105"/>
      <c r="J74" s="105"/>
      <c r="K74" s="52"/>
      <c r="R74" s="63"/>
      <c r="V74" s="170"/>
      <c r="W74" s="56"/>
      <c r="X74" s="56"/>
      <c r="Y74" s="56"/>
      <c r="AD74" s="63"/>
      <c r="AG74" s="56"/>
      <c r="AH74" s="56"/>
      <c r="AI74" s="56"/>
      <c r="AJ74" s="56"/>
      <c r="AK74" s="56"/>
      <c r="AO74" s="68"/>
      <c r="AP74" s="76"/>
      <c r="AQ74" s="67"/>
      <c r="AR74" s="68"/>
      <c r="AS74" s="69"/>
      <c r="AT74" s="69"/>
      <c r="AU74" s="69"/>
      <c r="AV74" s="69"/>
      <c r="AW74" s="69"/>
      <c r="AX74" s="68"/>
      <c r="AY74" s="69"/>
      <c r="AZ74" s="67"/>
      <c r="BA74" s="69"/>
      <c r="BB74" s="76"/>
      <c r="BC74" s="67"/>
      <c r="BD74" s="68"/>
      <c r="BE74" s="69"/>
      <c r="BF74" s="69"/>
      <c r="BG74" s="69"/>
      <c r="BH74" s="69"/>
      <c r="BI74" s="69"/>
      <c r="BJ74" s="68"/>
      <c r="BK74" s="69"/>
      <c r="BL74" s="67"/>
      <c r="BM74" s="67"/>
      <c r="BN74" s="56"/>
      <c r="BO74" s="56"/>
      <c r="BR74" s="49"/>
      <c r="BT74" s="63"/>
      <c r="BW74" s="56"/>
      <c r="BX74" s="56"/>
      <c r="BY74" s="56"/>
      <c r="BZ74" s="56"/>
      <c r="CA74" s="56"/>
      <c r="CF74" s="63"/>
      <c r="CI74" s="56"/>
      <c r="CJ74" s="56"/>
      <c r="CK74" s="56"/>
      <c r="CL74" s="56"/>
      <c r="CM74" s="56"/>
    </row>
    <row r="75" spans="3:93" ht="39.950000000000003" customHeight="1">
      <c r="R75" s="63"/>
      <c r="V75" s="170"/>
      <c r="W75" s="56"/>
      <c r="X75" s="56"/>
      <c r="Y75" s="56"/>
      <c r="AD75" s="63"/>
      <c r="AG75" s="56"/>
      <c r="AH75" s="56"/>
      <c r="AI75" s="56"/>
      <c r="AJ75" s="56"/>
      <c r="AK75" s="56"/>
      <c r="AO75" s="68"/>
      <c r="AP75" s="76"/>
      <c r="AQ75" s="67"/>
      <c r="AR75" s="68"/>
      <c r="AS75" s="69"/>
      <c r="AT75" s="69"/>
      <c r="AU75" s="69"/>
      <c r="AV75" s="69"/>
      <c r="AW75" s="69"/>
      <c r="AX75" s="68"/>
      <c r="AY75" s="69"/>
      <c r="AZ75" s="67"/>
      <c r="BA75" s="69"/>
      <c r="BB75" s="76"/>
      <c r="BC75" s="67"/>
      <c r="BD75" s="68"/>
      <c r="BE75" s="69"/>
      <c r="BF75" s="69"/>
      <c r="BG75" s="69"/>
      <c r="BH75" s="69"/>
      <c r="BI75" s="69"/>
      <c r="BJ75" s="68"/>
      <c r="BK75" s="69"/>
      <c r="BL75" s="67"/>
      <c r="BM75" s="67"/>
      <c r="BN75" s="56"/>
      <c r="BO75" s="56"/>
      <c r="BR75" s="49"/>
      <c r="BT75" s="63"/>
      <c r="BW75" s="56"/>
      <c r="BX75" s="56"/>
      <c r="BY75" s="56"/>
      <c r="BZ75" s="56"/>
      <c r="CA75" s="56"/>
      <c r="CF75" s="63"/>
      <c r="CI75" s="56"/>
      <c r="CJ75" s="56"/>
      <c r="CK75" s="56"/>
      <c r="CL75" s="56"/>
      <c r="CM75" s="56"/>
    </row>
    <row r="76" spans="3:93" ht="39.950000000000003" customHeight="1">
      <c r="AO76" s="68"/>
      <c r="AP76" s="67"/>
      <c r="AQ76" s="67"/>
      <c r="AR76" s="68"/>
      <c r="AS76" s="68"/>
      <c r="AT76" s="68"/>
      <c r="AU76" s="68"/>
      <c r="AV76" s="68"/>
      <c r="AW76" s="68"/>
      <c r="AX76" s="68"/>
      <c r="AY76" s="69"/>
      <c r="AZ76" s="67"/>
      <c r="BA76" s="68"/>
      <c r="BB76" s="67"/>
      <c r="BC76" s="67"/>
      <c r="BD76" s="68"/>
      <c r="BE76" s="68"/>
      <c r="BF76" s="68"/>
      <c r="BG76" s="68"/>
      <c r="BH76" s="68"/>
      <c r="BI76" s="68"/>
      <c r="BJ76" s="68"/>
      <c r="BK76" s="69"/>
      <c r="BL76" s="67"/>
      <c r="BM76" s="67"/>
      <c r="BR76" s="49"/>
    </row>
    <row r="77" spans="3:93" ht="39.950000000000003" customHeight="1">
      <c r="R77" s="63"/>
      <c r="S77" s="64"/>
      <c r="Y77" s="531"/>
      <c r="Z77" s="531"/>
      <c r="AA77" s="531"/>
      <c r="AD77" s="63"/>
      <c r="AE77" s="64"/>
      <c r="AK77" s="531"/>
      <c r="AL77" s="531"/>
      <c r="AM77" s="531"/>
      <c r="AO77" s="68"/>
      <c r="AP77" s="76"/>
      <c r="AQ77" s="77"/>
      <c r="AR77" s="68"/>
      <c r="AS77" s="68"/>
      <c r="AT77" s="68"/>
      <c r="AU77" s="68"/>
      <c r="AV77" s="68"/>
      <c r="AW77" s="533"/>
      <c r="AX77" s="533"/>
      <c r="AY77" s="533"/>
      <c r="AZ77" s="67"/>
      <c r="BA77" s="68"/>
      <c r="BB77" s="76"/>
      <c r="BC77" s="77"/>
      <c r="BD77" s="68"/>
      <c r="BE77" s="68"/>
      <c r="BF77" s="68"/>
      <c r="BG77" s="68"/>
      <c r="BH77" s="68"/>
      <c r="BI77" s="533"/>
      <c r="BJ77" s="533"/>
      <c r="BK77" s="533"/>
      <c r="BL77" s="67"/>
      <c r="BM77" s="67"/>
      <c r="BO77" s="531"/>
      <c r="BP77" s="531"/>
      <c r="BQ77" s="531"/>
      <c r="BR77" s="49"/>
      <c r="BT77" s="63"/>
      <c r="BU77" s="64"/>
      <c r="CA77" s="531"/>
      <c r="CB77" s="531"/>
      <c r="CC77" s="531"/>
      <c r="CF77" s="63"/>
      <c r="CG77" s="64"/>
      <c r="CM77" s="531"/>
      <c r="CN77" s="531"/>
      <c r="CO77" s="531"/>
    </row>
    <row r="78" spans="3:93" ht="39.950000000000003" customHeight="1">
      <c r="R78" s="63"/>
      <c r="V78" s="170"/>
      <c r="W78" s="56"/>
      <c r="X78" s="56"/>
      <c r="Y78" s="56"/>
      <c r="AD78" s="63"/>
      <c r="AG78" s="56"/>
      <c r="AH78" s="56"/>
      <c r="AI78" s="56"/>
      <c r="AJ78" s="56"/>
      <c r="AK78" s="56"/>
      <c r="AO78" s="68"/>
      <c r="AP78" s="76"/>
      <c r="AQ78" s="67"/>
      <c r="AR78" s="68"/>
      <c r="AS78" s="69"/>
      <c r="AT78" s="69"/>
      <c r="AU78" s="69"/>
      <c r="AV78" s="69"/>
      <c r="AW78" s="69"/>
      <c r="AX78" s="68"/>
      <c r="AY78" s="69"/>
      <c r="AZ78" s="67"/>
      <c r="BA78" s="69"/>
      <c r="BB78" s="76"/>
      <c r="BC78" s="67"/>
      <c r="BD78" s="68"/>
      <c r="BE78" s="69"/>
      <c r="BF78" s="69"/>
      <c r="BG78" s="69"/>
      <c r="BH78" s="69"/>
      <c r="BI78" s="69"/>
      <c r="BJ78" s="68"/>
      <c r="BK78" s="69"/>
      <c r="BL78" s="67"/>
      <c r="BM78" s="67"/>
      <c r="BN78" s="56"/>
      <c r="BO78" s="56"/>
      <c r="BR78" s="49"/>
      <c r="BT78" s="63"/>
      <c r="BW78" s="56"/>
      <c r="BX78" s="56"/>
      <c r="BY78" s="56"/>
      <c r="BZ78" s="56"/>
      <c r="CA78" s="56"/>
      <c r="CF78" s="63"/>
      <c r="CI78" s="56"/>
      <c r="CJ78" s="56"/>
      <c r="CK78" s="56"/>
      <c r="CL78" s="56"/>
      <c r="CM78" s="56"/>
    </row>
    <row r="79" spans="3:93" ht="39.950000000000003" customHeight="1">
      <c r="R79" s="63"/>
      <c r="V79" s="170"/>
      <c r="W79" s="56"/>
      <c r="X79" s="56"/>
      <c r="Y79" s="56"/>
      <c r="AD79" s="63"/>
      <c r="AG79" s="56"/>
      <c r="AH79" s="56"/>
      <c r="AI79" s="56"/>
      <c r="AJ79" s="56"/>
      <c r="AK79" s="56"/>
      <c r="AO79" s="68"/>
      <c r="AP79" s="76"/>
      <c r="AQ79" s="67"/>
      <c r="AR79" s="68"/>
      <c r="AS79" s="69"/>
      <c r="AT79" s="69"/>
      <c r="AU79" s="69"/>
      <c r="AV79" s="69"/>
      <c r="AW79" s="69"/>
      <c r="AX79" s="68"/>
      <c r="AY79" s="69"/>
      <c r="AZ79" s="67"/>
      <c r="BA79" s="69"/>
      <c r="BB79" s="76"/>
      <c r="BC79" s="67"/>
      <c r="BD79" s="68"/>
      <c r="BE79" s="69"/>
      <c r="BF79" s="69"/>
      <c r="BG79" s="69"/>
      <c r="BH79" s="69"/>
      <c r="BI79" s="69"/>
      <c r="BJ79" s="68"/>
      <c r="BK79" s="69"/>
      <c r="BL79" s="67"/>
      <c r="BM79" s="67"/>
      <c r="BN79" s="56"/>
      <c r="BO79" s="56"/>
      <c r="BR79" s="49"/>
      <c r="BT79" s="63"/>
      <c r="BW79" s="56"/>
      <c r="BX79" s="56"/>
      <c r="BY79" s="56"/>
      <c r="BZ79" s="56"/>
      <c r="CA79" s="56"/>
      <c r="CF79" s="63"/>
      <c r="CI79" s="56"/>
      <c r="CJ79" s="56"/>
      <c r="CK79" s="56"/>
      <c r="CL79" s="56"/>
      <c r="CM79" s="56"/>
    </row>
    <row r="80" spans="3:93" ht="39.950000000000003" customHeight="1">
      <c r="R80" s="63"/>
      <c r="V80" s="170"/>
      <c r="W80" s="56"/>
      <c r="X80" s="56"/>
      <c r="Y80" s="56"/>
      <c r="AD80" s="63"/>
      <c r="AG80" s="56"/>
      <c r="AH80" s="56"/>
      <c r="AI80" s="56"/>
      <c r="AJ80" s="56"/>
      <c r="AK80" s="56"/>
      <c r="AO80" s="68"/>
      <c r="AP80" s="76"/>
      <c r="AQ80" s="67"/>
      <c r="AR80" s="68"/>
      <c r="AS80" s="69"/>
      <c r="AT80" s="69"/>
      <c r="AU80" s="69"/>
      <c r="AV80" s="69"/>
      <c r="AW80" s="69"/>
      <c r="AX80" s="68"/>
      <c r="AY80" s="69"/>
      <c r="AZ80" s="67"/>
      <c r="BA80" s="69"/>
      <c r="BB80" s="76"/>
      <c r="BC80" s="67"/>
      <c r="BD80" s="68"/>
      <c r="BE80" s="69"/>
      <c r="BF80" s="69"/>
      <c r="BG80" s="69"/>
      <c r="BH80" s="69"/>
      <c r="BI80" s="69"/>
      <c r="BJ80" s="68"/>
      <c r="BK80" s="69"/>
      <c r="BL80" s="67"/>
      <c r="BM80" s="67"/>
      <c r="BN80" s="56"/>
      <c r="BO80" s="56"/>
      <c r="BR80" s="49"/>
      <c r="BT80" s="63"/>
      <c r="BW80" s="56"/>
      <c r="BX80" s="56"/>
      <c r="BY80" s="56"/>
      <c r="BZ80" s="56"/>
      <c r="CA80" s="56"/>
      <c r="CF80" s="63"/>
      <c r="CI80" s="56"/>
      <c r="CJ80" s="56"/>
      <c r="CK80" s="56"/>
      <c r="CL80" s="56"/>
      <c r="CM80" s="56"/>
    </row>
    <row r="81" spans="18:93" ht="39.950000000000003" customHeight="1">
      <c r="R81" s="63"/>
      <c r="V81" s="170"/>
      <c r="W81" s="56"/>
      <c r="X81" s="56"/>
      <c r="Y81" s="56"/>
      <c r="AD81" s="63"/>
      <c r="AG81" s="56"/>
      <c r="AH81" s="56"/>
      <c r="AI81" s="56"/>
      <c r="AJ81" s="56"/>
      <c r="AK81" s="56"/>
      <c r="AO81" s="68"/>
      <c r="AP81" s="76"/>
      <c r="AQ81" s="67"/>
      <c r="AR81" s="68"/>
      <c r="AS81" s="69"/>
      <c r="AT81" s="69"/>
      <c r="AU81" s="69"/>
      <c r="AV81" s="69"/>
      <c r="AW81" s="69"/>
      <c r="AX81" s="68"/>
      <c r="AY81" s="69"/>
      <c r="AZ81" s="67"/>
      <c r="BA81" s="69"/>
      <c r="BB81" s="76"/>
      <c r="BC81" s="67"/>
      <c r="BD81" s="68"/>
      <c r="BE81" s="69"/>
      <c r="BF81" s="69"/>
      <c r="BG81" s="69"/>
      <c r="BH81" s="69"/>
      <c r="BI81" s="69"/>
      <c r="BJ81" s="68"/>
      <c r="BK81" s="69"/>
      <c r="BL81" s="67"/>
      <c r="BM81" s="67"/>
      <c r="BN81" s="56"/>
      <c r="BO81" s="56"/>
      <c r="BR81" s="49"/>
      <c r="BT81" s="63"/>
      <c r="BW81" s="56"/>
      <c r="BX81" s="56"/>
      <c r="BY81" s="56"/>
      <c r="BZ81" s="56"/>
      <c r="CA81" s="56"/>
      <c r="CF81" s="63"/>
      <c r="CI81" s="56"/>
      <c r="CJ81" s="56"/>
      <c r="CK81" s="56"/>
      <c r="CL81" s="56"/>
      <c r="CM81" s="56"/>
    </row>
    <row r="82" spans="18:93" ht="39.950000000000003" customHeight="1">
      <c r="AO82" s="68"/>
      <c r="AP82" s="67"/>
      <c r="AQ82" s="67"/>
      <c r="AR82" s="68"/>
      <c r="AS82" s="68"/>
      <c r="AT82" s="68"/>
      <c r="AU82" s="68"/>
      <c r="AV82" s="68"/>
      <c r="AW82" s="68"/>
      <c r="AX82" s="68"/>
      <c r="AY82" s="69"/>
      <c r="AZ82" s="67"/>
      <c r="BA82" s="68"/>
      <c r="BB82" s="67"/>
      <c r="BC82" s="67"/>
      <c r="BD82" s="68"/>
      <c r="BE82" s="68"/>
      <c r="BF82" s="68"/>
      <c r="BG82" s="68"/>
      <c r="BH82" s="68"/>
      <c r="BI82" s="68"/>
      <c r="BJ82" s="68"/>
      <c r="BK82" s="69"/>
      <c r="BL82" s="67"/>
      <c r="BM82" s="67"/>
    </row>
    <row r="83" spans="18:93" ht="39.950000000000003" customHeight="1">
      <c r="R83" s="63"/>
      <c r="S83" s="64"/>
      <c r="Y83" s="531"/>
      <c r="Z83" s="531"/>
      <c r="AA83" s="531"/>
      <c r="AD83" s="63"/>
      <c r="AE83" s="64"/>
      <c r="AK83" s="531"/>
      <c r="AL83" s="531"/>
      <c r="AM83" s="531"/>
      <c r="AO83" s="68"/>
      <c r="AP83" s="76"/>
      <c r="AQ83" s="77"/>
      <c r="AR83" s="68"/>
      <c r="AS83" s="68"/>
      <c r="AT83" s="68"/>
      <c r="AU83" s="68"/>
      <c r="AV83" s="68"/>
      <c r="AW83" s="533"/>
      <c r="AX83" s="533"/>
      <c r="AY83" s="533"/>
      <c r="AZ83" s="67"/>
      <c r="BA83" s="68"/>
      <c r="BB83" s="76"/>
      <c r="BC83" s="77"/>
      <c r="BD83" s="68"/>
      <c r="BE83" s="68"/>
      <c r="BF83" s="68"/>
      <c r="BG83" s="68"/>
      <c r="BH83" s="68"/>
      <c r="BI83" s="533"/>
      <c r="BJ83" s="533"/>
      <c r="BK83" s="533"/>
      <c r="BL83" s="67"/>
      <c r="BM83" s="67"/>
      <c r="BO83" s="531"/>
      <c r="BP83" s="531"/>
      <c r="BQ83" s="531"/>
      <c r="BT83" s="63"/>
      <c r="BU83" s="64"/>
      <c r="CA83" s="531"/>
      <c r="CB83" s="531"/>
      <c r="CC83" s="531"/>
      <c r="CF83" s="63"/>
      <c r="CG83" s="64"/>
      <c r="CM83" s="531"/>
      <c r="CN83" s="531"/>
      <c r="CO83" s="531"/>
    </row>
    <row r="84" spans="18:93" ht="39.950000000000003" customHeight="1">
      <c r="R84" s="63"/>
      <c r="V84" s="170"/>
      <c r="W84" s="56"/>
      <c r="X84" s="56"/>
      <c r="Y84" s="56"/>
      <c r="AD84" s="63"/>
      <c r="AG84" s="56"/>
      <c r="AH84" s="56"/>
      <c r="AI84" s="56"/>
      <c r="AJ84" s="56"/>
      <c r="AK84" s="56"/>
      <c r="AO84" s="68"/>
      <c r="AP84" s="76"/>
      <c r="AQ84" s="67"/>
      <c r="AR84" s="68"/>
      <c r="AS84" s="69"/>
      <c r="AT84" s="69"/>
      <c r="AU84" s="69"/>
      <c r="AV84" s="69"/>
      <c r="AW84" s="69"/>
      <c r="AX84" s="68"/>
      <c r="AY84" s="69"/>
      <c r="AZ84" s="67"/>
      <c r="BA84" s="69"/>
      <c r="BB84" s="76"/>
      <c r="BC84" s="67"/>
      <c r="BD84" s="68"/>
      <c r="BE84" s="69"/>
      <c r="BF84" s="69"/>
      <c r="BG84" s="69"/>
      <c r="BH84" s="69"/>
      <c r="BI84" s="69"/>
      <c r="BJ84" s="68"/>
      <c r="BK84" s="69"/>
      <c r="BL84" s="67"/>
      <c r="BM84" s="67"/>
      <c r="BN84" s="56"/>
      <c r="BO84" s="56"/>
      <c r="BT84" s="63"/>
      <c r="BW84" s="56"/>
      <c r="BX84" s="56"/>
      <c r="BY84" s="56"/>
      <c r="BZ84" s="56"/>
      <c r="CA84" s="56"/>
      <c r="CF84" s="63"/>
      <c r="CI84" s="56"/>
      <c r="CJ84" s="56"/>
      <c r="CK84" s="56"/>
      <c r="CL84" s="56"/>
      <c r="CM84" s="56"/>
    </row>
    <row r="85" spans="18:93" ht="39.950000000000003" customHeight="1">
      <c r="R85" s="63"/>
      <c r="V85" s="170"/>
      <c r="W85" s="56"/>
      <c r="X85" s="56"/>
      <c r="Y85" s="56"/>
      <c r="AD85" s="63"/>
      <c r="AG85" s="56"/>
      <c r="AH85" s="56"/>
      <c r="AI85" s="56"/>
      <c r="AJ85" s="56"/>
      <c r="AK85" s="56"/>
      <c r="AO85" s="68"/>
      <c r="AP85" s="76"/>
      <c r="AQ85" s="67"/>
      <c r="AR85" s="68"/>
      <c r="AS85" s="69"/>
      <c r="AT85" s="69"/>
      <c r="AU85" s="69"/>
      <c r="AV85" s="69"/>
      <c r="AW85" s="69"/>
      <c r="AX85" s="68"/>
      <c r="AY85" s="69"/>
      <c r="AZ85" s="67"/>
      <c r="BA85" s="69"/>
      <c r="BB85" s="76"/>
      <c r="BC85" s="67"/>
      <c r="BD85" s="68"/>
      <c r="BE85" s="69"/>
      <c r="BF85" s="69"/>
      <c r="BG85" s="69"/>
      <c r="BH85" s="69"/>
      <c r="BI85" s="69"/>
      <c r="BJ85" s="68"/>
      <c r="BK85" s="69"/>
      <c r="BL85" s="67"/>
      <c r="BM85" s="67"/>
      <c r="BN85" s="56"/>
      <c r="BO85" s="56"/>
      <c r="BT85" s="63"/>
      <c r="BW85" s="56"/>
      <c r="BX85" s="56"/>
      <c r="BY85" s="56"/>
      <c r="BZ85" s="56"/>
      <c r="CA85" s="56"/>
      <c r="CF85" s="63"/>
      <c r="CI85" s="56"/>
      <c r="CJ85" s="56"/>
      <c r="CK85" s="56"/>
      <c r="CL85" s="56"/>
      <c r="CM85" s="56"/>
    </row>
    <row r="86" spans="18:93" ht="39.950000000000003" customHeight="1">
      <c r="R86" s="63"/>
      <c r="V86" s="170"/>
      <c r="W86" s="56"/>
      <c r="X86" s="56"/>
      <c r="Y86" s="56"/>
      <c r="AD86" s="63"/>
      <c r="AG86" s="56"/>
      <c r="AH86" s="56"/>
      <c r="AI86" s="56"/>
      <c r="AJ86" s="56"/>
      <c r="AK86" s="56"/>
      <c r="AO86" s="68"/>
      <c r="AP86" s="76"/>
      <c r="AQ86" s="67"/>
      <c r="AR86" s="68"/>
      <c r="AS86" s="69"/>
      <c r="AT86" s="69"/>
      <c r="AU86" s="69"/>
      <c r="AV86" s="69"/>
      <c r="AW86" s="69"/>
      <c r="AX86" s="68"/>
      <c r="AY86" s="69"/>
      <c r="AZ86" s="67"/>
      <c r="BA86" s="69"/>
      <c r="BB86" s="76"/>
      <c r="BC86" s="67"/>
      <c r="BD86" s="68"/>
      <c r="BE86" s="69"/>
      <c r="BF86" s="69"/>
      <c r="BG86" s="69"/>
      <c r="BH86" s="69"/>
      <c r="BI86" s="69"/>
      <c r="BJ86" s="68"/>
      <c r="BK86" s="69"/>
      <c r="BL86" s="67"/>
      <c r="BM86" s="67"/>
      <c r="BN86" s="56"/>
      <c r="BO86" s="56"/>
      <c r="BT86" s="63"/>
      <c r="BW86" s="56"/>
      <c r="BX86" s="56"/>
      <c r="BY86" s="56"/>
      <c r="BZ86" s="56"/>
      <c r="CA86" s="56"/>
      <c r="CF86" s="63"/>
      <c r="CI86" s="56"/>
      <c r="CJ86" s="56"/>
      <c r="CK86" s="56"/>
      <c r="CL86" s="56"/>
      <c r="CM86" s="56"/>
    </row>
    <row r="87" spans="18:93" ht="39.950000000000003" customHeight="1">
      <c r="R87" s="63"/>
      <c r="V87" s="170"/>
      <c r="W87" s="56"/>
      <c r="X87" s="56"/>
      <c r="Y87" s="56"/>
      <c r="AD87" s="63"/>
      <c r="AG87" s="56"/>
      <c r="AH87" s="56"/>
      <c r="AI87" s="56"/>
      <c r="AJ87" s="56"/>
      <c r="AK87" s="56"/>
      <c r="AO87" s="68"/>
      <c r="AP87" s="76"/>
      <c r="AQ87" s="67"/>
      <c r="AR87" s="68"/>
      <c r="AS87" s="69"/>
      <c r="AT87" s="69"/>
      <c r="AU87" s="69"/>
      <c r="AV87" s="69"/>
      <c r="AW87" s="69"/>
      <c r="AX87" s="68"/>
      <c r="AY87" s="69"/>
      <c r="AZ87" s="67"/>
      <c r="BA87" s="69"/>
      <c r="BB87" s="76"/>
      <c r="BC87" s="67"/>
      <c r="BD87" s="68"/>
      <c r="BE87" s="69"/>
      <c r="BF87" s="69"/>
      <c r="BG87" s="69"/>
      <c r="BH87" s="69"/>
      <c r="BI87" s="69"/>
      <c r="BJ87" s="68"/>
      <c r="BK87" s="69"/>
      <c r="BL87" s="67"/>
      <c r="BM87" s="67"/>
      <c r="BN87" s="56"/>
      <c r="BO87" s="56"/>
      <c r="BT87" s="63"/>
      <c r="BW87" s="56"/>
      <c r="BX87" s="56"/>
      <c r="BY87" s="56"/>
      <c r="BZ87" s="56"/>
      <c r="CA87" s="56"/>
      <c r="CF87" s="63"/>
      <c r="CI87" s="56"/>
      <c r="CJ87" s="56"/>
      <c r="CK87" s="56"/>
      <c r="CL87" s="56"/>
      <c r="CM87" s="56"/>
    </row>
    <row r="88" spans="18:93" ht="39.950000000000003" customHeight="1">
      <c r="AO88" s="68"/>
      <c r="AP88" s="67"/>
      <c r="AQ88" s="67"/>
      <c r="AR88" s="68"/>
      <c r="AS88" s="68"/>
      <c r="AT88" s="68"/>
      <c r="AU88" s="68"/>
      <c r="AV88" s="68"/>
      <c r="AW88" s="68"/>
      <c r="AX88" s="68"/>
      <c r="AY88" s="69"/>
      <c r="AZ88" s="67"/>
      <c r="BA88" s="68"/>
      <c r="BB88" s="67"/>
      <c r="BC88" s="67"/>
      <c r="BD88" s="68"/>
      <c r="BE88" s="68"/>
      <c r="BF88" s="68"/>
      <c r="BG88" s="68"/>
      <c r="BH88" s="68"/>
      <c r="BI88" s="68"/>
      <c r="BJ88" s="68"/>
      <c r="BK88" s="69"/>
      <c r="BL88" s="67"/>
      <c r="BM88" s="67"/>
    </row>
    <row r="89" spans="18:93" ht="39.950000000000003" customHeight="1">
      <c r="R89" s="63"/>
      <c r="S89" s="64"/>
      <c r="Y89" s="531"/>
      <c r="Z89" s="531"/>
      <c r="AA89" s="531"/>
      <c r="AD89" s="63"/>
      <c r="AE89" s="64"/>
      <c r="AK89" s="531"/>
      <c r="AL89" s="531"/>
      <c r="AM89" s="531"/>
      <c r="AO89" s="68"/>
      <c r="AP89" s="76"/>
      <c r="AQ89" s="77"/>
      <c r="AR89" s="68"/>
      <c r="AS89" s="68"/>
      <c r="AT89" s="68"/>
      <c r="AU89" s="68"/>
      <c r="AV89" s="68"/>
      <c r="AW89" s="533"/>
      <c r="AX89" s="533"/>
      <c r="AY89" s="533"/>
      <c r="AZ89" s="67"/>
      <c r="BA89" s="68"/>
      <c r="BB89" s="76"/>
      <c r="BC89" s="77"/>
      <c r="BD89" s="68"/>
      <c r="BE89" s="68"/>
      <c r="BF89" s="68"/>
      <c r="BG89" s="68"/>
      <c r="BH89" s="68"/>
      <c r="BI89" s="533"/>
      <c r="BJ89" s="533"/>
      <c r="BK89" s="533"/>
      <c r="BL89" s="67"/>
      <c r="BM89" s="67"/>
      <c r="BO89" s="531"/>
      <c r="BP89" s="531"/>
      <c r="BQ89" s="531"/>
      <c r="BT89" s="63"/>
      <c r="BU89" s="64"/>
      <c r="CA89" s="531"/>
      <c r="CB89" s="531"/>
      <c r="CC89" s="531"/>
      <c r="CF89" s="63"/>
      <c r="CG89" s="64"/>
      <c r="CM89" s="531"/>
      <c r="CN89" s="531"/>
      <c r="CO89" s="531"/>
    </row>
    <row r="90" spans="18:93" ht="39.950000000000003" customHeight="1">
      <c r="R90" s="63"/>
      <c r="V90" s="170"/>
      <c r="W90" s="56"/>
      <c r="X90" s="56"/>
      <c r="Y90" s="56"/>
      <c r="AD90" s="63"/>
      <c r="AG90" s="56"/>
      <c r="AH90" s="56"/>
      <c r="AI90" s="56"/>
      <c r="AJ90" s="56"/>
      <c r="AK90" s="56"/>
      <c r="AO90" s="68"/>
      <c r="AP90" s="76"/>
      <c r="AQ90" s="67"/>
      <c r="AR90" s="68"/>
      <c r="AS90" s="69"/>
      <c r="AT90" s="69"/>
      <c r="AU90" s="69"/>
      <c r="AV90" s="69"/>
      <c r="AW90" s="69"/>
      <c r="AX90" s="68"/>
      <c r="AY90" s="69"/>
      <c r="AZ90" s="67"/>
      <c r="BA90" s="69"/>
      <c r="BB90" s="76"/>
      <c r="BC90" s="67"/>
      <c r="BD90" s="68"/>
      <c r="BE90" s="69"/>
      <c r="BF90" s="69"/>
      <c r="BG90" s="69"/>
      <c r="BH90" s="69"/>
      <c r="BI90" s="69"/>
      <c r="BJ90" s="68"/>
      <c r="BK90" s="69"/>
      <c r="BL90" s="67"/>
      <c r="BM90" s="67"/>
      <c r="BN90" s="56"/>
      <c r="BO90" s="56"/>
      <c r="BT90" s="63"/>
      <c r="BW90" s="56"/>
      <c r="BX90" s="56"/>
      <c r="BY90" s="56"/>
      <c r="BZ90" s="56"/>
      <c r="CA90" s="56"/>
      <c r="CF90" s="63"/>
      <c r="CI90" s="56"/>
      <c r="CJ90" s="56"/>
      <c r="CK90" s="56"/>
      <c r="CL90" s="56"/>
      <c r="CM90" s="56"/>
    </row>
    <row r="91" spans="18:93" ht="39.950000000000003" customHeight="1">
      <c r="R91" s="63"/>
      <c r="V91" s="170"/>
      <c r="W91" s="56"/>
      <c r="X91" s="56"/>
      <c r="Y91" s="56"/>
      <c r="AD91" s="63"/>
      <c r="AG91" s="56"/>
      <c r="AH91" s="56"/>
      <c r="AI91" s="56"/>
      <c r="AJ91" s="56"/>
      <c r="AK91" s="56"/>
      <c r="AO91" s="68"/>
      <c r="AP91" s="76"/>
      <c r="AQ91" s="67"/>
      <c r="AR91" s="68"/>
      <c r="AS91" s="69"/>
      <c r="AT91" s="69"/>
      <c r="AU91" s="69"/>
      <c r="AV91" s="69"/>
      <c r="AW91" s="69"/>
      <c r="AX91" s="68"/>
      <c r="AY91" s="69"/>
      <c r="AZ91" s="67"/>
      <c r="BA91" s="69"/>
      <c r="BB91" s="76"/>
      <c r="BC91" s="67"/>
      <c r="BD91" s="68"/>
      <c r="BE91" s="69"/>
      <c r="BF91" s="69"/>
      <c r="BG91" s="69"/>
      <c r="BH91" s="69"/>
      <c r="BI91" s="69"/>
      <c r="BJ91" s="68"/>
      <c r="BK91" s="69"/>
      <c r="BL91" s="67"/>
      <c r="BM91" s="67"/>
      <c r="BN91" s="56"/>
      <c r="BO91" s="56"/>
      <c r="BT91" s="63"/>
      <c r="BW91" s="56"/>
      <c r="BX91" s="56"/>
      <c r="BY91" s="56"/>
      <c r="BZ91" s="56"/>
      <c r="CA91" s="56"/>
      <c r="CF91" s="63"/>
      <c r="CI91" s="56"/>
      <c r="CJ91" s="56"/>
      <c r="CK91" s="56"/>
      <c r="CL91" s="56"/>
      <c r="CM91" s="56"/>
    </row>
    <row r="92" spans="18:93" ht="39.950000000000003" customHeight="1">
      <c r="R92" s="63"/>
      <c r="V92" s="170"/>
      <c r="W92" s="56"/>
      <c r="X92" s="56"/>
      <c r="Y92" s="56"/>
      <c r="AD92" s="63"/>
      <c r="AG92" s="56"/>
      <c r="AH92" s="56"/>
      <c r="AI92" s="56"/>
      <c r="AJ92" s="56"/>
      <c r="AK92" s="56"/>
      <c r="AO92" s="68"/>
      <c r="AP92" s="76"/>
      <c r="AQ92" s="67"/>
      <c r="AR92" s="68"/>
      <c r="AS92" s="69"/>
      <c r="AT92" s="69"/>
      <c r="AU92" s="69"/>
      <c r="AV92" s="69"/>
      <c r="AW92" s="69"/>
      <c r="AX92" s="68"/>
      <c r="AY92" s="69"/>
      <c r="AZ92" s="67"/>
      <c r="BA92" s="69"/>
      <c r="BB92" s="76"/>
      <c r="BC92" s="67"/>
      <c r="BD92" s="68"/>
      <c r="BE92" s="69"/>
      <c r="BF92" s="69"/>
      <c r="BG92" s="69"/>
      <c r="BH92" s="69"/>
      <c r="BI92" s="69"/>
      <c r="BJ92" s="68"/>
      <c r="BK92" s="69"/>
      <c r="BL92" s="67"/>
      <c r="BM92" s="67"/>
      <c r="BN92" s="56"/>
      <c r="BO92" s="56"/>
      <c r="BT92" s="63"/>
      <c r="BW92" s="56"/>
      <c r="BX92" s="56"/>
      <c r="BY92" s="56"/>
      <c r="BZ92" s="56"/>
      <c r="CA92" s="56"/>
      <c r="CF92" s="63"/>
      <c r="CI92" s="56"/>
      <c r="CJ92" s="56"/>
      <c r="CK92" s="56"/>
      <c r="CL92" s="56"/>
      <c r="CM92" s="56"/>
    </row>
    <row r="93" spans="18:93" ht="39.950000000000003" customHeight="1">
      <c r="R93" s="63"/>
      <c r="V93" s="170"/>
      <c r="W93" s="56"/>
      <c r="X93" s="56"/>
      <c r="Y93" s="56"/>
      <c r="AD93" s="63"/>
      <c r="AG93" s="56"/>
      <c r="AH93" s="56"/>
      <c r="AI93" s="56"/>
      <c r="AJ93" s="56"/>
      <c r="AK93" s="56"/>
      <c r="AO93" s="68"/>
      <c r="AP93" s="76"/>
      <c r="AQ93" s="67"/>
      <c r="AR93" s="68"/>
      <c r="AS93" s="69"/>
      <c r="AT93" s="69"/>
      <c r="AU93" s="69"/>
      <c r="AV93" s="69"/>
      <c r="AW93" s="69"/>
      <c r="AX93" s="68"/>
      <c r="AY93" s="69"/>
      <c r="AZ93" s="67"/>
      <c r="BA93" s="69"/>
      <c r="BB93" s="76"/>
      <c r="BC93" s="67"/>
      <c r="BD93" s="68"/>
      <c r="BE93" s="69"/>
      <c r="BF93" s="69"/>
      <c r="BG93" s="69"/>
      <c r="BH93" s="69"/>
      <c r="BI93" s="69"/>
      <c r="BJ93" s="68"/>
      <c r="BK93" s="69"/>
      <c r="BL93" s="67"/>
      <c r="BM93" s="67"/>
      <c r="BN93" s="56"/>
      <c r="BO93" s="56"/>
      <c r="BT93" s="63"/>
      <c r="BW93" s="56"/>
      <c r="BX93" s="56"/>
      <c r="BY93" s="56"/>
      <c r="BZ93" s="56"/>
      <c r="CA93" s="56"/>
      <c r="CF93" s="63"/>
      <c r="CI93" s="56"/>
      <c r="CJ93" s="56"/>
      <c r="CK93" s="56"/>
      <c r="CL93" s="56"/>
      <c r="CM93" s="56"/>
    </row>
    <row r="94" spans="18:93" ht="39.950000000000003" customHeight="1">
      <c r="AO94" s="68"/>
      <c r="AP94" s="67"/>
      <c r="AQ94" s="67"/>
      <c r="AR94" s="68"/>
      <c r="AS94" s="68"/>
      <c r="AT94" s="68"/>
      <c r="AU94" s="68"/>
      <c r="AV94" s="68"/>
      <c r="AW94" s="68"/>
      <c r="AX94" s="68"/>
      <c r="AY94" s="69"/>
      <c r="AZ94" s="67"/>
      <c r="BA94" s="68"/>
      <c r="BB94" s="67"/>
      <c r="BC94" s="67"/>
      <c r="BD94" s="68"/>
      <c r="BE94" s="68"/>
      <c r="BF94" s="68"/>
      <c r="BG94" s="68"/>
      <c r="BH94" s="68"/>
      <c r="BI94" s="68"/>
      <c r="BJ94" s="68"/>
      <c r="BK94" s="69"/>
      <c r="BL94" s="67"/>
      <c r="BM94" s="67"/>
    </row>
    <row r="95" spans="18:93" ht="39.950000000000003" customHeight="1">
      <c r="R95" s="63"/>
      <c r="S95" s="64"/>
      <c r="Y95" s="531"/>
      <c r="Z95" s="531"/>
      <c r="AA95" s="531"/>
      <c r="AD95" s="63"/>
      <c r="AE95" s="64"/>
      <c r="AK95" s="531"/>
      <c r="AL95" s="531"/>
      <c r="AM95" s="531"/>
      <c r="AO95" s="68"/>
      <c r="AP95" s="76"/>
      <c r="AQ95" s="77"/>
      <c r="AR95" s="68"/>
      <c r="AS95" s="68"/>
      <c r="AT95" s="68"/>
      <c r="AU95" s="68"/>
      <c r="AV95" s="68"/>
      <c r="AW95" s="533"/>
      <c r="AX95" s="533"/>
      <c r="AY95" s="533"/>
      <c r="AZ95" s="67"/>
      <c r="BA95" s="68"/>
      <c r="BB95" s="76"/>
      <c r="BC95" s="77"/>
      <c r="BD95" s="68"/>
      <c r="BE95" s="68"/>
      <c r="BF95" s="68"/>
      <c r="BG95" s="68"/>
      <c r="BH95" s="68"/>
      <c r="BI95" s="533"/>
      <c r="BJ95" s="533"/>
      <c r="BK95" s="533"/>
      <c r="BL95" s="67"/>
      <c r="BM95" s="67"/>
      <c r="BO95" s="531"/>
      <c r="BP95" s="531"/>
      <c r="BQ95" s="531"/>
      <c r="BT95" s="63"/>
      <c r="BU95" s="64"/>
      <c r="CA95" s="531"/>
      <c r="CB95" s="531"/>
      <c r="CC95" s="531"/>
      <c r="CF95" s="63"/>
      <c r="CG95" s="64"/>
      <c r="CM95" s="531"/>
      <c r="CN95" s="531"/>
      <c r="CO95" s="531"/>
    </row>
    <row r="96" spans="18:93" ht="39.950000000000003" customHeight="1">
      <c r="R96" s="63"/>
      <c r="V96" s="170"/>
      <c r="W96" s="56"/>
      <c r="X96" s="56"/>
      <c r="Y96" s="56"/>
      <c r="AD96" s="63"/>
      <c r="AG96" s="56"/>
      <c r="AH96" s="56"/>
      <c r="AI96" s="56"/>
      <c r="AJ96" s="56"/>
      <c r="AK96" s="56"/>
      <c r="AO96" s="68"/>
      <c r="AP96" s="76"/>
      <c r="AQ96" s="67"/>
      <c r="AR96" s="68"/>
      <c r="AS96" s="69"/>
      <c r="AT96" s="69"/>
      <c r="AU96" s="69"/>
      <c r="AV96" s="69"/>
      <c r="AW96" s="69"/>
      <c r="AX96" s="68"/>
      <c r="AY96" s="69"/>
      <c r="AZ96" s="67"/>
      <c r="BA96" s="69"/>
      <c r="BB96" s="76"/>
      <c r="BC96" s="67"/>
      <c r="BD96" s="68"/>
      <c r="BE96" s="69"/>
      <c r="BF96" s="69"/>
      <c r="BG96" s="69"/>
      <c r="BH96" s="69"/>
      <c r="BI96" s="69"/>
      <c r="BJ96" s="68"/>
      <c r="BK96" s="69"/>
      <c r="BL96" s="67"/>
      <c r="BM96" s="67"/>
      <c r="BN96" s="56"/>
      <c r="BO96" s="56"/>
      <c r="BT96" s="63"/>
      <c r="BW96" s="56"/>
      <c r="BX96" s="56"/>
      <c r="BY96" s="56"/>
      <c r="BZ96" s="56"/>
      <c r="CA96" s="56"/>
      <c r="CF96" s="63"/>
      <c r="CI96" s="56"/>
      <c r="CJ96" s="56"/>
      <c r="CK96" s="56"/>
      <c r="CL96" s="56"/>
      <c r="CM96" s="56"/>
    </row>
    <row r="97" spans="18:93" ht="39.950000000000003" customHeight="1">
      <c r="R97" s="63"/>
      <c r="V97" s="170"/>
      <c r="W97" s="56"/>
      <c r="X97" s="56"/>
      <c r="Y97" s="56"/>
      <c r="AD97" s="63"/>
      <c r="AG97" s="56"/>
      <c r="AH97" s="56"/>
      <c r="AI97" s="56"/>
      <c r="AJ97" s="56"/>
      <c r="AK97" s="56"/>
      <c r="AO97" s="68"/>
      <c r="AP97" s="76"/>
      <c r="AQ97" s="67"/>
      <c r="AR97" s="68"/>
      <c r="AS97" s="69"/>
      <c r="AT97" s="69"/>
      <c r="AU97" s="69"/>
      <c r="AV97" s="69"/>
      <c r="AW97" s="69"/>
      <c r="AX97" s="68"/>
      <c r="AY97" s="69"/>
      <c r="AZ97" s="67"/>
      <c r="BA97" s="69"/>
      <c r="BB97" s="76"/>
      <c r="BC97" s="67"/>
      <c r="BD97" s="68"/>
      <c r="BE97" s="69"/>
      <c r="BF97" s="69"/>
      <c r="BG97" s="69"/>
      <c r="BH97" s="69"/>
      <c r="BI97" s="69"/>
      <c r="BJ97" s="68"/>
      <c r="BK97" s="69"/>
      <c r="BL97" s="67"/>
      <c r="BM97" s="67"/>
      <c r="BN97" s="56"/>
      <c r="BO97" s="56"/>
      <c r="BT97" s="63"/>
      <c r="BW97" s="56"/>
      <c r="BX97" s="56"/>
      <c r="BY97" s="56"/>
      <c r="BZ97" s="56"/>
      <c r="CA97" s="56"/>
      <c r="CF97" s="63"/>
      <c r="CI97" s="56"/>
      <c r="CJ97" s="56"/>
      <c r="CK97" s="56"/>
      <c r="CL97" s="56"/>
      <c r="CM97" s="56"/>
    </row>
    <row r="98" spans="18:93" ht="39.950000000000003" customHeight="1">
      <c r="R98" s="63"/>
      <c r="V98" s="170"/>
      <c r="W98" s="56"/>
      <c r="X98" s="56"/>
      <c r="Y98" s="56"/>
      <c r="AD98" s="63"/>
      <c r="AG98" s="56"/>
      <c r="AH98" s="56"/>
      <c r="AI98" s="56"/>
      <c r="AJ98" s="56"/>
      <c r="AK98" s="56"/>
      <c r="AO98" s="68"/>
      <c r="AP98" s="76"/>
      <c r="AQ98" s="67"/>
      <c r="AR98" s="68"/>
      <c r="AS98" s="69"/>
      <c r="AT98" s="69"/>
      <c r="AU98" s="69"/>
      <c r="AV98" s="69"/>
      <c r="AW98" s="69"/>
      <c r="AX98" s="68"/>
      <c r="AY98" s="69"/>
      <c r="AZ98" s="67"/>
      <c r="BA98" s="69"/>
      <c r="BB98" s="76"/>
      <c r="BC98" s="67"/>
      <c r="BD98" s="68"/>
      <c r="BE98" s="69"/>
      <c r="BF98" s="69"/>
      <c r="BG98" s="69"/>
      <c r="BH98" s="69"/>
      <c r="BI98" s="69"/>
      <c r="BJ98" s="68"/>
      <c r="BK98" s="69"/>
      <c r="BL98" s="67"/>
      <c r="BM98" s="67"/>
      <c r="BN98" s="56"/>
      <c r="BO98" s="56"/>
      <c r="BT98" s="63"/>
      <c r="BW98" s="56"/>
      <c r="BX98" s="56"/>
      <c r="BY98" s="56"/>
      <c r="BZ98" s="56"/>
      <c r="CA98" s="56"/>
      <c r="CF98" s="63"/>
      <c r="CI98" s="56"/>
      <c r="CJ98" s="56"/>
      <c r="CK98" s="56"/>
      <c r="CL98" s="56"/>
      <c r="CM98" s="56"/>
    </row>
    <row r="99" spans="18:93" ht="39.950000000000003" customHeight="1">
      <c r="R99" s="63"/>
      <c r="V99" s="170"/>
      <c r="W99" s="56"/>
      <c r="X99" s="56"/>
      <c r="Y99" s="56"/>
      <c r="AD99" s="63"/>
      <c r="AG99" s="56"/>
      <c r="AH99" s="56"/>
      <c r="AI99" s="56"/>
      <c r="AJ99" s="56"/>
      <c r="AK99" s="56"/>
      <c r="AO99" s="68"/>
      <c r="AP99" s="76"/>
      <c r="AQ99" s="67"/>
      <c r="AR99" s="68"/>
      <c r="AS99" s="69"/>
      <c r="AT99" s="69"/>
      <c r="AU99" s="69"/>
      <c r="AV99" s="69"/>
      <c r="AW99" s="69"/>
      <c r="AX99" s="68"/>
      <c r="AY99" s="69"/>
      <c r="AZ99" s="67"/>
      <c r="BA99" s="69"/>
      <c r="BB99" s="76"/>
      <c r="BC99" s="67"/>
      <c r="BD99" s="68"/>
      <c r="BE99" s="69"/>
      <c r="BF99" s="69"/>
      <c r="BG99" s="69"/>
      <c r="BH99" s="69"/>
      <c r="BI99" s="69"/>
      <c r="BJ99" s="68"/>
      <c r="BK99" s="69"/>
      <c r="BL99" s="67"/>
      <c r="BM99" s="67"/>
      <c r="BN99" s="56"/>
      <c r="BO99" s="56"/>
      <c r="BT99" s="63"/>
      <c r="BW99" s="56"/>
      <c r="BX99" s="56"/>
      <c r="BY99" s="56"/>
      <c r="BZ99" s="56"/>
      <c r="CA99" s="56"/>
      <c r="CF99" s="63"/>
      <c r="CI99" s="56"/>
      <c r="CJ99" s="56"/>
      <c r="CK99" s="56"/>
      <c r="CL99" s="56"/>
      <c r="CM99" s="56"/>
    </row>
    <row r="100" spans="18:93" ht="39.950000000000003" customHeight="1">
      <c r="AO100" s="68"/>
      <c r="AP100" s="67"/>
      <c r="AQ100" s="67"/>
      <c r="AR100" s="68"/>
      <c r="AS100" s="68"/>
      <c r="AT100" s="68"/>
      <c r="AU100" s="68"/>
      <c r="AV100" s="68"/>
      <c r="AW100" s="68"/>
      <c r="AX100" s="68"/>
      <c r="AY100" s="69"/>
      <c r="AZ100" s="67"/>
      <c r="BA100" s="68"/>
      <c r="BB100" s="67"/>
      <c r="BC100" s="67"/>
      <c r="BD100" s="68"/>
      <c r="BE100" s="68"/>
      <c r="BF100" s="68"/>
      <c r="BG100" s="68"/>
      <c r="BH100" s="68"/>
      <c r="BI100" s="68"/>
      <c r="BJ100" s="68"/>
      <c r="BK100" s="69"/>
      <c r="BL100" s="67"/>
      <c r="BM100" s="67"/>
    </row>
    <row r="101" spans="18:93" ht="39.950000000000003" customHeight="1">
      <c r="R101" s="63"/>
      <c r="S101" s="64"/>
      <c r="Y101" s="531"/>
      <c r="Z101" s="531"/>
      <c r="AA101" s="531"/>
      <c r="AD101" s="63"/>
      <c r="AE101" s="64"/>
      <c r="AK101" s="531"/>
      <c r="AL101" s="531"/>
      <c r="AM101" s="531"/>
      <c r="AO101" s="68"/>
      <c r="AP101" s="76"/>
      <c r="AQ101" s="77"/>
      <c r="AR101" s="68"/>
      <c r="AS101" s="68"/>
      <c r="AT101" s="68"/>
      <c r="AU101" s="68"/>
      <c r="AV101" s="68"/>
      <c r="AW101" s="533"/>
      <c r="AX101" s="533"/>
      <c r="AY101" s="533"/>
      <c r="AZ101" s="67"/>
      <c r="BA101" s="68"/>
      <c r="BB101" s="76"/>
      <c r="BC101" s="77"/>
      <c r="BD101" s="68"/>
      <c r="BE101" s="68"/>
      <c r="BF101" s="68"/>
      <c r="BG101" s="68"/>
      <c r="BH101" s="68"/>
      <c r="BI101" s="533"/>
      <c r="BJ101" s="533"/>
      <c r="BK101" s="533"/>
      <c r="BL101" s="67"/>
      <c r="BM101" s="67"/>
      <c r="BO101" s="531"/>
      <c r="BP101" s="531"/>
      <c r="BQ101" s="531"/>
      <c r="BT101" s="63"/>
      <c r="BU101" s="64"/>
      <c r="CA101" s="531"/>
      <c r="CB101" s="531"/>
      <c r="CC101" s="531"/>
      <c r="CF101" s="63"/>
      <c r="CG101" s="64"/>
      <c r="CM101" s="531"/>
      <c r="CN101" s="531"/>
      <c r="CO101" s="531"/>
    </row>
    <row r="102" spans="18:93" ht="39.950000000000003" customHeight="1">
      <c r="R102" s="63"/>
      <c r="V102" s="170"/>
      <c r="W102" s="56"/>
      <c r="X102" s="56"/>
      <c r="Y102" s="56"/>
      <c r="AD102" s="63"/>
      <c r="AG102" s="56"/>
      <c r="AH102" s="56"/>
      <c r="AI102" s="56"/>
      <c r="AJ102" s="56"/>
      <c r="AK102" s="56"/>
      <c r="AO102" s="68"/>
      <c r="AP102" s="76"/>
      <c r="AQ102" s="67"/>
      <c r="AR102" s="68"/>
      <c r="AS102" s="69"/>
      <c r="AT102" s="69"/>
      <c r="AU102" s="69"/>
      <c r="AV102" s="69"/>
      <c r="AW102" s="69"/>
      <c r="AX102" s="68"/>
      <c r="AY102" s="69"/>
      <c r="AZ102" s="67"/>
      <c r="BA102" s="69"/>
      <c r="BB102" s="76"/>
      <c r="BC102" s="67"/>
      <c r="BD102" s="68"/>
      <c r="BE102" s="69"/>
      <c r="BF102" s="69"/>
      <c r="BG102" s="69"/>
      <c r="BH102" s="69"/>
      <c r="BI102" s="69"/>
      <c r="BJ102" s="68"/>
      <c r="BK102" s="69"/>
      <c r="BL102" s="67"/>
      <c r="BM102" s="67"/>
      <c r="BN102" s="56"/>
      <c r="BO102" s="56"/>
      <c r="BT102" s="63"/>
      <c r="BW102" s="56"/>
      <c r="BX102" s="56"/>
      <c r="BY102" s="56"/>
      <c r="BZ102" s="56"/>
      <c r="CA102" s="56"/>
      <c r="CF102" s="63"/>
      <c r="CI102" s="56"/>
      <c r="CJ102" s="56"/>
      <c r="CK102" s="56"/>
      <c r="CL102" s="56"/>
      <c r="CM102" s="56"/>
    </row>
    <row r="103" spans="18:93" ht="39.950000000000003" customHeight="1">
      <c r="R103" s="63"/>
      <c r="V103" s="170"/>
      <c r="W103" s="56"/>
      <c r="X103" s="56"/>
      <c r="Y103" s="56"/>
      <c r="AD103" s="63"/>
      <c r="AG103" s="56"/>
      <c r="AH103" s="56"/>
      <c r="AI103" s="56"/>
      <c r="AJ103" s="56"/>
      <c r="AK103" s="56"/>
      <c r="AO103" s="68"/>
      <c r="AP103" s="76"/>
      <c r="AQ103" s="67"/>
      <c r="AR103" s="68"/>
      <c r="AS103" s="69"/>
      <c r="AT103" s="69"/>
      <c r="AU103" s="69"/>
      <c r="AV103" s="69"/>
      <c r="AW103" s="69"/>
      <c r="AX103" s="68"/>
      <c r="AY103" s="69"/>
      <c r="AZ103" s="67"/>
      <c r="BA103" s="69"/>
      <c r="BB103" s="76"/>
      <c r="BC103" s="67"/>
      <c r="BD103" s="68"/>
      <c r="BE103" s="69"/>
      <c r="BF103" s="69"/>
      <c r="BG103" s="69"/>
      <c r="BH103" s="69"/>
      <c r="BI103" s="69"/>
      <c r="BJ103" s="68"/>
      <c r="BK103" s="69"/>
      <c r="BL103" s="67"/>
      <c r="BM103" s="67"/>
      <c r="BN103" s="56"/>
      <c r="BO103" s="56"/>
      <c r="BT103" s="63"/>
      <c r="BW103" s="56"/>
      <c r="BX103" s="56"/>
      <c r="BY103" s="56"/>
      <c r="BZ103" s="56"/>
      <c r="CA103" s="56"/>
      <c r="CF103" s="63"/>
      <c r="CI103" s="56"/>
      <c r="CJ103" s="56"/>
      <c r="CK103" s="56"/>
      <c r="CL103" s="56"/>
      <c r="CM103" s="56"/>
    </row>
    <row r="104" spans="18:93" ht="39.950000000000003" customHeight="1">
      <c r="R104" s="63"/>
      <c r="V104" s="170"/>
      <c r="W104" s="56"/>
      <c r="X104" s="56"/>
      <c r="Y104" s="56"/>
      <c r="AD104" s="63"/>
      <c r="AG104" s="56"/>
      <c r="AH104" s="56"/>
      <c r="AI104" s="56"/>
      <c r="AJ104" s="56"/>
      <c r="AK104" s="56"/>
      <c r="AO104" s="68"/>
      <c r="AP104" s="76"/>
      <c r="AQ104" s="67"/>
      <c r="AR104" s="68"/>
      <c r="AS104" s="69"/>
      <c r="AT104" s="69"/>
      <c r="AU104" s="69"/>
      <c r="AV104" s="69"/>
      <c r="AW104" s="69"/>
      <c r="AX104" s="68"/>
      <c r="AY104" s="69"/>
      <c r="AZ104" s="67"/>
      <c r="BA104" s="69"/>
      <c r="BB104" s="76"/>
      <c r="BC104" s="67"/>
      <c r="BD104" s="68"/>
      <c r="BE104" s="69"/>
      <c r="BF104" s="69"/>
      <c r="BG104" s="69"/>
      <c r="BH104" s="69"/>
      <c r="BI104" s="69"/>
      <c r="BJ104" s="68"/>
      <c r="BK104" s="69"/>
      <c r="BL104" s="67"/>
      <c r="BM104" s="67"/>
      <c r="BN104" s="56"/>
      <c r="BO104" s="56"/>
      <c r="BT104" s="63"/>
      <c r="BW104" s="56"/>
      <c r="BX104" s="56"/>
      <c r="BY104" s="56"/>
      <c r="BZ104" s="56"/>
      <c r="CA104" s="56"/>
      <c r="CF104" s="63"/>
      <c r="CI104" s="56"/>
      <c r="CJ104" s="56"/>
      <c r="CK104" s="56"/>
      <c r="CL104" s="56"/>
      <c r="CM104" s="56"/>
    </row>
    <row r="105" spans="18:93" ht="39.950000000000003" customHeight="1">
      <c r="R105" s="63"/>
      <c r="V105" s="170"/>
      <c r="W105" s="56"/>
      <c r="X105" s="56"/>
      <c r="Y105" s="56"/>
      <c r="AD105" s="63"/>
      <c r="AG105" s="56"/>
      <c r="AH105" s="56"/>
      <c r="AI105" s="56"/>
      <c r="AJ105" s="56"/>
      <c r="AK105" s="56"/>
      <c r="AO105" s="68"/>
      <c r="AP105" s="76"/>
      <c r="AQ105" s="67"/>
      <c r="AR105" s="68"/>
      <c r="AS105" s="69"/>
      <c r="AT105" s="69"/>
      <c r="AU105" s="69"/>
      <c r="AV105" s="69"/>
      <c r="AW105" s="69"/>
      <c r="AX105" s="68"/>
      <c r="AY105" s="69"/>
      <c r="AZ105" s="67"/>
      <c r="BA105" s="69"/>
      <c r="BB105" s="76"/>
      <c r="BC105" s="67"/>
      <c r="BD105" s="68"/>
      <c r="BE105" s="69"/>
      <c r="BF105" s="69"/>
      <c r="BG105" s="69"/>
      <c r="BH105" s="69"/>
      <c r="BI105" s="69"/>
      <c r="BJ105" s="68"/>
      <c r="BK105" s="69"/>
      <c r="BL105" s="67"/>
      <c r="BM105" s="67"/>
      <c r="BN105" s="56"/>
      <c r="BO105" s="56"/>
      <c r="BT105" s="63"/>
      <c r="BW105" s="56"/>
      <c r="BX105" s="56"/>
      <c r="BY105" s="56"/>
      <c r="BZ105" s="56"/>
      <c r="CA105" s="56"/>
      <c r="CF105" s="63"/>
      <c r="CI105" s="56"/>
      <c r="CJ105" s="56"/>
      <c r="CK105" s="56"/>
      <c r="CL105" s="56"/>
      <c r="CM105" s="56"/>
    </row>
    <row r="106" spans="18:93" ht="39.950000000000003" customHeight="1">
      <c r="AO106" s="68"/>
      <c r="AP106" s="67"/>
      <c r="AQ106" s="67"/>
      <c r="AR106" s="68"/>
      <c r="AS106" s="68"/>
      <c r="AT106" s="68"/>
      <c r="AU106" s="68"/>
      <c r="AV106" s="68"/>
      <c r="AW106" s="68"/>
      <c r="AX106" s="68"/>
      <c r="AY106" s="69"/>
      <c r="AZ106" s="67"/>
      <c r="BA106" s="68"/>
      <c r="BB106" s="67"/>
      <c r="BC106" s="67"/>
      <c r="BD106" s="68"/>
      <c r="BE106" s="68"/>
      <c r="BF106" s="68"/>
      <c r="BG106" s="68"/>
      <c r="BH106" s="68"/>
      <c r="BI106" s="68"/>
      <c r="BJ106" s="68"/>
      <c r="BK106" s="69"/>
      <c r="BL106" s="67"/>
      <c r="BM106" s="67"/>
    </row>
    <row r="107" spans="18:93" ht="39.950000000000003" customHeight="1">
      <c r="R107" s="63"/>
      <c r="S107" s="64"/>
      <c r="Y107" s="531"/>
      <c r="Z107" s="531"/>
      <c r="AA107" s="531"/>
      <c r="AD107" s="63"/>
      <c r="AE107" s="64"/>
      <c r="AK107" s="531"/>
      <c r="AL107" s="531"/>
      <c r="AM107" s="531"/>
      <c r="AO107" s="68"/>
      <c r="AP107" s="76"/>
      <c r="AQ107" s="77"/>
      <c r="AR107" s="68"/>
      <c r="AS107" s="68"/>
      <c r="AT107" s="68"/>
      <c r="AU107" s="68"/>
      <c r="AV107" s="68"/>
      <c r="AW107" s="533"/>
      <c r="AX107" s="533"/>
      <c r="AY107" s="533"/>
      <c r="AZ107" s="67"/>
      <c r="BA107" s="68"/>
      <c r="BB107" s="76"/>
      <c r="BC107" s="77"/>
      <c r="BD107" s="68"/>
      <c r="BE107" s="68"/>
      <c r="BF107" s="68"/>
      <c r="BG107" s="68"/>
      <c r="BH107" s="68"/>
      <c r="BI107" s="533"/>
      <c r="BJ107" s="533"/>
      <c r="BK107" s="533"/>
      <c r="BL107" s="67"/>
      <c r="BM107" s="67"/>
      <c r="BO107" s="531"/>
      <c r="BP107" s="531"/>
      <c r="BQ107" s="531"/>
      <c r="BT107" s="63"/>
      <c r="BU107" s="64"/>
      <c r="CA107" s="531"/>
      <c r="CB107" s="531"/>
      <c r="CC107" s="531"/>
      <c r="CF107" s="63"/>
      <c r="CG107" s="64"/>
      <c r="CM107" s="531"/>
      <c r="CN107" s="531"/>
      <c r="CO107" s="531"/>
    </row>
    <row r="108" spans="18:93" ht="39.950000000000003" customHeight="1">
      <c r="R108" s="63"/>
      <c r="V108" s="170"/>
      <c r="W108" s="56"/>
      <c r="X108" s="56"/>
      <c r="Y108" s="56"/>
      <c r="AD108" s="63"/>
      <c r="AG108" s="56"/>
      <c r="AH108" s="56"/>
      <c r="AI108" s="56"/>
      <c r="AJ108" s="56"/>
      <c r="AK108" s="56"/>
      <c r="AO108" s="68"/>
      <c r="AP108" s="76"/>
      <c r="AQ108" s="67"/>
      <c r="AR108" s="68"/>
      <c r="AS108" s="69"/>
      <c r="AT108" s="69"/>
      <c r="AU108" s="69"/>
      <c r="AV108" s="69"/>
      <c r="AW108" s="69"/>
      <c r="AX108" s="68"/>
      <c r="AY108" s="69"/>
      <c r="AZ108" s="67"/>
      <c r="BA108" s="69"/>
      <c r="BB108" s="76"/>
      <c r="BC108" s="67"/>
      <c r="BD108" s="68"/>
      <c r="BE108" s="69"/>
      <c r="BF108" s="69"/>
      <c r="BG108" s="69"/>
      <c r="BH108" s="69"/>
      <c r="BI108" s="69"/>
      <c r="BJ108" s="68"/>
      <c r="BK108" s="69"/>
      <c r="BL108" s="67"/>
      <c r="BM108" s="67"/>
      <c r="BN108" s="56"/>
      <c r="BO108" s="56"/>
      <c r="BT108" s="63"/>
      <c r="BW108" s="56"/>
      <c r="BX108" s="56"/>
      <c r="BY108" s="56"/>
      <c r="BZ108" s="56"/>
      <c r="CA108" s="56"/>
      <c r="CF108" s="63"/>
      <c r="CI108" s="56"/>
      <c r="CJ108" s="56"/>
      <c r="CK108" s="56"/>
      <c r="CL108" s="56"/>
      <c r="CM108" s="56"/>
    </row>
    <row r="109" spans="18:93" ht="39.950000000000003" customHeight="1">
      <c r="R109" s="63"/>
      <c r="V109" s="170"/>
      <c r="W109" s="56"/>
      <c r="X109" s="56"/>
      <c r="Y109" s="56"/>
      <c r="AD109" s="63"/>
      <c r="AG109" s="56"/>
      <c r="AH109" s="56"/>
      <c r="AI109" s="56"/>
      <c r="AJ109" s="56"/>
      <c r="AK109" s="56"/>
      <c r="AO109" s="68"/>
      <c r="AP109" s="76"/>
      <c r="AQ109" s="67"/>
      <c r="AR109" s="68"/>
      <c r="AS109" s="69"/>
      <c r="AT109" s="69"/>
      <c r="AU109" s="69"/>
      <c r="AV109" s="69"/>
      <c r="AW109" s="69"/>
      <c r="AX109" s="68"/>
      <c r="AY109" s="69"/>
      <c r="AZ109" s="67"/>
      <c r="BA109" s="69"/>
      <c r="BB109" s="76"/>
      <c r="BC109" s="67"/>
      <c r="BD109" s="68"/>
      <c r="BE109" s="69"/>
      <c r="BF109" s="69"/>
      <c r="BG109" s="69"/>
      <c r="BH109" s="69"/>
      <c r="BI109" s="69"/>
      <c r="BJ109" s="68"/>
      <c r="BK109" s="69"/>
      <c r="BL109" s="67"/>
      <c r="BM109" s="67"/>
      <c r="BN109" s="56"/>
      <c r="BO109" s="56"/>
      <c r="BT109" s="63"/>
      <c r="BW109" s="56"/>
      <c r="BX109" s="56"/>
      <c r="BY109" s="56"/>
      <c r="BZ109" s="56"/>
      <c r="CA109" s="56"/>
      <c r="CF109" s="63"/>
      <c r="CI109" s="56"/>
      <c r="CJ109" s="56"/>
      <c r="CK109" s="56"/>
      <c r="CL109" s="56"/>
      <c r="CM109" s="56"/>
    </row>
    <row r="110" spans="18:93" ht="39.950000000000003" customHeight="1">
      <c r="R110" s="63"/>
      <c r="V110" s="170"/>
      <c r="W110" s="56"/>
      <c r="X110" s="56"/>
      <c r="Y110" s="56"/>
      <c r="AD110" s="63"/>
      <c r="AG110" s="56"/>
      <c r="AH110" s="56"/>
      <c r="AI110" s="56"/>
      <c r="AJ110" s="56"/>
      <c r="AK110" s="56"/>
      <c r="AO110" s="68"/>
      <c r="AP110" s="76"/>
      <c r="AQ110" s="67"/>
      <c r="AR110" s="68"/>
      <c r="AS110" s="69"/>
      <c r="AT110" s="69"/>
      <c r="AU110" s="69"/>
      <c r="AV110" s="69"/>
      <c r="AW110" s="69"/>
      <c r="AX110" s="68"/>
      <c r="AY110" s="69"/>
      <c r="AZ110" s="67"/>
      <c r="BA110" s="69"/>
      <c r="BB110" s="76"/>
      <c r="BC110" s="67"/>
      <c r="BD110" s="68"/>
      <c r="BE110" s="69"/>
      <c r="BF110" s="69"/>
      <c r="BG110" s="69"/>
      <c r="BH110" s="69"/>
      <c r="BI110" s="69"/>
      <c r="BJ110" s="68"/>
      <c r="BK110" s="69"/>
      <c r="BL110" s="67"/>
      <c r="BM110" s="67"/>
      <c r="BN110" s="56"/>
      <c r="BO110" s="56"/>
      <c r="BT110" s="63"/>
      <c r="BW110" s="56"/>
      <c r="BX110" s="56"/>
      <c r="BY110" s="56"/>
      <c r="BZ110" s="56"/>
      <c r="CA110" s="56"/>
      <c r="CF110" s="63"/>
      <c r="CI110" s="56"/>
      <c r="CJ110" s="56"/>
      <c r="CK110" s="56"/>
      <c r="CL110" s="56"/>
      <c r="CM110" s="56"/>
    </row>
    <row r="111" spans="18:93" ht="39.950000000000003" customHeight="1">
      <c r="R111" s="63"/>
      <c r="V111" s="170"/>
      <c r="W111" s="56"/>
      <c r="X111" s="56"/>
      <c r="Y111" s="56"/>
      <c r="AD111" s="63"/>
      <c r="AG111" s="56"/>
      <c r="AH111" s="56"/>
      <c r="AI111" s="56"/>
      <c r="AJ111" s="56"/>
      <c r="AK111" s="56"/>
      <c r="AO111" s="68"/>
      <c r="AP111" s="76"/>
      <c r="AQ111" s="67"/>
      <c r="AR111" s="68"/>
      <c r="AS111" s="69"/>
      <c r="AT111" s="69"/>
      <c r="AU111" s="69"/>
      <c r="AV111" s="69"/>
      <c r="AW111" s="69"/>
      <c r="AX111" s="68"/>
      <c r="AY111" s="69"/>
      <c r="AZ111" s="67"/>
      <c r="BA111" s="69"/>
      <c r="BB111" s="76"/>
      <c r="BC111" s="67"/>
      <c r="BD111" s="68"/>
      <c r="BE111" s="69"/>
      <c r="BF111" s="69"/>
      <c r="BG111" s="69"/>
      <c r="BH111" s="69"/>
      <c r="BI111" s="69"/>
      <c r="BJ111" s="68"/>
      <c r="BK111" s="69"/>
      <c r="BL111" s="67"/>
      <c r="BM111" s="67"/>
      <c r="BN111" s="56"/>
      <c r="BO111" s="56"/>
      <c r="BT111" s="63"/>
      <c r="BW111" s="56"/>
      <c r="BX111" s="56"/>
      <c r="BY111" s="56"/>
      <c r="BZ111" s="56"/>
      <c r="CA111" s="56"/>
      <c r="CF111" s="63"/>
      <c r="CI111" s="56"/>
      <c r="CJ111" s="56"/>
      <c r="CK111" s="56"/>
      <c r="CL111" s="56"/>
      <c r="CM111" s="56"/>
    </row>
    <row r="112" spans="18:93" ht="39.950000000000003" customHeight="1">
      <c r="AO112" s="68"/>
      <c r="AP112" s="67"/>
      <c r="AQ112" s="67"/>
      <c r="AR112" s="68"/>
      <c r="AS112" s="68"/>
      <c r="AT112" s="68"/>
      <c r="AU112" s="68"/>
      <c r="AV112" s="68"/>
      <c r="AW112" s="68"/>
      <c r="AX112" s="68"/>
      <c r="AY112" s="69"/>
      <c r="AZ112" s="67"/>
      <c r="BA112" s="68"/>
      <c r="BB112" s="67"/>
      <c r="BC112" s="67"/>
      <c r="BD112" s="68"/>
      <c r="BE112" s="68"/>
      <c r="BF112" s="68"/>
      <c r="BG112" s="68"/>
      <c r="BH112" s="68"/>
      <c r="BI112" s="68"/>
      <c r="BJ112" s="68"/>
      <c r="BK112" s="69"/>
      <c r="BL112" s="67"/>
      <c r="BM112" s="67"/>
    </row>
    <row r="113" spans="18:93" ht="39.950000000000003" customHeight="1">
      <c r="R113" s="63"/>
      <c r="S113" s="64"/>
      <c r="Y113" s="531"/>
      <c r="Z113" s="531"/>
      <c r="AA113" s="531"/>
      <c r="AD113" s="63"/>
      <c r="AE113" s="64"/>
      <c r="AK113" s="531"/>
      <c r="AL113" s="531"/>
      <c r="AM113" s="531"/>
      <c r="AO113" s="68"/>
      <c r="AP113" s="76"/>
      <c r="AQ113" s="77"/>
      <c r="AR113" s="68"/>
      <c r="AS113" s="68"/>
      <c r="AT113" s="68"/>
      <c r="AU113" s="68"/>
      <c r="AV113" s="68"/>
      <c r="AW113" s="533"/>
      <c r="AX113" s="533"/>
      <c r="AY113" s="533"/>
      <c r="AZ113" s="67"/>
      <c r="BA113" s="68"/>
      <c r="BB113" s="76"/>
      <c r="BC113" s="77"/>
      <c r="BD113" s="68"/>
      <c r="BE113" s="68"/>
      <c r="BF113" s="68"/>
      <c r="BG113" s="68"/>
      <c r="BH113" s="68"/>
      <c r="BI113" s="533"/>
      <c r="BJ113" s="533"/>
      <c r="BK113" s="533"/>
      <c r="BL113" s="67"/>
      <c r="BM113" s="67"/>
      <c r="BO113" s="531"/>
      <c r="BP113" s="531"/>
      <c r="BQ113" s="531"/>
      <c r="BT113" s="63"/>
      <c r="BU113" s="64"/>
      <c r="CA113" s="531"/>
      <c r="CB113" s="531"/>
      <c r="CC113" s="531"/>
      <c r="CF113" s="63"/>
      <c r="CG113" s="64"/>
      <c r="CM113" s="531"/>
      <c r="CN113" s="531"/>
      <c r="CO113" s="531"/>
    </row>
    <row r="114" spans="18:93" ht="39.950000000000003" customHeight="1">
      <c r="R114" s="63"/>
      <c r="V114" s="170"/>
      <c r="W114" s="56"/>
      <c r="X114" s="56"/>
      <c r="Y114" s="56"/>
      <c r="AD114" s="63"/>
      <c r="AG114" s="56"/>
      <c r="AH114" s="56"/>
      <c r="AI114" s="56"/>
      <c r="AJ114" s="56"/>
      <c r="AK114" s="56"/>
      <c r="AO114" s="68"/>
      <c r="AP114" s="76"/>
      <c r="AQ114" s="67"/>
      <c r="AR114" s="68"/>
      <c r="AS114" s="69"/>
      <c r="AT114" s="69"/>
      <c r="AU114" s="69"/>
      <c r="AV114" s="69"/>
      <c r="AW114" s="69"/>
      <c r="AX114" s="68"/>
      <c r="AY114" s="69"/>
      <c r="AZ114" s="67"/>
      <c r="BA114" s="69"/>
      <c r="BB114" s="76"/>
      <c r="BC114" s="67"/>
      <c r="BD114" s="68"/>
      <c r="BE114" s="69"/>
      <c r="BF114" s="69"/>
      <c r="BG114" s="69"/>
      <c r="BH114" s="69"/>
      <c r="BI114" s="69"/>
      <c r="BJ114" s="68"/>
      <c r="BK114" s="69"/>
      <c r="BL114" s="67"/>
      <c r="BM114" s="67"/>
      <c r="BN114" s="56"/>
      <c r="BO114" s="56"/>
      <c r="BT114" s="63"/>
      <c r="BW114" s="56"/>
      <c r="BX114" s="56"/>
      <c r="BY114" s="56"/>
      <c r="BZ114" s="56"/>
      <c r="CA114" s="56"/>
      <c r="CF114" s="63"/>
      <c r="CI114" s="56"/>
      <c r="CJ114" s="56"/>
      <c r="CK114" s="56"/>
      <c r="CL114" s="56"/>
      <c r="CM114" s="56"/>
    </row>
    <row r="115" spans="18:93" ht="39.950000000000003" customHeight="1">
      <c r="R115" s="63"/>
      <c r="V115" s="170"/>
      <c r="W115" s="56"/>
      <c r="X115" s="56"/>
      <c r="Y115" s="56"/>
      <c r="AD115" s="63"/>
      <c r="AG115" s="56"/>
      <c r="AH115" s="56"/>
      <c r="AI115" s="56"/>
      <c r="AJ115" s="56"/>
      <c r="AK115" s="56"/>
      <c r="AO115" s="68"/>
      <c r="AP115" s="76"/>
      <c r="AQ115" s="67"/>
      <c r="AR115" s="68"/>
      <c r="AS115" s="69"/>
      <c r="AT115" s="69"/>
      <c r="AU115" s="69"/>
      <c r="AV115" s="69"/>
      <c r="AW115" s="69"/>
      <c r="AX115" s="68"/>
      <c r="AY115" s="69"/>
      <c r="AZ115" s="67"/>
      <c r="BA115" s="69"/>
      <c r="BB115" s="76"/>
      <c r="BC115" s="67"/>
      <c r="BD115" s="68"/>
      <c r="BE115" s="69"/>
      <c r="BF115" s="69"/>
      <c r="BG115" s="69"/>
      <c r="BH115" s="69"/>
      <c r="BI115" s="69"/>
      <c r="BJ115" s="68"/>
      <c r="BK115" s="69"/>
      <c r="BL115" s="67"/>
      <c r="BM115" s="67"/>
      <c r="BN115" s="56"/>
      <c r="BO115" s="56"/>
      <c r="BT115" s="63"/>
      <c r="BW115" s="56"/>
      <c r="BX115" s="56"/>
      <c r="BY115" s="56"/>
      <c r="BZ115" s="56"/>
      <c r="CA115" s="56"/>
      <c r="CF115" s="63"/>
      <c r="CI115" s="56"/>
      <c r="CJ115" s="56"/>
      <c r="CK115" s="56"/>
      <c r="CL115" s="56"/>
      <c r="CM115" s="56"/>
    </row>
    <row r="116" spans="18:93" ht="39.950000000000003" customHeight="1">
      <c r="R116" s="63"/>
      <c r="V116" s="170"/>
      <c r="W116" s="56"/>
      <c r="X116" s="56"/>
      <c r="Y116" s="56"/>
      <c r="AD116" s="63"/>
      <c r="AG116" s="56"/>
      <c r="AH116" s="56"/>
      <c r="AI116" s="56"/>
      <c r="AJ116" s="56"/>
      <c r="AK116" s="56"/>
      <c r="AO116" s="68"/>
      <c r="AP116" s="76"/>
      <c r="AQ116" s="67"/>
      <c r="AR116" s="68"/>
      <c r="AS116" s="69"/>
      <c r="AT116" s="69"/>
      <c r="AU116" s="69"/>
      <c r="AV116" s="69"/>
      <c r="AW116" s="69"/>
      <c r="AX116" s="68"/>
      <c r="AY116" s="69"/>
      <c r="AZ116" s="67"/>
      <c r="BA116" s="69"/>
      <c r="BB116" s="76"/>
      <c r="BC116" s="67"/>
      <c r="BD116" s="68"/>
      <c r="BE116" s="69"/>
      <c r="BF116" s="69"/>
      <c r="BG116" s="69"/>
      <c r="BH116" s="69"/>
      <c r="BI116" s="69"/>
      <c r="BJ116" s="68"/>
      <c r="BK116" s="69"/>
      <c r="BL116" s="67"/>
      <c r="BM116" s="67"/>
      <c r="BN116" s="56"/>
      <c r="BO116" s="56"/>
      <c r="BT116" s="63"/>
      <c r="BW116" s="56"/>
      <c r="BX116" s="56"/>
      <c r="BY116" s="56"/>
      <c r="BZ116" s="56"/>
      <c r="CA116" s="56"/>
      <c r="CF116" s="63"/>
      <c r="CI116" s="56"/>
      <c r="CJ116" s="56"/>
      <c r="CK116" s="56"/>
      <c r="CL116" s="56"/>
      <c r="CM116" s="56"/>
    </row>
    <row r="117" spans="18:93" ht="39.950000000000003" customHeight="1">
      <c r="R117" s="63"/>
      <c r="V117" s="170"/>
      <c r="W117" s="56"/>
      <c r="X117" s="56"/>
      <c r="Y117" s="56"/>
      <c r="AD117" s="63"/>
      <c r="AG117" s="56"/>
      <c r="AH117" s="56"/>
      <c r="AI117" s="56"/>
      <c r="AJ117" s="56"/>
      <c r="AK117" s="56"/>
      <c r="AO117" s="68"/>
      <c r="AP117" s="76"/>
      <c r="AQ117" s="67"/>
      <c r="AR117" s="68"/>
      <c r="AS117" s="69"/>
      <c r="AT117" s="69"/>
      <c r="AU117" s="69"/>
      <c r="AV117" s="69"/>
      <c r="AW117" s="69"/>
      <c r="AX117" s="68"/>
      <c r="AY117" s="69"/>
      <c r="AZ117" s="67"/>
      <c r="BA117" s="69"/>
      <c r="BB117" s="76"/>
      <c r="BC117" s="67"/>
      <c r="BD117" s="68"/>
      <c r="BE117" s="69"/>
      <c r="BF117" s="69"/>
      <c r="BG117" s="69"/>
      <c r="BH117" s="69"/>
      <c r="BI117" s="69"/>
      <c r="BJ117" s="68"/>
      <c r="BK117" s="69"/>
      <c r="BL117" s="67"/>
      <c r="BM117" s="67"/>
      <c r="BN117" s="56"/>
      <c r="BO117" s="56"/>
      <c r="BT117" s="63"/>
      <c r="BW117" s="56"/>
      <c r="BX117" s="56"/>
      <c r="BY117" s="56"/>
      <c r="BZ117" s="56"/>
      <c r="CA117" s="56"/>
      <c r="CF117" s="63"/>
      <c r="CI117" s="56"/>
      <c r="CJ117" s="56"/>
      <c r="CK117" s="56"/>
      <c r="CL117" s="56"/>
      <c r="CM117" s="56"/>
    </row>
    <row r="118" spans="18:93" ht="39.950000000000003" customHeight="1">
      <c r="AO118" s="68"/>
      <c r="AP118" s="67"/>
      <c r="AQ118" s="67"/>
      <c r="AR118" s="68"/>
      <c r="AS118" s="68"/>
      <c r="AT118" s="68"/>
      <c r="AU118" s="68"/>
      <c r="AV118" s="68"/>
      <c r="AW118" s="68"/>
      <c r="AX118" s="68"/>
      <c r="AY118" s="69"/>
      <c r="AZ118" s="67"/>
      <c r="BA118" s="68"/>
      <c r="BB118" s="67"/>
      <c r="BC118" s="67"/>
      <c r="BD118" s="68"/>
      <c r="BE118" s="68"/>
      <c r="BF118" s="68"/>
      <c r="BG118" s="68"/>
      <c r="BH118" s="68"/>
      <c r="BI118" s="68"/>
      <c r="BJ118" s="68"/>
      <c r="BK118" s="69"/>
      <c r="BL118" s="67"/>
      <c r="BM118" s="67"/>
    </row>
    <row r="119" spans="18:93" ht="39.950000000000003" customHeight="1">
      <c r="R119" s="63"/>
      <c r="S119" s="64"/>
      <c r="Y119" s="531"/>
      <c r="Z119" s="531"/>
      <c r="AA119" s="531"/>
      <c r="AD119" s="63"/>
      <c r="AE119" s="64"/>
      <c r="AK119" s="531"/>
      <c r="AL119" s="531"/>
      <c r="AM119" s="531"/>
      <c r="AO119" s="68"/>
      <c r="AP119" s="76"/>
      <c r="AQ119" s="77"/>
      <c r="AR119" s="68"/>
      <c r="AS119" s="68"/>
      <c r="AT119" s="68"/>
      <c r="AU119" s="68"/>
      <c r="AV119" s="68"/>
      <c r="AW119" s="533"/>
      <c r="AX119" s="533"/>
      <c r="AY119" s="533"/>
      <c r="AZ119" s="67"/>
      <c r="BA119" s="68"/>
      <c r="BB119" s="76"/>
      <c r="BC119" s="77"/>
      <c r="BD119" s="68"/>
      <c r="BE119" s="68"/>
      <c r="BF119" s="68"/>
      <c r="BG119" s="68"/>
      <c r="BH119" s="68"/>
      <c r="BI119" s="533"/>
      <c r="BJ119" s="533"/>
      <c r="BK119" s="533"/>
      <c r="BL119" s="67"/>
      <c r="BM119" s="67"/>
      <c r="BO119" s="531"/>
      <c r="BP119" s="531"/>
      <c r="BQ119" s="531"/>
      <c r="BT119" s="63"/>
      <c r="BU119" s="64"/>
      <c r="CA119" s="531"/>
      <c r="CB119" s="531"/>
      <c r="CC119" s="531"/>
      <c r="CF119" s="63"/>
      <c r="CG119" s="64"/>
      <c r="CM119" s="531"/>
      <c r="CN119" s="531"/>
      <c r="CO119" s="531"/>
    </row>
    <row r="120" spans="18:93" ht="39.950000000000003" customHeight="1">
      <c r="R120" s="63"/>
      <c r="V120" s="170"/>
      <c r="W120" s="56"/>
      <c r="X120" s="56"/>
      <c r="Y120" s="56"/>
      <c r="AD120" s="63"/>
      <c r="AG120" s="56"/>
      <c r="AH120" s="56"/>
      <c r="AI120" s="56"/>
      <c r="AJ120" s="56"/>
      <c r="AK120" s="56"/>
      <c r="AO120" s="68"/>
      <c r="AP120" s="76"/>
      <c r="AQ120" s="67"/>
      <c r="AR120" s="68"/>
      <c r="AS120" s="69"/>
      <c r="AT120" s="69"/>
      <c r="AU120" s="69"/>
      <c r="AV120" s="69"/>
      <c r="AW120" s="69"/>
      <c r="AX120" s="68"/>
      <c r="AY120" s="69"/>
      <c r="AZ120" s="67"/>
      <c r="BA120" s="69"/>
      <c r="BB120" s="76"/>
      <c r="BC120" s="67"/>
      <c r="BD120" s="68"/>
      <c r="BE120" s="69"/>
      <c r="BF120" s="69"/>
      <c r="BG120" s="69"/>
      <c r="BH120" s="69"/>
      <c r="BI120" s="69"/>
      <c r="BJ120" s="68"/>
      <c r="BK120" s="69"/>
      <c r="BL120" s="67"/>
      <c r="BM120" s="67"/>
      <c r="BN120" s="56"/>
      <c r="BO120" s="56"/>
      <c r="BT120" s="63"/>
      <c r="BW120" s="56"/>
      <c r="BX120" s="56"/>
      <c r="BY120" s="56"/>
      <c r="BZ120" s="56"/>
      <c r="CA120" s="56"/>
      <c r="CF120" s="63"/>
      <c r="CI120" s="56"/>
      <c r="CJ120" s="56"/>
      <c r="CK120" s="56"/>
      <c r="CL120" s="56"/>
      <c r="CM120" s="56"/>
    </row>
    <row r="121" spans="18:93" ht="39.950000000000003" customHeight="1">
      <c r="R121" s="63"/>
      <c r="V121" s="170"/>
      <c r="W121" s="56"/>
      <c r="X121" s="56"/>
      <c r="Y121" s="56"/>
      <c r="AD121" s="63"/>
      <c r="AG121" s="56"/>
      <c r="AH121" s="56"/>
      <c r="AI121" s="56"/>
      <c r="AJ121" s="56"/>
      <c r="AK121" s="56"/>
      <c r="AO121" s="68"/>
      <c r="AP121" s="76"/>
      <c r="AQ121" s="67"/>
      <c r="AR121" s="68"/>
      <c r="AS121" s="69"/>
      <c r="AT121" s="69"/>
      <c r="AU121" s="69"/>
      <c r="AV121" s="69"/>
      <c r="AW121" s="69"/>
      <c r="AX121" s="68"/>
      <c r="AY121" s="69"/>
      <c r="AZ121" s="67"/>
      <c r="BA121" s="69"/>
      <c r="BB121" s="76"/>
      <c r="BC121" s="67"/>
      <c r="BD121" s="68"/>
      <c r="BE121" s="69"/>
      <c r="BF121" s="69"/>
      <c r="BG121" s="69"/>
      <c r="BH121" s="69"/>
      <c r="BI121" s="69"/>
      <c r="BJ121" s="68"/>
      <c r="BK121" s="69"/>
      <c r="BL121" s="67"/>
      <c r="BM121" s="67"/>
      <c r="BN121" s="56"/>
      <c r="BO121" s="56"/>
      <c r="BT121" s="63"/>
      <c r="BW121" s="56"/>
      <c r="BX121" s="56"/>
      <c r="BY121" s="56"/>
      <c r="BZ121" s="56"/>
      <c r="CA121" s="56"/>
      <c r="CF121" s="63"/>
      <c r="CI121" s="56"/>
      <c r="CJ121" s="56"/>
      <c r="CK121" s="56"/>
      <c r="CL121" s="56"/>
      <c r="CM121" s="56"/>
    </row>
    <row r="122" spans="18:93" ht="39.950000000000003" customHeight="1">
      <c r="R122" s="63"/>
      <c r="V122" s="170"/>
      <c r="W122" s="56"/>
      <c r="X122" s="56"/>
      <c r="Y122" s="56"/>
      <c r="AD122" s="63"/>
      <c r="AG122" s="56"/>
      <c r="AH122" s="56"/>
      <c r="AI122" s="56"/>
      <c r="AJ122" s="56"/>
      <c r="AK122" s="56"/>
      <c r="AO122" s="68"/>
      <c r="AP122" s="76"/>
      <c r="AQ122" s="67"/>
      <c r="AR122" s="68"/>
      <c r="AS122" s="69"/>
      <c r="AT122" s="69"/>
      <c r="AU122" s="69"/>
      <c r="AV122" s="69"/>
      <c r="AW122" s="69"/>
      <c r="AX122" s="68"/>
      <c r="AY122" s="69"/>
      <c r="AZ122" s="67"/>
      <c r="BA122" s="69"/>
      <c r="BB122" s="76"/>
      <c r="BC122" s="67"/>
      <c r="BD122" s="68"/>
      <c r="BE122" s="69"/>
      <c r="BF122" s="69"/>
      <c r="BG122" s="69"/>
      <c r="BH122" s="69"/>
      <c r="BI122" s="69"/>
      <c r="BJ122" s="68"/>
      <c r="BK122" s="69"/>
      <c r="BL122" s="67"/>
      <c r="BM122" s="67"/>
      <c r="BN122" s="56"/>
      <c r="BO122" s="56"/>
      <c r="BT122" s="63"/>
      <c r="BW122" s="56"/>
      <c r="BX122" s="56"/>
      <c r="BY122" s="56"/>
      <c r="BZ122" s="56"/>
      <c r="CA122" s="56"/>
      <c r="CF122" s="63"/>
      <c r="CI122" s="56"/>
      <c r="CJ122" s="56"/>
      <c r="CK122" s="56"/>
      <c r="CL122" s="56"/>
      <c r="CM122" s="56"/>
    </row>
    <row r="123" spans="18:93" ht="39.950000000000003" customHeight="1">
      <c r="R123" s="63"/>
      <c r="V123" s="170"/>
      <c r="W123" s="56"/>
      <c r="X123" s="56"/>
      <c r="Y123" s="56"/>
      <c r="AD123" s="63"/>
      <c r="AG123" s="56"/>
      <c r="AH123" s="56"/>
      <c r="AI123" s="56"/>
      <c r="AJ123" s="56"/>
      <c r="AK123" s="56"/>
      <c r="AO123" s="68"/>
      <c r="AP123" s="76"/>
      <c r="AQ123" s="67"/>
      <c r="AR123" s="68"/>
      <c r="AS123" s="69"/>
      <c r="AT123" s="69"/>
      <c r="AU123" s="69"/>
      <c r="AV123" s="69"/>
      <c r="AW123" s="69"/>
      <c r="AX123" s="68"/>
      <c r="AY123" s="69"/>
      <c r="AZ123" s="67"/>
      <c r="BA123" s="69"/>
      <c r="BB123" s="76"/>
      <c r="BC123" s="67"/>
      <c r="BD123" s="68"/>
      <c r="BE123" s="69"/>
      <c r="BF123" s="69"/>
      <c r="BG123" s="69"/>
      <c r="BH123" s="69"/>
      <c r="BI123" s="69"/>
      <c r="BJ123" s="68"/>
      <c r="BK123" s="69"/>
      <c r="BL123" s="67"/>
      <c r="BM123" s="67"/>
      <c r="BN123" s="56"/>
      <c r="BO123" s="56"/>
      <c r="BT123" s="63"/>
      <c r="BW123" s="56"/>
      <c r="BX123" s="56"/>
      <c r="BY123" s="56"/>
      <c r="BZ123" s="56"/>
      <c r="CA123" s="56"/>
      <c r="CF123" s="63"/>
      <c r="CI123" s="56"/>
      <c r="CJ123" s="56"/>
      <c r="CK123" s="56"/>
      <c r="CL123" s="56"/>
      <c r="CM123" s="56"/>
    </row>
    <row r="124" spans="18:93" ht="39.950000000000003" customHeight="1">
      <c r="AO124" s="68"/>
      <c r="AP124" s="67"/>
      <c r="AQ124" s="67"/>
      <c r="AR124" s="68"/>
      <c r="AS124" s="68"/>
      <c r="AT124" s="68"/>
      <c r="AU124" s="68"/>
      <c r="AV124" s="68"/>
      <c r="AW124" s="68"/>
      <c r="AX124" s="68"/>
      <c r="AY124" s="69"/>
      <c r="AZ124" s="67"/>
      <c r="BA124" s="68"/>
      <c r="BB124" s="67"/>
      <c r="BC124" s="67"/>
      <c r="BD124" s="68"/>
      <c r="BE124" s="68"/>
      <c r="BF124" s="68"/>
      <c r="BG124" s="68"/>
      <c r="BH124" s="68"/>
      <c r="BI124" s="68"/>
      <c r="BJ124" s="68"/>
      <c r="BK124" s="69"/>
      <c r="BL124" s="67"/>
      <c r="BM124" s="67"/>
    </row>
    <row r="125" spans="18:93" ht="39.950000000000003" customHeight="1">
      <c r="R125" s="63"/>
      <c r="S125" s="64"/>
      <c r="Y125" s="531"/>
      <c r="Z125" s="531"/>
      <c r="AA125" s="531"/>
      <c r="AD125" s="63"/>
      <c r="AE125" s="64"/>
      <c r="AK125" s="531"/>
      <c r="AL125" s="531"/>
      <c r="AM125" s="531"/>
      <c r="AO125" s="68"/>
      <c r="AP125" s="76"/>
      <c r="AQ125" s="77"/>
      <c r="AR125" s="68"/>
      <c r="AS125" s="68"/>
      <c r="AT125" s="68"/>
      <c r="AU125" s="68"/>
      <c r="AV125" s="68"/>
      <c r="AW125" s="533"/>
      <c r="AX125" s="533"/>
      <c r="AY125" s="533"/>
      <c r="AZ125" s="67"/>
      <c r="BA125" s="68"/>
      <c r="BB125" s="76"/>
      <c r="BC125" s="77"/>
      <c r="BD125" s="68"/>
      <c r="BE125" s="68"/>
      <c r="BF125" s="68"/>
      <c r="BG125" s="68"/>
      <c r="BH125" s="68"/>
      <c r="BI125" s="533"/>
      <c r="BJ125" s="533"/>
      <c r="BK125" s="533"/>
      <c r="BL125" s="67"/>
      <c r="BM125" s="67"/>
      <c r="BO125" s="531"/>
      <c r="BP125" s="531"/>
      <c r="BQ125" s="531"/>
      <c r="BT125" s="63"/>
      <c r="BU125" s="64"/>
      <c r="CA125" s="531"/>
      <c r="CB125" s="531"/>
      <c r="CC125" s="531"/>
      <c r="CF125" s="63"/>
      <c r="CG125" s="64"/>
      <c r="CM125" s="531"/>
      <c r="CN125" s="531"/>
      <c r="CO125" s="531"/>
    </row>
    <row r="126" spans="18:93" ht="39.950000000000003" customHeight="1">
      <c r="R126" s="63"/>
      <c r="V126" s="170"/>
      <c r="W126" s="56"/>
      <c r="X126" s="56"/>
      <c r="Y126" s="56"/>
      <c r="AD126" s="63"/>
      <c r="AG126" s="56"/>
      <c r="AH126" s="56"/>
      <c r="AI126" s="56"/>
      <c r="AJ126" s="56"/>
      <c r="AK126" s="56"/>
      <c r="AO126" s="68"/>
      <c r="AP126" s="76"/>
      <c r="AQ126" s="67"/>
      <c r="AR126" s="68"/>
      <c r="AS126" s="69"/>
      <c r="AT126" s="69"/>
      <c r="AU126" s="69"/>
      <c r="AV126" s="69"/>
      <c r="AW126" s="69"/>
      <c r="AX126" s="68"/>
      <c r="AY126" s="69"/>
      <c r="AZ126" s="67"/>
      <c r="BA126" s="69"/>
      <c r="BB126" s="76"/>
      <c r="BC126" s="67"/>
      <c r="BD126" s="68"/>
      <c r="BE126" s="69"/>
      <c r="BF126" s="69"/>
      <c r="BG126" s="69"/>
      <c r="BH126" s="69"/>
      <c r="BI126" s="69"/>
      <c r="BJ126" s="68"/>
      <c r="BK126" s="69"/>
      <c r="BL126" s="67"/>
      <c r="BM126" s="67"/>
      <c r="BN126" s="56"/>
      <c r="BO126" s="56"/>
      <c r="BT126" s="63"/>
      <c r="BW126" s="56"/>
      <c r="BX126" s="56"/>
      <c r="BY126" s="56"/>
      <c r="BZ126" s="56"/>
      <c r="CA126" s="56"/>
      <c r="CF126" s="63"/>
      <c r="CI126" s="56"/>
      <c r="CJ126" s="56"/>
      <c r="CK126" s="56"/>
      <c r="CL126" s="56"/>
      <c r="CM126" s="56"/>
    </row>
    <row r="127" spans="18:93" ht="39.950000000000003" customHeight="1">
      <c r="R127" s="63"/>
      <c r="V127" s="170"/>
      <c r="W127" s="56"/>
      <c r="X127" s="56"/>
      <c r="Y127" s="56"/>
      <c r="AD127" s="63"/>
      <c r="AG127" s="56"/>
      <c r="AH127" s="56"/>
      <c r="AI127" s="56"/>
      <c r="AJ127" s="56"/>
      <c r="AK127" s="56"/>
      <c r="AO127" s="68"/>
      <c r="AP127" s="76"/>
      <c r="AQ127" s="67"/>
      <c r="AR127" s="68"/>
      <c r="AS127" s="69"/>
      <c r="AT127" s="69"/>
      <c r="AU127" s="69"/>
      <c r="AV127" s="69"/>
      <c r="AW127" s="69"/>
      <c r="AX127" s="68"/>
      <c r="AY127" s="69"/>
      <c r="AZ127" s="67"/>
      <c r="BA127" s="69"/>
      <c r="BB127" s="76"/>
      <c r="BC127" s="67"/>
      <c r="BD127" s="68"/>
      <c r="BE127" s="69"/>
      <c r="BF127" s="69"/>
      <c r="BG127" s="69"/>
      <c r="BH127" s="69"/>
      <c r="BI127" s="69"/>
      <c r="BJ127" s="68"/>
      <c r="BK127" s="69"/>
      <c r="BL127" s="67"/>
      <c r="BM127" s="67"/>
      <c r="BN127" s="56"/>
      <c r="BO127" s="56"/>
      <c r="BT127" s="63"/>
      <c r="BW127" s="56"/>
      <c r="BX127" s="56"/>
      <c r="BY127" s="56"/>
      <c r="BZ127" s="56"/>
      <c r="CA127" s="56"/>
      <c r="CF127" s="63"/>
      <c r="CI127" s="56"/>
      <c r="CJ127" s="56"/>
      <c r="CK127" s="56"/>
      <c r="CL127" s="56"/>
      <c r="CM127" s="56"/>
    </row>
    <row r="128" spans="18:93" ht="39.950000000000003" customHeight="1">
      <c r="R128" s="63"/>
      <c r="V128" s="170"/>
      <c r="W128" s="56"/>
      <c r="X128" s="56"/>
      <c r="Y128" s="56"/>
      <c r="AD128" s="63"/>
      <c r="AG128" s="56"/>
      <c r="AH128" s="56"/>
      <c r="AI128" s="56"/>
      <c r="AJ128" s="56"/>
      <c r="AK128" s="56"/>
      <c r="AO128" s="68"/>
      <c r="AP128" s="76"/>
      <c r="AQ128" s="67"/>
      <c r="AR128" s="68"/>
      <c r="AS128" s="69"/>
      <c r="AT128" s="69"/>
      <c r="AU128" s="69"/>
      <c r="AV128" s="69"/>
      <c r="AW128" s="69"/>
      <c r="AX128" s="68"/>
      <c r="AY128" s="69"/>
      <c r="AZ128" s="67"/>
      <c r="BA128" s="69"/>
      <c r="BB128" s="76"/>
      <c r="BC128" s="67"/>
      <c r="BD128" s="68"/>
      <c r="BE128" s="69"/>
      <c r="BF128" s="69"/>
      <c r="BG128" s="69"/>
      <c r="BH128" s="69"/>
      <c r="BI128" s="69"/>
      <c r="BJ128" s="68"/>
      <c r="BK128" s="69"/>
      <c r="BL128" s="67"/>
      <c r="BM128" s="67"/>
      <c r="BN128" s="56"/>
      <c r="BO128" s="56"/>
      <c r="BT128" s="63"/>
      <c r="BW128" s="56"/>
      <c r="BX128" s="56"/>
      <c r="BY128" s="56"/>
      <c r="BZ128" s="56"/>
      <c r="CA128" s="56"/>
      <c r="CF128" s="63"/>
      <c r="CI128" s="56"/>
      <c r="CJ128" s="56"/>
      <c r="CK128" s="56"/>
      <c r="CL128" s="56"/>
      <c r="CM128" s="56"/>
    </row>
    <row r="129" spans="18:93" ht="39.950000000000003" customHeight="1">
      <c r="R129" s="63"/>
      <c r="V129" s="170"/>
      <c r="W129" s="56"/>
      <c r="X129" s="56"/>
      <c r="Y129" s="56"/>
      <c r="AD129" s="63"/>
      <c r="AG129" s="56"/>
      <c r="AH129" s="56"/>
      <c r="AI129" s="56"/>
      <c r="AJ129" s="56"/>
      <c r="AK129" s="56"/>
      <c r="AO129" s="68"/>
      <c r="AP129" s="76"/>
      <c r="AQ129" s="67"/>
      <c r="AR129" s="68"/>
      <c r="AS129" s="69"/>
      <c r="AT129" s="69"/>
      <c r="AU129" s="69"/>
      <c r="AV129" s="69"/>
      <c r="AW129" s="69"/>
      <c r="AX129" s="68"/>
      <c r="AY129" s="69"/>
      <c r="AZ129" s="67"/>
      <c r="BA129" s="69"/>
      <c r="BB129" s="76"/>
      <c r="BC129" s="67"/>
      <c r="BD129" s="68"/>
      <c r="BE129" s="69"/>
      <c r="BF129" s="69"/>
      <c r="BG129" s="69"/>
      <c r="BH129" s="69"/>
      <c r="BI129" s="69"/>
      <c r="BJ129" s="68"/>
      <c r="BK129" s="69"/>
      <c r="BL129" s="67"/>
      <c r="BM129" s="67"/>
      <c r="BN129" s="56"/>
      <c r="BO129" s="56"/>
      <c r="BT129" s="63"/>
      <c r="BW129" s="56"/>
      <c r="BX129" s="56"/>
      <c r="BY129" s="56"/>
      <c r="BZ129" s="56"/>
      <c r="CA129" s="56"/>
      <c r="CF129" s="63"/>
      <c r="CI129" s="56"/>
      <c r="CJ129" s="56"/>
      <c r="CK129" s="56"/>
      <c r="CL129" s="56"/>
      <c r="CM129" s="56"/>
    </row>
    <row r="130" spans="18:93" ht="39.950000000000003" customHeight="1">
      <c r="AO130" s="68"/>
      <c r="AP130" s="67"/>
      <c r="AQ130" s="67"/>
      <c r="AR130" s="68"/>
      <c r="AS130" s="68"/>
      <c r="AT130" s="68"/>
      <c r="AU130" s="68"/>
      <c r="AV130" s="68"/>
      <c r="AW130" s="68"/>
      <c r="AX130" s="68"/>
      <c r="AY130" s="69"/>
      <c r="AZ130" s="67"/>
      <c r="BA130" s="68"/>
      <c r="BB130" s="67"/>
      <c r="BC130" s="67"/>
      <c r="BD130" s="68"/>
      <c r="BE130" s="68"/>
      <c r="BF130" s="68"/>
      <c r="BG130" s="68"/>
      <c r="BH130" s="68"/>
      <c r="BI130" s="68"/>
      <c r="BJ130" s="68"/>
      <c r="BK130" s="69"/>
      <c r="BL130" s="67"/>
      <c r="BM130" s="67"/>
    </row>
    <row r="131" spans="18:93" ht="39.950000000000003" customHeight="1">
      <c r="R131" s="63"/>
      <c r="S131" s="64"/>
      <c r="Y131" s="531"/>
      <c r="Z131" s="531"/>
      <c r="AA131" s="531"/>
      <c r="AD131" s="63"/>
      <c r="AE131" s="64"/>
      <c r="AK131" s="531"/>
      <c r="AL131" s="531"/>
      <c r="AM131" s="531"/>
      <c r="AO131" s="68"/>
      <c r="AP131" s="76"/>
      <c r="AQ131" s="77"/>
      <c r="AR131" s="68"/>
      <c r="AS131" s="68"/>
      <c r="AT131" s="68"/>
      <c r="AU131" s="68"/>
      <c r="AV131" s="68"/>
      <c r="AW131" s="533"/>
      <c r="AX131" s="533"/>
      <c r="AY131" s="533"/>
      <c r="AZ131" s="67"/>
      <c r="BA131" s="68"/>
      <c r="BB131" s="76"/>
      <c r="BC131" s="77"/>
      <c r="BD131" s="68"/>
      <c r="BE131" s="68"/>
      <c r="BF131" s="68"/>
      <c r="BG131" s="68"/>
      <c r="BH131" s="68"/>
      <c r="BI131" s="533"/>
      <c r="BJ131" s="533"/>
      <c r="BK131" s="533"/>
      <c r="BL131" s="67"/>
      <c r="BM131" s="67"/>
      <c r="BO131" s="531"/>
      <c r="BP131" s="531"/>
      <c r="BQ131" s="531"/>
      <c r="BT131" s="63"/>
      <c r="BU131" s="64"/>
      <c r="CA131" s="531"/>
      <c r="CB131" s="531"/>
      <c r="CC131" s="531"/>
      <c r="CF131" s="63"/>
      <c r="CG131" s="64"/>
      <c r="CM131" s="531"/>
      <c r="CN131" s="531"/>
      <c r="CO131" s="531"/>
    </row>
    <row r="132" spans="18:93" ht="39.950000000000003" customHeight="1">
      <c r="R132" s="63"/>
      <c r="V132" s="170"/>
      <c r="W132" s="56"/>
      <c r="X132" s="56"/>
      <c r="Y132" s="56"/>
      <c r="AD132" s="63"/>
      <c r="AG132" s="56"/>
      <c r="AH132" s="56"/>
      <c r="AI132" s="56"/>
      <c r="AJ132" s="56"/>
      <c r="AK132" s="56"/>
      <c r="AO132" s="68"/>
      <c r="AP132" s="76"/>
      <c r="AQ132" s="67"/>
      <c r="AR132" s="68"/>
      <c r="AS132" s="69"/>
      <c r="AT132" s="69"/>
      <c r="AU132" s="69"/>
      <c r="AV132" s="69"/>
      <c r="AW132" s="69"/>
      <c r="AX132" s="68"/>
      <c r="AY132" s="69"/>
      <c r="AZ132" s="67"/>
      <c r="BA132" s="69"/>
      <c r="BB132" s="76"/>
      <c r="BC132" s="67"/>
      <c r="BD132" s="68"/>
      <c r="BE132" s="69"/>
      <c r="BF132" s="69"/>
      <c r="BG132" s="69"/>
      <c r="BH132" s="69"/>
      <c r="BI132" s="69"/>
      <c r="BJ132" s="68"/>
      <c r="BK132" s="69"/>
      <c r="BL132" s="67"/>
      <c r="BM132" s="67"/>
      <c r="BN132" s="56"/>
      <c r="BO132" s="56"/>
      <c r="BT132" s="63"/>
      <c r="BW132" s="56"/>
      <c r="BX132" s="56"/>
      <c r="BY132" s="56"/>
      <c r="BZ132" s="56"/>
      <c r="CA132" s="56"/>
      <c r="CF132" s="63"/>
      <c r="CI132" s="56"/>
      <c r="CJ132" s="56"/>
      <c r="CK132" s="56"/>
      <c r="CL132" s="56"/>
      <c r="CM132" s="56"/>
    </row>
    <row r="133" spans="18:93" ht="39.950000000000003" customHeight="1">
      <c r="R133" s="63"/>
      <c r="V133" s="170"/>
      <c r="W133" s="56"/>
      <c r="X133" s="56"/>
      <c r="Y133" s="56"/>
      <c r="AD133" s="63"/>
      <c r="AG133" s="56"/>
      <c r="AH133" s="56"/>
      <c r="AI133" s="56"/>
      <c r="AJ133" s="56"/>
      <c r="AK133" s="56"/>
      <c r="AO133" s="68"/>
      <c r="AP133" s="76"/>
      <c r="AQ133" s="67"/>
      <c r="AR133" s="68"/>
      <c r="AS133" s="69"/>
      <c r="AT133" s="69"/>
      <c r="AU133" s="69"/>
      <c r="AV133" s="69"/>
      <c r="AW133" s="69"/>
      <c r="AX133" s="68"/>
      <c r="AY133" s="69"/>
      <c r="AZ133" s="67"/>
      <c r="BA133" s="69"/>
      <c r="BB133" s="76"/>
      <c r="BC133" s="67"/>
      <c r="BD133" s="68"/>
      <c r="BE133" s="69"/>
      <c r="BF133" s="69"/>
      <c r="BG133" s="69"/>
      <c r="BH133" s="69"/>
      <c r="BI133" s="69"/>
      <c r="BJ133" s="68"/>
      <c r="BK133" s="69"/>
      <c r="BL133" s="67"/>
      <c r="BM133" s="67"/>
      <c r="BN133" s="56"/>
      <c r="BO133" s="56"/>
      <c r="BT133" s="63"/>
      <c r="BW133" s="56"/>
      <c r="BX133" s="56"/>
      <c r="BY133" s="56"/>
      <c r="BZ133" s="56"/>
      <c r="CA133" s="56"/>
      <c r="CF133" s="63"/>
      <c r="CI133" s="56"/>
      <c r="CJ133" s="56"/>
      <c r="CK133" s="56"/>
      <c r="CL133" s="56"/>
      <c r="CM133" s="56"/>
    </row>
    <row r="134" spans="18:93" ht="39.950000000000003" customHeight="1">
      <c r="R134" s="63"/>
      <c r="V134" s="170"/>
      <c r="W134" s="56"/>
      <c r="X134" s="56"/>
      <c r="Y134" s="56"/>
      <c r="AD134" s="63"/>
      <c r="AG134" s="56"/>
      <c r="AH134" s="56"/>
      <c r="AI134" s="56"/>
      <c r="AJ134" s="56"/>
      <c r="AK134" s="56"/>
      <c r="AO134" s="68"/>
      <c r="AP134" s="76"/>
      <c r="AQ134" s="67"/>
      <c r="AR134" s="68"/>
      <c r="AS134" s="69"/>
      <c r="AT134" s="69"/>
      <c r="AU134" s="69"/>
      <c r="AV134" s="69"/>
      <c r="AW134" s="69"/>
      <c r="AX134" s="68"/>
      <c r="AY134" s="69"/>
      <c r="AZ134" s="67"/>
      <c r="BA134" s="69"/>
      <c r="BB134" s="76"/>
      <c r="BC134" s="67"/>
      <c r="BD134" s="68"/>
      <c r="BE134" s="69"/>
      <c r="BF134" s="69"/>
      <c r="BG134" s="69"/>
      <c r="BH134" s="69"/>
      <c r="BI134" s="69"/>
      <c r="BJ134" s="68"/>
      <c r="BK134" s="69"/>
      <c r="BL134" s="67"/>
      <c r="BM134" s="67"/>
      <c r="BN134" s="56"/>
      <c r="BO134" s="56"/>
      <c r="BT134" s="63"/>
      <c r="BW134" s="56"/>
      <c r="BX134" s="56"/>
      <c r="BY134" s="56"/>
      <c r="BZ134" s="56"/>
      <c r="CA134" s="56"/>
      <c r="CF134" s="63"/>
      <c r="CI134" s="56"/>
      <c r="CJ134" s="56"/>
      <c r="CK134" s="56"/>
      <c r="CL134" s="56"/>
      <c r="CM134" s="56"/>
    </row>
    <row r="135" spans="18:93" ht="39.950000000000003" customHeight="1">
      <c r="R135" s="63"/>
      <c r="V135" s="170"/>
      <c r="W135" s="56"/>
      <c r="X135" s="56"/>
      <c r="Y135" s="56"/>
      <c r="AD135" s="63"/>
      <c r="AG135" s="56"/>
      <c r="AH135" s="56"/>
      <c r="AI135" s="56"/>
      <c r="AJ135" s="56"/>
      <c r="AK135" s="56"/>
      <c r="AO135" s="68"/>
      <c r="AP135" s="76"/>
      <c r="AQ135" s="67"/>
      <c r="AR135" s="68"/>
      <c r="AS135" s="69"/>
      <c r="AT135" s="69"/>
      <c r="AU135" s="69"/>
      <c r="AV135" s="69"/>
      <c r="AW135" s="69"/>
      <c r="AX135" s="68"/>
      <c r="AY135" s="69"/>
      <c r="AZ135" s="67"/>
      <c r="BA135" s="69"/>
      <c r="BB135" s="76"/>
      <c r="BC135" s="67"/>
      <c r="BD135" s="68"/>
      <c r="BE135" s="69"/>
      <c r="BF135" s="69"/>
      <c r="BG135" s="69"/>
      <c r="BH135" s="69"/>
      <c r="BI135" s="69"/>
      <c r="BJ135" s="68"/>
      <c r="BK135" s="69"/>
      <c r="BL135" s="67"/>
      <c r="BM135" s="67"/>
      <c r="BN135" s="56"/>
      <c r="BO135" s="56"/>
      <c r="BT135" s="63"/>
      <c r="BW135" s="56"/>
      <c r="BX135" s="56"/>
      <c r="BY135" s="56"/>
      <c r="BZ135" s="56"/>
      <c r="CA135" s="56"/>
      <c r="CF135" s="63"/>
      <c r="CI135" s="56"/>
      <c r="CJ135" s="56"/>
      <c r="CK135" s="56"/>
      <c r="CL135" s="56"/>
      <c r="CM135" s="56"/>
    </row>
    <row r="136" spans="18:93" ht="39.950000000000003" customHeight="1">
      <c r="AO136" s="68"/>
      <c r="AP136" s="67"/>
      <c r="AQ136" s="67"/>
      <c r="AR136" s="68"/>
      <c r="AS136" s="68"/>
      <c r="AT136" s="68"/>
      <c r="AU136" s="68"/>
      <c r="AV136" s="68"/>
      <c r="AW136" s="68"/>
      <c r="AX136" s="68"/>
      <c r="AY136" s="69"/>
      <c r="AZ136" s="67"/>
      <c r="BA136" s="68"/>
      <c r="BB136" s="67"/>
      <c r="BC136" s="67"/>
      <c r="BD136" s="68"/>
      <c r="BE136" s="68"/>
      <c r="BF136" s="68"/>
      <c r="BG136" s="68"/>
      <c r="BH136" s="68"/>
      <c r="BI136" s="68"/>
      <c r="BJ136" s="68"/>
      <c r="BK136" s="69"/>
      <c r="BL136" s="67"/>
      <c r="BM136" s="67"/>
    </row>
    <row r="137" spans="18:93" ht="39.950000000000003" customHeight="1">
      <c r="R137" s="63"/>
      <c r="S137" s="64"/>
      <c r="Y137" s="531"/>
      <c r="Z137" s="531"/>
      <c r="AA137" s="531"/>
      <c r="AD137" s="63"/>
      <c r="AE137" s="64"/>
      <c r="AK137" s="531"/>
      <c r="AL137" s="531"/>
      <c r="AM137" s="531"/>
      <c r="AO137" s="68"/>
      <c r="AP137" s="76"/>
      <c r="AQ137" s="77"/>
      <c r="AR137" s="68"/>
      <c r="AS137" s="68"/>
      <c r="AT137" s="68"/>
      <c r="AU137" s="68"/>
      <c r="AV137" s="68"/>
      <c r="AW137" s="533"/>
      <c r="AX137" s="533"/>
      <c r="AY137" s="533"/>
      <c r="AZ137" s="67"/>
      <c r="BA137" s="68"/>
      <c r="BB137" s="76"/>
      <c r="BC137" s="77"/>
      <c r="BD137" s="68"/>
      <c r="BE137" s="68"/>
      <c r="BF137" s="68"/>
      <c r="BG137" s="68"/>
      <c r="BH137" s="68"/>
      <c r="BI137" s="533"/>
      <c r="BJ137" s="533"/>
      <c r="BK137" s="533"/>
      <c r="BL137" s="67"/>
      <c r="BM137" s="67"/>
      <c r="BO137" s="531"/>
      <c r="BP137" s="531"/>
      <c r="BQ137" s="531"/>
      <c r="BT137" s="63"/>
      <c r="BU137" s="64"/>
      <c r="CA137" s="531"/>
      <c r="CB137" s="531"/>
      <c r="CC137" s="531"/>
      <c r="CF137" s="63"/>
      <c r="CG137" s="64"/>
      <c r="CM137" s="531"/>
      <c r="CN137" s="531"/>
      <c r="CO137" s="531"/>
    </row>
    <row r="138" spans="18:93" ht="39.950000000000003" customHeight="1">
      <c r="R138" s="63"/>
      <c r="V138" s="170"/>
      <c r="W138" s="56"/>
      <c r="X138" s="56"/>
      <c r="Y138" s="56"/>
      <c r="AD138" s="63"/>
      <c r="AG138" s="56"/>
      <c r="AH138" s="56"/>
      <c r="AI138" s="56"/>
      <c r="AJ138" s="56"/>
      <c r="AK138" s="56"/>
      <c r="AO138" s="68"/>
      <c r="AP138" s="76"/>
      <c r="AQ138" s="67"/>
      <c r="AR138" s="68"/>
      <c r="AS138" s="69"/>
      <c r="AT138" s="69"/>
      <c r="AU138" s="69"/>
      <c r="AV138" s="69"/>
      <c r="AW138" s="69"/>
      <c r="AX138" s="68"/>
      <c r="AY138" s="69"/>
      <c r="AZ138" s="67"/>
      <c r="BA138" s="69"/>
      <c r="BB138" s="76"/>
      <c r="BC138" s="67"/>
      <c r="BD138" s="68"/>
      <c r="BE138" s="69"/>
      <c r="BF138" s="69"/>
      <c r="BG138" s="69"/>
      <c r="BH138" s="69"/>
      <c r="BI138" s="69"/>
      <c r="BJ138" s="68"/>
      <c r="BK138" s="69"/>
      <c r="BL138" s="67"/>
      <c r="BM138" s="67"/>
      <c r="BN138" s="56"/>
      <c r="BO138" s="56"/>
      <c r="BT138" s="63"/>
      <c r="BW138" s="56"/>
      <c r="BX138" s="56"/>
      <c r="BY138" s="56"/>
      <c r="BZ138" s="56"/>
      <c r="CA138" s="56"/>
      <c r="CF138" s="63"/>
      <c r="CI138" s="56"/>
      <c r="CJ138" s="56"/>
      <c r="CK138" s="56"/>
      <c r="CL138" s="56"/>
      <c r="CM138" s="56"/>
    </row>
    <row r="139" spans="18:93" ht="39.950000000000003" customHeight="1">
      <c r="R139" s="63"/>
      <c r="V139" s="170"/>
      <c r="W139" s="56"/>
      <c r="X139" s="56"/>
      <c r="Y139" s="56"/>
      <c r="AD139" s="63"/>
      <c r="AG139" s="56"/>
      <c r="AH139" s="56"/>
      <c r="AI139" s="56"/>
      <c r="AJ139" s="56"/>
      <c r="AK139" s="56"/>
      <c r="AO139" s="68"/>
      <c r="AP139" s="76"/>
      <c r="AQ139" s="67"/>
      <c r="AR139" s="68"/>
      <c r="AS139" s="69"/>
      <c r="AT139" s="69"/>
      <c r="AU139" s="69"/>
      <c r="AV139" s="69"/>
      <c r="AW139" s="69"/>
      <c r="AX139" s="68"/>
      <c r="AY139" s="69"/>
      <c r="AZ139" s="67"/>
      <c r="BA139" s="69"/>
      <c r="BB139" s="76"/>
      <c r="BC139" s="67"/>
      <c r="BD139" s="68"/>
      <c r="BE139" s="69"/>
      <c r="BF139" s="69"/>
      <c r="BG139" s="69"/>
      <c r="BH139" s="69"/>
      <c r="BI139" s="69"/>
      <c r="BJ139" s="68"/>
      <c r="BK139" s="69"/>
      <c r="BL139" s="67"/>
      <c r="BM139" s="67"/>
      <c r="BN139" s="56"/>
      <c r="BO139" s="56"/>
      <c r="BT139" s="63"/>
      <c r="BW139" s="56"/>
      <c r="BX139" s="56"/>
      <c r="BY139" s="56"/>
      <c r="BZ139" s="56"/>
      <c r="CA139" s="56"/>
      <c r="CF139" s="63"/>
      <c r="CI139" s="56"/>
      <c r="CJ139" s="56"/>
      <c r="CK139" s="56"/>
      <c r="CL139" s="56"/>
      <c r="CM139" s="56"/>
    </row>
    <row r="140" spans="18:93" ht="39.950000000000003" customHeight="1">
      <c r="R140" s="63"/>
      <c r="V140" s="170"/>
      <c r="W140" s="56"/>
      <c r="X140" s="56"/>
      <c r="Y140" s="56"/>
      <c r="AD140" s="63"/>
      <c r="AG140" s="56"/>
      <c r="AH140" s="56"/>
      <c r="AI140" s="56"/>
      <c r="AJ140" s="56"/>
      <c r="AK140" s="56"/>
      <c r="AO140" s="68"/>
      <c r="AP140" s="76"/>
      <c r="AQ140" s="67"/>
      <c r="AR140" s="68"/>
      <c r="AS140" s="69"/>
      <c r="AT140" s="69"/>
      <c r="AU140" s="69"/>
      <c r="AV140" s="69"/>
      <c r="AW140" s="69"/>
      <c r="AX140" s="68"/>
      <c r="AY140" s="69"/>
      <c r="AZ140" s="67"/>
      <c r="BA140" s="69"/>
      <c r="BB140" s="76"/>
      <c r="BC140" s="67"/>
      <c r="BD140" s="68"/>
      <c r="BE140" s="69"/>
      <c r="BF140" s="69"/>
      <c r="BG140" s="69"/>
      <c r="BH140" s="69"/>
      <c r="BI140" s="69"/>
      <c r="BJ140" s="68"/>
      <c r="BK140" s="69"/>
      <c r="BL140" s="67"/>
      <c r="BM140" s="67"/>
      <c r="BN140" s="56"/>
      <c r="BO140" s="56"/>
      <c r="BT140" s="63"/>
      <c r="BW140" s="56"/>
      <c r="BX140" s="56"/>
      <c r="BY140" s="56"/>
      <c r="BZ140" s="56"/>
      <c r="CA140" s="56"/>
      <c r="CF140" s="63"/>
      <c r="CI140" s="56"/>
      <c r="CJ140" s="56"/>
      <c r="CK140" s="56"/>
      <c r="CL140" s="56"/>
      <c r="CM140" s="56"/>
    </row>
    <row r="141" spans="18:93" ht="39.950000000000003" customHeight="1">
      <c r="R141" s="63"/>
      <c r="V141" s="170"/>
      <c r="W141" s="56"/>
      <c r="X141" s="56"/>
      <c r="Y141" s="56"/>
      <c r="AD141" s="63"/>
      <c r="AG141" s="56"/>
      <c r="AH141" s="56"/>
      <c r="AI141" s="56"/>
      <c r="AJ141" s="56"/>
      <c r="AK141" s="56"/>
      <c r="AO141" s="68"/>
      <c r="AP141" s="76"/>
      <c r="AQ141" s="67"/>
      <c r="AR141" s="68"/>
      <c r="AS141" s="69"/>
      <c r="AT141" s="69"/>
      <c r="AU141" s="69"/>
      <c r="AV141" s="69"/>
      <c r="AW141" s="69"/>
      <c r="AX141" s="68"/>
      <c r="AY141" s="69"/>
      <c r="AZ141" s="67"/>
      <c r="BA141" s="69"/>
      <c r="BB141" s="76"/>
      <c r="BC141" s="67"/>
      <c r="BD141" s="68"/>
      <c r="BE141" s="69"/>
      <c r="BF141" s="69"/>
      <c r="BG141" s="69"/>
      <c r="BH141" s="69"/>
      <c r="BI141" s="69"/>
      <c r="BJ141" s="68"/>
      <c r="BK141" s="69"/>
      <c r="BL141" s="67"/>
      <c r="BM141" s="67"/>
      <c r="BN141" s="56"/>
      <c r="BO141" s="56"/>
      <c r="BT141" s="63"/>
      <c r="BW141" s="56"/>
      <c r="BX141" s="56"/>
      <c r="BY141" s="56"/>
      <c r="BZ141" s="56"/>
      <c r="CA141" s="56"/>
      <c r="CF141" s="63"/>
      <c r="CI141" s="56"/>
      <c r="CJ141" s="56"/>
      <c r="CK141" s="56"/>
      <c r="CL141" s="56"/>
      <c r="CM141" s="56"/>
    </row>
    <row r="142" spans="18:93" ht="39.950000000000003" customHeight="1">
      <c r="AO142" s="68"/>
      <c r="AP142" s="67"/>
      <c r="AQ142" s="67"/>
      <c r="AR142" s="68"/>
      <c r="AS142" s="68"/>
      <c r="AT142" s="68"/>
      <c r="AU142" s="68"/>
      <c r="AV142" s="68"/>
      <c r="AW142" s="68"/>
      <c r="AX142" s="68"/>
      <c r="AY142" s="69"/>
      <c r="AZ142" s="67"/>
      <c r="BA142" s="68"/>
      <c r="BB142" s="67"/>
      <c r="BC142" s="67"/>
      <c r="BD142" s="68"/>
      <c r="BE142" s="68"/>
      <c r="BF142" s="68"/>
      <c r="BG142" s="68"/>
      <c r="BH142" s="68"/>
      <c r="BI142" s="68"/>
      <c r="BJ142" s="68"/>
      <c r="BK142" s="69"/>
      <c r="BL142" s="67"/>
      <c r="BM142" s="67"/>
    </row>
    <row r="143" spans="18:93" ht="39.950000000000003" customHeight="1">
      <c r="R143" s="63"/>
      <c r="S143" s="64"/>
      <c r="Y143" s="531"/>
      <c r="Z143" s="531"/>
      <c r="AA143" s="531"/>
      <c r="AD143" s="63"/>
      <c r="AE143" s="64"/>
      <c r="AK143" s="531"/>
      <c r="AL143" s="531"/>
      <c r="AM143" s="531"/>
      <c r="AO143" s="68"/>
      <c r="AP143" s="76"/>
      <c r="AQ143" s="77"/>
      <c r="AR143" s="68"/>
      <c r="AS143" s="68"/>
      <c r="AT143" s="68"/>
      <c r="AU143" s="68"/>
      <c r="AV143" s="68"/>
      <c r="AW143" s="533"/>
      <c r="AX143" s="533"/>
      <c r="AY143" s="533"/>
      <c r="AZ143" s="67"/>
      <c r="BA143" s="68"/>
      <c r="BB143" s="76"/>
      <c r="BC143" s="77"/>
      <c r="BD143" s="68"/>
      <c r="BE143" s="68"/>
      <c r="BF143" s="68"/>
      <c r="BG143" s="68"/>
      <c r="BH143" s="68"/>
      <c r="BI143" s="533"/>
      <c r="BJ143" s="533"/>
      <c r="BK143" s="533"/>
      <c r="BL143" s="67"/>
      <c r="BM143" s="67"/>
      <c r="BO143" s="531"/>
      <c r="BP143" s="531"/>
      <c r="BQ143" s="531"/>
      <c r="BT143" s="63"/>
      <c r="BU143" s="64"/>
      <c r="CA143" s="531"/>
      <c r="CB143" s="531"/>
      <c r="CC143" s="531"/>
      <c r="CF143" s="63"/>
      <c r="CG143" s="64"/>
      <c r="CM143" s="531"/>
      <c r="CN143" s="531"/>
      <c r="CO143" s="531"/>
    </row>
    <row r="144" spans="18:93" ht="39.950000000000003" customHeight="1">
      <c r="R144" s="63"/>
      <c r="V144" s="170"/>
      <c r="W144" s="56"/>
      <c r="X144" s="56"/>
      <c r="Y144" s="56"/>
      <c r="AD144" s="63"/>
      <c r="AG144" s="56"/>
      <c r="AH144" s="56"/>
      <c r="AI144" s="56"/>
      <c r="AJ144" s="56"/>
      <c r="AK144" s="56"/>
      <c r="AO144" s="68"/>
      <c r="AP144" s="76"/>
      <c r="AQ144" s="67"/>
      <c r="AR144" s="68"/>
      <c r="AS144" s="69"/>
      <c r="AT144" s="69"/>
      <c r="AU144" s="69"/>
      <c r="AV144" s="69"/>
      <c r="AW144" s="69"/>
      <c r="AX144" s="68"/>
      <c r="AY144" s="69"/>
      <c r="AZ144" s="67"/>
      <c r="BA144" s="69"/>
      <c r="BB144" s="76"/>
      <c r="BC144" s="67"/>
      <c r="BD144" s="68"/>
      <c r="BE144" s="69"/>
      <c r="BF144" s="69"/>
      <c r="BG144" s="69"/>
      <c r="BH144" s="69"/>
      <c r="BI144" s="69"/>
      <c r="BJ144" s="68"/>
      <c r="BK144" s="69"/>
      <c r="BL144" s="67"/>
      <c r="BM144" s="67"/>
      <c r="BN144" s="56"/>
      <c r="BO144" s="56"/>
      <c r="BT144" s="63"/>
      <c r="BW144" s="56"/>
      <c r="BX144" s="56"/>
      <c r="BY144" s="56"/>
      <c r="BZ144" s="56"/>
      <c r="CA144" s="56"/>
      <c r="CF144" s="63"/>
      <c r="CI144" s="56"/>
      <c r="CJ144" s="56"/>
      <c r="CK144" s="56"/>
      <c r="CL144" s="56"/>
      <c r="CM144" s="56"/>
    </row>
    <row r="145" spans="18:93" ht="39.950000000000003" customHeight="1">
      <c r="R145" s="63"/>
      <c r="V145" s="170"/>
      <c r="W145" s="56"/>
      <c r="X145" s="56"/>
      <c r="Y145" s="56"/>
      <c r="AD145" s="63"/>
      <c r="AG145" s="56"/>
      <c r="AH145" s="56"/>
      <c r="AI145" s="56"/>
      <c r="AJ145" s="56"/>
      <c r="AK145" s="56"/>
      <c r="AO145" s="68"/>
      <c r="AP145" s="76"/>
      <c r="AQ145" s="67"/>
      <c r="AR145" s="68"/>
      <c r="AS145" s="69"/>
      <c r="AT145" s="69"/>
      <c r="AU145" s="69"/>
      <c r="AV145" s="69"/>
      <c r="AW145" s="69"/>
      <c r="AX145" s="68"/>
      <c r="AY145" s="69"/>
      <c r="AZ145" s="67"/>
      <c r="BA145" s="69"/>
      <c r="BB145" s="76"/>
      <c r="BC145" s="67"/>
      <c r="BD145" s="68"/>
      <c r="BE145" s="69"/>
      <c r="BF145" s="69"/>
      <c r="BG145" s="69"/>
      <c r="BH145" s="69"/>
      <c r="BI145" s="69"/>
      <c r="BJ145" s="68"/>
      <c r="BK145" s="69"/>
      <c r="BL145" s="67"/>
      <c r="BM145" s="67"/>
      <c r="BN145" s="56"/>
      <c r="BO145" s="56"/>
      <c r="BT145" s="63"/>
      <c r="BW145" s="56"/>
      <c r="BX145" s="56"/>
      <c r="BY145" s="56"/>
      <c r="BZ145" s="56"/>
      <c r="CA145" s="56"/>
      <c r="CF145" s="63"/>
      <c r="CI145" s="56"/>
      <c r="CJ145" s="56"/>
      <c r="CK145" s="56"/>
      <c r="CL145" s="56"/>
      <c r="CM145" s="56"/>
    </row>
    <row r="146" spans="18:93" ht="39.950000000000003" customHeight="1">
      <c r="R146" s="63"/>
      <c r="V146" s="170"/>
      <c r="W146" s="56"/>
      <c r="X146" s="56"/>
      <c r="Y146" s="56"/>
      <c r="AD146" s="63"/>
      <c r="AG146" s="56"/>
      <c r="AH146" s="56"/>
      <c r="AI146" s="56"/>
      <c r="AJ146" s="56"/>
      <c r="AK146" s="56"/>
      <c r="AO146" s="68"/>
      <c r="AP146" s="76"/>
      <c r="AQ146" s="67"/>
      <c r="AR146" s="68"/>
      <c r="AS146" s="69"/>
      <c r="AT146" s="69"/>
      <c r="AU146" s="69"/>
      <c r="AV146" s="69"/>
      <c r="AW146" s="69"/>
      <c r="AX146" s="68"/>
      <c r="AY146" s="69"/>
      <c r="AZ146" s="67"/>
      <c r="BA146" s="69"/>
      <c r="BB146" s="76"/>
      <c r="BC146" s="67"/>
      <c r="BD146" s="68"/>
      <c r="BE146" s="69"/>
      <c r="BF146" s="69"/>
      <c r="BG146" s="69"/>
      <c r="BH146" s="69"/>
      <c r="BI146" s="69"/>
      <c r="BJ146" s="68"/>
      <c r="BK146" s="69"/>
      <c r="BL146" s="67"/>
      <c r="BM146" s="67"/>
      <c r="BN146" s="56"/>
      <c r="BO146" s="56"/>
      <c r="BT146" s="63"/>
      <c r="BW146" s="56"/>
      <c r="BX146" s="56"/>
      <c r="BY146" s="56"/>
      <c r="BZ146" s="56"/>
      <c r="CA146" s="56"/>
      <c r="CF146" s="63"/>
      <c r="CI146" s="56"/>
      <c r="CJ146" s="56"/>
      <c r="CK146" s="56"/>
      <c r="CL146" s="56"/>
      <c r="CM146" s="56"/>
    </row>
    <row r="147" spans="18:93" ht="39.950000000000003" customHeight="1">
      <c r="R147" s="63"/>
      <c r="V147" s="170"/>
      <c r="W147" s="56"/>
      <c r="X147" s="56"/>
      <c r="Y147" s="56"/>
      <c r="AD147" s="63"/>
      <c r="AG147" s="56"/>
      <c r="AH147" s="56"/>
      <c r="AI147" s="56"/>
      <c r="AJ147" s="56"/>
      <c r="AK147" s="56"/>
      <c r="AO147" s="68"/>
      <c r="AP147" s="76"/>
      <c r="AQ147" s="67"/>
      <c r="AR147" s="68"/>
      <c r="AS147" s="69"/>
      <c r="AT147" s="69"/>
      <c r="AU147" s="69"/>
      <c r="AV147" s="69"/>
      <c r="AW147" s="69"/>
      <c r="AX147" s="68"/>
      <c r="AY147" s="69"/>
      <c r="AZ147" s="67"/>
      <c r="BA147" s="69"/>
      <c r="BB147" s="76"/>
      <c r="BC147" s="67"/>
      <c r="BD147" s="68"/>
      <c r="BE147" s="69"/>
      <c r="BF147" s="69"/>
      <c r="BG147" s="69"/>
      <c r="BH147" s="69"/>
      <c r="BI147" s="69"/>
      <c r="BJ147" s="68"/>
      <c r="BK147" s="69"/>
      <c r="BL147" s="67"/>
      <c r="BM147" s="67"/>
      <c r="BN147" s="56"/>
      <c r="BO147" s="56"/>
      <c r="BT147" s="63"/>
      <c r="BW147" s="56"/>
      <c r="BX147" s="56"/>
      <c r="BY147" s="56"/>
      <c r="BZ147" s="56"/>
      <c r="CA147" s="56"/>
      <c r="CF147" s="63"/>
      <c r="CI147" s="56"/>
      <c r="CJ147" s="56"/>
      <c r="CK147" s="56"/>
      <c r="CL147" s="56"/>
      <c r="CM147" s="56"/>
    </row>
    <row r="148" spans="18:93" ht="39.950000000000003" customHeight="1">
      <c r="AO148" s="68"/>
      <c r="AP148" s="67"/>
      <c r="AQ148" s="67"/>
      <c r="AR148" s="68"/>
      <c r="AS148" s="68"/>
      <c r="AT148" s="68"/>
      <c r="AU148" s="68"/>
      <c r="AV148" s="68"/>
      <c r="AW148" s="68"/>
      <c r="AX148" s="68"/>
      <c r="AY148" s="69"/>
      <c r="AZ148" s="67"/>
      <c r="BA148" s="68"/>
      <c r="BB148" s="67"/>
      <c r="BC148" s="67"/>
      <c r="BD148" s="68"/>
      <c r="BE148" s="68"/>
      <c r="BF148" s="68"/>
      <c r="BG148" s="68"/>
      <c r="BH148" s="68"/>
      <c r="BI148" s="68"/>
      <c r="BJ148" s="68"/>
      <c r="BK148" s="69"/>
      <c r="BL148" s="67"/>
      <c r="BM148" s="67"/>
    </row>
    <row r="149" spans="18:93" ht="39.950000000000003" customHeight="1">
      <c r="R149" s="63"/>
      <c r="S149" s="64"/>
      <c r="Y149" s="531"/>
      <c r="Z149" s="531"/>
      <c r="AA149" s="531"/>
      <c r="AD149" s="63"/>
      <c r="AE149" s="64"/>
      <c r="AK149" s="531"/>
      <c r="AL149" s="531"/>
      <c r="AM149" s="531"/>
      <c r="AO149" s="68"/>
      <c r="AP149" s="76"/>
      <c r="AQ149" s="77"/>
      <c r="AR149" s="68"/>
      <c r="AS149" s="68"/>
      <c r="AT149" s="68"/>
      <c r="AU149" s="68"/>
      <c r="AV149" s="68"/>
      <c r="AW149" s="533"/>
      <c r="AX149" s="533"/>
      <c r="AY149" s="533"/>
      <c r="AZ149" s="67"/>
      <c r="BA149" s="68"/>
      <c r="BB149" s="76"/>
      <c r="BC149" s="77"/>
      <c r="BD149" s="68"/>
      <c r="BE149" s="68"/>
      <c r="BF149" s="68"/>
      <c r="BG149" s="68"/>
      <c r="BH149" s="68"/>
      <c r="BI149" s="533"/>
      <c r="BJ149" s="533"/>
      <c r="BK149" s="533"/>
      <c r="BL149" s="67"/>
      <c r="BM149" s="67"/>
      <c r="BO149" s="531"/>
      <c r="BP149" s="531"/>
      <c r="BQ149" s="531"/>
      <c r="BT149" s="63"/>
      <c r="BU149" s="64"/>
      <c r="CA149" s="531"/>
      <c r="CB149" s="531"/>
      <c r="CC149" s="531"/>
      <c r="CF149" s="63"/>
      <c r="CG149" s="64"/>
      <c r="CM149" s="531"/>
      <c r="CN149" s="531"/>
      <c r="CO149" s="531"/>
    </row>
    <row r="150" spans="18:93" ht="39.950000000000003" customHeight="1">
      <c r="R150" s="63"/>
      <c r="V150" s="170"/>
      <c r="W150" s="56"/>
      <c r="X150" s="56"/>
      <c r="Y150" s="56"/>
      <c r="AD150" s="63"/>
      <c r="AG150" s="56"/>
      <c r="AH150" s="56"/>
      <c r="AI150" s="56"/>
      <c r="AJ150" s="56"/>
      <c r="AK150" s="56"/>
      <c r="AO150" s="68"/>
      <c r="AP150" s="76"/>
      <c r="AQ150" s="67"/>
      <c r="AR150" s="68"/>
      <c r="AS150" s="69"/>
      <c r="AT150" s="69"/>
      <c r="AU150" s="69"/>
      <c r="AV150" s="69"/>
      <c r="AW150" s="69"/>
      <c r="AX150" s="68"/>
      <c r="AY150" s="69"/>
      <c r="AZ150" s="67"/>
      <c r="BA150" s="69"/>
      <c r="BB150" s="76"/>
      <c r="BC150" s="67"/>
      <c r="BD150" s="68"/>
      <c r="BE150" s="69"/>
      <c r="BF150" s="69"/>
      <c r="BG150" s="69"/>
      <c r="BH150" s="69"/>
      <c r="BI150" s="69"/>
      <c r="BJ150" s="68"/>
      <c r="BK150" s="69"/>
      <c r="BL150" s="67"/>
      <c r="BM150" s="67"/>
      <c r="BN150" s="56"/>
      <c r="BO150" s="56"/>
      <c r="BT150" s="63"/>
      <c r="BW150" s="56"/>
      <c r="BX150" s="56"/>
      <c r="BY150" s="56"/>
      <c r="BZ150" s="56"/>
      <c r="CA150" s="56"/>
      <c r="CF150" s="63"/>
      <c r="CI150" s="56"/>
      <c r="CJ150" s="56"/>
      <c r="CK150" s="56"/>
      <c r="CL150" s="56"/>
      <c r="CM150" s="56"/>
    </row>
    <row r="151" spans="18:93" ht="39.950000000000003" customHeight="1">
      <c r="R151" s="63"/>
      <c r="V151" s="170"/>
      <c r="W151" s="56"/>
      <c r="X151" s="56"/>
      <c r="Y151" s="56"/>
      <c r="AD151" s="63"/>
      <c r="AG151" s="56"/>
      <c r="AH151" s="56"/>
      <c r="AI151" s="56"/>
      <c r="AJ151" s="56"/>
      <c r="AK151" s="56"/>
      <c r="AO151" s="68"/>
      <c r="AP151" s="76"/>
      <c r="AQ151" s="67"/>
      <c r="AR151" s="68"/>
      <c r="AS151" s="69"/>
      <c r="AT151" s="69"/>
      <c r="AU151" s="69"/>
      <c r="AV151" s="69"/>
      <c r="AW151" s="69"/>
      <c r="AX151" s="68"/>
      <c r="AY151" s="69"/>
      <c r="AZ151" s="67"/>
      <c r="BA151" s="69"/>
      <c r="BB151" s="76"/>
      <c r="BC151" s="67"/>
      <c r="BD151" s="68"/>
      <c r="BE151" s="69"/>
      <c r="BF151" s="69"/>
      <c r="BG151" s="69"/>
      <c r="BH151" s="69"/>
      <c r="BI151" s="69"/>
      <c r="BJ151" s="68"/>
      <c r="BK151" s="69"/>
      <c r="BL151" s="67"/>
      <c r="BM151" s="67"/>
      <c r="BN151" s="56"/>
      <c r="BO151" s="56"/>
      <c r="BT151" s="63"/>
      <c r="BW151" s="56"/>
      <c r="BX151" s="56"/>
      <c r="BY151" s="56"/>
      <c r="BZ151" s="56"/>
      <c r="CA151" s="56"/>
      <c r="CF151" s="63"/>
      <c r="CI151" s="56"/>
      <c r="CJ151" s="56"/>
      <c r="CK151" s="56"/>
      <c r="CL151" s="56"/>
      <c r="CM151" s="56"/>
    </row>
    <row r="152" spans="18:93" ht="39.950000000000003" customHeight="1">
      <c r="R152" s="63"/>
      <c r="V152" s="170"/>
      <c r="W152" s="56"/>
      <c r="X152" s="56"/>
      <c r="Y152" s="56"/>
      <c r="AD152" s="63"/>
      <c r="AG152" s="56"/>
      <c r="AH152" s="56"/>
      <c r="AI152" s="56"/>
      <c r="AJ152" s="56"/>
      <c r="AK152" s="56"/>
      <c r="AO152" s="68"/>
      <c r="AP152" s="76"/>
      <c r="AQ152" s="67"/>
      <c r="AR152" s="68"/>
      <c r="AS152" s="69"/>
      <c r="AT152" s="69"/>
      <c r="AU152" s="69"/>
      <c r="AV152" s="69"/>
      <c r="AW152" s="69"/>
      <c r="AX152" s="68"/>
      <c r="AY152" s="69"/>
      <c r="AZ152" s="67"/>
      <c r="BA152" s="69"/>
      <c r="BB152" s="76"/>
      <c r="BC152" s="67"/>
      <c r="BD152" s="68"/>
      <c r="BE152" s="69"/>
      <c r="BF152" s="69"/>
      <c r="BG152" s="69"/>
      <c r="BH152" s="69"/>
      <c r="BI152" s="69"/>
      <c r="BJ152" s="68"/>
      <c r="BK152" s="69"/>
      <c r="BL152" s="67"/>
      <c r="BM152" s="67"/>
      <c r="BN152" s="56"/>
      <c r="BO152" s="56"/>
      <c r="BT152" s="63"/>
      <c r="BW152" s="56"/>
      <c r="BX152" s="56"/>
      <c r="BY152" s="56"/>
      <c r="BZ152" s="56"/>
      <c r="CA152" s="56"/>
      <c r="CF152" s="63"/>
      <c r="CI152" s="56"/>
      <c r="CJ152" s="56"/>
      <c r="CK152" s="56"/>
      <c r="CL152" s="56"/>
      <c r="CM152" s="56"/>
    </row>
    <row r="153" spans="18:93" ht="39.950000000000003" customHeight="1">
      <c r="R153" s="63"/>
      <c r="V153" s="170"/>
      <c r="W153" s="56"/>
      <c r="X153" s="56"/>
      <c r="Y153" s="56"/>
      <c r="AD153" s="63"/>
      <c r="AG153" s="56"/>
      <c r="AH153" s="56"/>
      <c r="AI153" s="56"/>
      <c r="AJ153" s="56"/>
      <c r="AK153" s="56"/>
      <c r="AO153" s="68"/>
      <c r="AP153" s="76"/>
      <c r="AQ153" s="67"/>
      <c r="AR153" s="68"/>
      <c r="AS153" s="69"/>
      <c r="AT153" s="69"/>
      <c r="AU153" s="69"/>
      <c r="AV153" s="69"/>
      <c r="AW153" s="69"/>
      <c r="AX153" s="68"/>
      <c r="AY153" s="69"/>
      <c r="AZ153" s="67"/>
      <c r="BA153" s="69"/>
      <c r="BB153" s="76"/>
      <c r="BC153" s="67"/>
      <c r="BD153" s="68"/>
      <c r="BE153" s="69"/>
      <c r="BF153" s="69"/>
      <c r="BG153" s="69"/>
      <c r="BH153" s="69"/>
      <c r="BI153" s="69"/>
      <c r="BJ153" s="68"/>
      <c r="BK153" s="69"/>
      <c r="BL153" s="67"/>
      <c r="BM153" s="67"/>
      <c r="BN153" s="56"/>
      <c r="BO153" s="56"/>
      <c r="BT153" s="63"/>
      <c r="BW153" s="56"/>
      <c r="BX153" s="56"/>
      <c r="BY153" s="56"/>
      <c r="BZ153" s="56"/>
      <c r="CA153" s="56"/>
      <c r="CF153" s="63"/>
      <c r="CI153" s="56"/>
      <c r="CJ153" s="56"/>
      <c r="CK153" s="56"/>
      <c r="CL153" s="56"/>
      <c r="CM153" s="56"/>
    </row>
    <row r="154" spans="18:93" ht="39.950000000000003" customHeight="1">
      <c r="AO154" s="68"/>
      <c r="AP154" s="67"/>
      <c r="AQ154" s="67"/>
      <c r="AR154" s="68"/>
      <c r="AS154" s="68"/>
      <c r="AT154" s="68"/>
      <c r="AU154" s="68"/>
      <c r="AV154" s="68"/>
      <c r="AW154" s="68"/>
      <c r="AX154" s="68"/>
      <c r="AY154" s="69"/>
      <c r="AZ154" s="67"/>
      <c r="BA154" s="68"/>
      <c r="BB154" s="67"/>
      <c r="BC154" s="67"/>
      <c r="BD154" s="68"/>
      <c r="BE154" s="68"/>
      <c r="BF154" s="68"/>
      <c r="BG154" s="68"/>
      <c r="BH154" s="68"/>
      <c r="BI154" s="68"/>
      <c r="BJ154" s="68"/>
      <c r="BK154" s="69"/>
      <c r="BL154" s="67"/>
      <c r="BM154" s="67"/>
    </row>
    <row r="155" spans="18:93" ht="39.950000000000003" customHeight="1">
      <c r="R155" s="63"/>
      <c r="S155" s="64"/>
      <c r="Y155" s="531"/>
      <c r="Z155" s="531"/>
      <c r="AA155" s="531"/>
      <c r="AD155" s="63"/>
      <c r="AE155" s="64"/>
      <c r="AK155" s="531"/>
      <c r="AL155" s="531"/>
      <c r="AM155" s="531"/>
      <c r="AO155" s="68"/>
      <c r="AP155" s="76"/>
      <c r="AQ155" s="77"/>
      <c r="AR155" s="68"/>
      <c r="AS155" s="68"/>
      <c r="AT155" s="68"/>
      <c r="AU155" s="68"/>
      <c r="AV155" s="68"/>
      <c r="AW155" s="533"/>
      <c r="AX155" s="533"/>
      <c r="AY155" s="533"/>
      <c r="AZ155" s="67"/>
      <c r="BA155" s="68"/>
      <c r="BB155" s="76"/>
      <c r="BC155" s="77"/>
      <c r="BD155" s="68"/>
      <c r="BE155" s="68"/>
      <c r="BF155" s="68"/>
      <c r="BG155" s="68"/>
      <c r="BH155" s="68"/>
      <c r="BI155" s="533"/>
      <c r="BJ155" s="533"/>
      <c r="BK155" s="533"/>
      <c r="BL155" s="67"/>
      <c r="BM155" s="67"/>
      <c r="BO155" s="531"/>
      <c r="BP155" s="531"/>
      <c r="BQ155" s="531"/>
      <c r="BT155" s="63"/>
      <c r="BU155" s="64"/>
      <c r="CA155" s="531"/>
      <c r="CB155" s="531"/>
      <c r="CC155" s="531"/>
      <c r="CF155" s="63"/>
      <c r="CG155" s="64"/>
      <c r="CM155" s="531"/>
      <c r="CN155" s="531"/>
      <c r="CO155" s="531"/>
    </row>
    <row r="156" spans="18:93" ht="39.950000000000003" customHeight="1">
      <c r="R156" s="63"/>
      <c r="V156" s="170"/>
      <c r="W156" s="56"/>
      <c r="X156" s="56"/>
      <c r="Y156" s="56"/>
      <c r="AD156" s="63"/>
      <c r="AG156" s="56"/>
      <c r="AH156" s="56"/>
      <c r="AI156" s="56"/>
      <c r="AJ156" s="56"/>
      <c r="AK156" s="56"/>
      <c r="AO156" s="68"/>
      <c r="AP156" s="76"/>
      <c r="AQ156" s="67"/>
      <c r="AR156" s="68"/>
      <c r="AS156" s="69"/>
      <c r="AT156" s="69"/>
      <c r="AU156" s="69"/>
      <c r="AV156" s="69"/>
      <c r="AW156" s="69"/>
      <c r="AX156" s="68"/>
      <c r="AY156" s="69"/>
      <c r="AZ156" s="67"/>
      <c r="BA156" s="69"/>
      <c r="BB156" s="76"/>
      <c r="BC156" s="67"/>
      <c r="BD156" s="68"/>
      <c r="BE156" s="69"/>
      <c r="BF156" s="69"/>
      <c r="BG156" s="69"/>
      <c r="BH156" s="69"/>
      <c r="BI156" s="69"/>
      <c r="BJ156" s="68"/>
      <c r="BK156" s="69"/>
      <c r="BL156" s="67"/>
      <c r="BM156" s="67"/>
      <c r="BN156" s="56"/>
      <c r="BO156" s="56"/>
      <c r="BT156" s="63"/>
      <c r="BW156" s="56"/>
      <c r="BX156" s="56"/>
      <c r="BY156" s="56"/>
      <c r="BZ156" s="56"/>
      <c r="CA156" s="56"/>
      <c r="CF156" s="63"/>
      <c r="CI156" s="56"/>
      <c r="CJ156" s="56"/>
      <c r="CK156" s="56"/>
      <c r="CL156" s="56"/>
      <c r="CM156" s="56"/>
    </row>
    <row r="157" spans="18:93" ht="39.950000000000003" customHeight="1">
      <c r="R157" s="63"/>
      <c r="V157" s="170"/>
      <c r="W157" s="56"/>
      <c r="X157" s="56"/>
      <c r="Y157" s="56"/>
      <c r="AD157" s="63"/>
      <c r="AG157" s="56"/>
      <c r="AH157" s="56"/>
      <c r="AI157" s="56"/>
      <c r="AJ157" s="56"/>
      <c r="AK157" s="56"/>
      <c r="AO157" s="68"/>
      <c r="AP157" s="76"/>
      <c r="AQ157" s="67"/>
      <c r="AR157" s="68"/>
      <c r="AS157" s="69"/>
      <c r="AT157" s="69"/>
      <c r="AU157" s="69"/>
      <c r="AV157" s="69"/>
      <c r="AW157" s="69"/>
      <c r="AX157" s="68"/>
      <c r="AY157" s="69"/>
      <c r="AZ157" s="67"/>
      <c r="BA157" s="69"/>
      <c r="BB157" s="76"/>
      <c r="BC157" s="67"/>
      <c r="BD157" s="68"/>
      <c r="BE157" s="69"/>
      <c r="BF157" s="69"/>
      <c r="BG157" s="69"/>
      <c r="BH157" s="69"/>
      <c r="BI157" s="69"/>
      <c r="BJ157" s="68"/>
      <c r="BK157" s="69"/>
      <c r="BL157" s="67"/>
      <c r="BM157" s="67"/>
      <c r="BN157" s="56"/>
      <c r="BO157" s="56"/>
      <c r="BT157" s="63"/>
      <c r="BW157" s="56"/>
      <c r="BX157" s="56"/>
      <c r="BY157" s="56"/>
      <c r="BZ157" s="56"/>
      <c r="CA157" s="56"/>
      <c r="CF157" s="63"/>
      <c r="CI157" s="56"/>
      <c r="CJ157" s="56"/>
      <c r="CK157" s="56"/>
      <c r="CL157" s="56"/>
      <c r="CM157" s="56"/>
    </row>
    <row r="158" spans="18:93" ht="39.950000000000003" customHeight="1">
      <c r="R158" s="63"/>
      <c r="V158" s="170"/>
      <c r="W158" s="56"/>
      <c r="X158" s="56"/>
      <c r="Y158" s="56"/>
      <c r="AD158" s="63"/>
      <c r="AG158" s="56"/>
      <c r="AH158" s="56"/>
      <c r="AI158" s="56"/>
      <c r="AJ158" s="56"/>
      <c r="AK158" s="56"/>
      <c r="AO158" s="68"/>
      <c r="AP158" s="76"/>
      <c r="AQ158" s="67"/>
      <c r="AR158" s="68"/>
      <c r="AS158" s="69"/>
      <c r="AT158" s="69"/>
      <c r="AU158" s="69"/>
      <c r="AV158" s="69"/>
      <c r="AW158" s="69"/>
      <c r="AX158" s="68"/>
      <c r="AY158" s="69"/>
      <c r="AZ158" s="67"/>
      <c r="BA158" s="69"/>
      <c r="BB158" s="76"/>
      <c r="BC158" s="67"/>
      <c r="BD158" s="68"/>
      <c r="BE158" s="69"/>
      <c r="BF158" s="69"/>
      <c r="BG158" s="69"/>
      <c r="BH158" s="69"/>
      <c r="BI158" s="69"/>
      <c r="BJ158" s="68"/>
      <c r="BK158" s="69"/>
      <c r="BL158" s="67"/>
      <c r="BM158" s="67"/>
      <c r="BN158" s="56"/>
      <c r="BO158" s="56"/>
      <c r="BT158" s="63"/>
      <c r="BW158" s="56"/>
      <c r="BX158" s="56"/>
      <c r="BY158" s="56"/>
      <c r="BZ158" s="56"/>
      <c r="CA158" s="56"/>
      <c r="CF158" s="63"/>
      <c r="CI158" s="56"/>
      <c r="CJ158" s="56"/>
      <c r="CK158" s="56"/>
      <c r="CL158" s="56"/>
      <c r="CM158" s="56"/>
    </row>
    <row r="159" spans="18:93" ht="39.950000000000003" customHeight="1">
      <c r="R159" s="63"/>
      <c r="V159" s="170"/>
      <c r="W159" s="56"/>
      <c r="X159" s="56"/>
      <c r="Y159" s="56"/>
      <c r="AD159" s="63"/>
      <c r="AG159" s="56"/>
      <c r="AH159" s="56"/>
      <c r="AI159" s="56"/>
      <c r="AJ159" s="56"/>
      <c r="AK159" s="56"/>
      <c r="AO159" s="68"/>
      <c r="AP159" s="76"/>
      <c r="AQ159" s="67"/>
      <c r="AR159" s="68"/>
      <c r="AS159" s="69"/>
      <c r="AT159" s="69"/>
      <c r="AU159" s="69"/>
      <c r="AV159" s="69"/>
      <c r="AW159" s="69"/>
      <c r="AX159" s="68"/>
      <c r="AY159" s="69"/>
      <c r="AZ159" s="67"/>
      <c r="BA159" s="69"/>
      <c r="BB159" s="76"/>
      <c r="BC159" s="67"/>
      <c r="BD159" s="68"/>
      <c r="BE159" s="69"/>
      <c r="BF159" s="69"/>
      <c r="BG159" s="69"/>
      <c r="BH159" s="69"/>
      <c r="BI159" s="69"/>
      <c r="BJ159" s="68"/>
      <c r="BK159" s="69"/>
      <c r="BL159" s="67"/>
      <c r="BM159" s="67"/>
      <c r="BN159" s="56"/>
      <c r="BO159" s="56"/>
      <c r="BT159" s="63"/>
      <c r="BW159" s="56"/>
      <c r="BX159" s="56"/>
      <c r="BY159" s="56"/>
      <c r="BZ159" s="56"/>
      <c r="CA159" s="56"/>
      <c r="CF159" s="63"/>
      <c r="CI159" s="56"/>
      <c r="CJ159" s="56"/>
      <c r="CK159" s="56"/>
      <c r="CL159" s="56"/>
      <c r="CM159" s="56"/>
    </row>
    <row r="160" spans="18:93" ht="39.950000000000003" customHeight="1">
      <c r="AO160" s="68"/>
      <c r="AP160" s="67"/>
      <c r="AQ160" s="67"/>
      <c r="AR160" s="68"/>
      <c r="AS160" s="68"/>
      <c r="AT160" s="68"/>
      <c r="AU160" s="68"/>
      <c r="AV160" s="68"/>
      <c r="AW160" s="68"/>
      <c r="AX160" s="68"/>
      <c r="AY160" s="69"/>
      <c r="AZ160" s="67"/>
      <c r="BA160" s="68"/>
      <c r="BB160" s="67"/>
      <c r="BC160" s="67"/>
      <c r="BD160" s="68"/>
      <c r="BE160" s="68"/>
      <c r="BF160" s="68"/>
      <c r="BG160" s="68"/>
      <c r="BH160" s="68"/>
      <c r="BI160" s="68"/>
      <c r="BJ160" s="68"/>
      <c r="BK160" s="69"/>
      <c r="BL160" s="67"/>
      <c r="BM160" s="67"/>
    </row>
    <row r="161" spans="18:93" ht="39.950000000000003" customHeight="1">
      <c r="R161" s="63"/>
      <c r="S161" s="64"/>
      <c r="Y161" s="531"/>
      <c r="Z161" s="531"/>
      <c r="AA161" s="531"/>
      <c r="AD161" s="63"/>
      <c r="AE161" s="64"/>
      <c r="AK161" s="531"/>
      <c r="AL161" s="531"/>
      <c r="AM161" s="531"/>
      <c r="AO161" s="68"/>
      <c r="AP161" s="76"/>
      <c r="AQ161" s="77"/>
      <c r="AR161" s="68"/>
      <c r="AS161" s="68"/>
      <c r="AT161" s="68"/>
      <c r="AU161" s="68"/>
      <c r="AV161" s="68"/>
      <c r="AW161" s="533"/>
      <c r="AX161" s="533"/>
      <c r="AY161" s="533"/>
      <c r="AZ161" s="67"/>
      <c r="BA161" s="68"/>
      <c r="BB161" s="76"/>
      <c r="BC161" s="77"/>
      <c r="BD161" s="68"/>
      <c r="BE161" s="68"/>
      <c r="BF161" s="68"/>
      <c r="BG161" s="68"/>
      <c r="BH161" s="68"/>
      <c r="BI161" s="533"/>
      <c r="BJ161" s="533"/>
      <c r="BK161" s="533"/>
      <c r="BL161" s="67"/>
      <c r="BM161" s="67"/>
      <c r="BO161" s="531"/>
      <c r="BP161" s="531"/>
      <c r="BQ161" s="531"/>
      <c r="BT161" s="63"/>
      <c r="BU161" s="64"/>
      <c r="CA161" s="531"/>
      <c r="CB161" s="531"/>
      <c r="CC161" s="531"/>
      <c r="CF161" s="63"/>
      <c r="CG161" s="64"/>
      <c r="CM161" s="531"/>
      <c r="CN161" s="531"/>
      <c r="CO161" s="531"/>
    </row>
    <row r="162" spans="18:93" ht="39.950000000000003" customHeight="1">
      <c r="R162" s="63"/>
      <c r="V162" s="170"/>
      <c r="W162" s="56"/>
      <c r="X162" s="56"/>
      <c r="Y162" s="56"/>
      <c r="AD162" s="63"/>
      <c r="AG162" s="56"/>
      <c r="AH162" s="56"/>
      <c r="AI162" s="56"/>
      <c r="AJ162" s="56"/>
      <c r="AK162" s="56"/>
      <c r="AO162" s="68"/>
      <c r="AP162" s="76"/>
      <c r="AQ162" s="67"/>
      <c r="AR162" s="68"/>
      <c r="AS162" s="69"/>
      <c r="AT162" s="69"/>
      <c r="AU162" s="69"/>
      <c r="AV162" s="69"/>
      <c r="AW162" s="69"/>
      <c r="AX162" s="68"/>
      <c r="AY162" s="69"/>
      <c r="AZ162" s="67"/>
      <c r="BA162" s="69"/>
      <c r="BB162" s="76"/>
      <c r="BC162" s="67"/>
      <c r="BD162" s="68"/>
      <c r="BE162" s="69"/>
      <c r="BF162" s="69"/>
      <c r="BG162" s="69"/>
      <c r="BH162" s="69"/>
      <c r="BI162" s="69"/>
      <c r="BJ162" s="68"/>
      <c r="BK162" s="69"/>
      <c r="BL162" s="67"/>
      <c r="BM162" s="67"/>
      <c r="BN162" s="56"/>
      <c r="BO162" s="56"/>
      <c r="BT162" s="63"/>
      <c r="BW162" s="56"/>
      <c r="BX162" s="56"/>
      <c r="BY162" s="56"/>
      <c r="BZ162" s="56"/>
      <c r="CA162" s="56"/>
      <c r="CF162" s="63"/>
      <c r="CI162" s="56"/>
      <c r="CJ162" s="56"/>
      <c r="CK162" s="56"/>
      <c r="CL162" s="56"/>
      <c r="CM162" s="56"/>
    </row>
    <row r="163" spans="18:93" ht="39.950000000000003" customHeight="1">
      <c r="R163" s="63"/>
      <c r="V163" s="170"/>
      <c r="W163" s="56"/>
      <c r="X163" s="56"/>
      <c r="Y163" s="56"/>
      <c r="AD163" s="63"/>
      <c r="AG163" s="56"/>
      <c r="AH163" s="56"/>
      <c r="AI163" s="56"/>
      <c r="AJ163" s="56"/>
      <c r="AK163" s="56"/>
      <c r="AO163" s="68"/>
      <c r="AP163" s="76"/>
      <c r="AQ163" s="67"/>
      <c r="AR163" s="68"/>
      <c r="AS163" s="69"/>
      <c r="AT163" s="69"/>
      <c r="AU163" s="69"/>
      <c r="AV163" s="69"/>
      <c r="AW163" s="69"/>
      <c r="AX163" s="68"/>
      <c r="AY163" s="69"/>
      <c r="AZ163" s="67"/>
      <c r="BA163" s="69"/>
      <c r="BB163" s="76"/>
      <c r="BC163" s="67"/>
      <c r="BD163" s="68"/>
      <c r="BE163" s="69"/>
      <c r="BF163" s="69"/>
      <c r="BG163" s="69"/>
      <c r="BH163" s="69"/>
      <c r="BI163" s="69"/>
      <c r="BJ163" s="68"/>
      <c r="BK163" s="69"/>
      <c r="BL163" s="67"/>
      <c r="BM163" s="67"/>
      <c r="BN163" s="56"/>
      <c r="BO163" s="56"/>
      <c r="BT163" s="63"/>
      <c r="BW163" s="56"/>
      <c r="BX163" s="56"/>
      <c r="BY163" s="56"/>
      <c r="BZ163" s="56"/>
      <c r="CA163" s="56"/>
      <c r="CF163" s="63"/>
      <c r="CI163" s="56"/>
      <c r="CJ163" s="56"/>
      <c r="CK163" s="56"/>
      <c r="CL163" s="56"/>
      <c r="CM163" s="56"/>
    </row>
    <row r="164" spans="18:93" ht="39.950000000000003" customHeight="1">
      <c r="R164" s="63"/>
      <c r="V164" s="170"/>
      <c r="W164" s="56"/>
      <c r="X164" s="56"/>
      <c r="Y164" s="56"/>
      <c r="AD164" s="63"/>
      <c r="AG164" s="56"/>
      <c r="AH164" s="56"/>
      <c r="AI164" s="56"/>
      <c r="AJ164" s="56"/>
      <c r="AK164" s="56"/>
      <c r="AO164" s="68"/>
      <c r="AP164" s="76"/>
      <c r="AQ164" s="67"/>
      <c r="AR164" s="68"/>
      <c r="AS164" s="69"/>
      <c r="AT164" s="69"/>
      <c r="AU164" s="69"/>
      <c r="AV164" s="69"/>
      <c r="AW164" s="69"/>
      <c r="AX164" s="68"/>
      <c r="AY164" s="69"/>
      <c r="AZ164" s="67"/>
      <c r="BA164" s="69"/>
      <c r="BB164" s="76"/>
      <c r="BC164" s="67"/>
      <c r="BD164" s="68"/>
      <c r="BE164" s="69"/>
      <c r="BF164" s="69"/>
      <c r="BG164" s="69"/>
      <c r="BH164" s="69"/>
      <c r="BI164" s="69"/>
      <c r="BJ164" s="68"/>
      <c r="BK164" s="69"/>
      <c r="BL164" s="67"/>
      <c r="BM164" s="67"/>
      <c r="BN164" s="56"/>
      <c r="BO164" s="56"/>
      <c r="BT164" s="63"/>
      <c r="BW164" s="56"/>
      <c r="BX164" s="56"/>
      <c r="BY164" s="56"/>
      <c r="BZ164" s="56"/>
      <c r="CA164" s="56"/>
      <c r="CF164" s="63"/>
      <c r="CI164" s="56"/>
      <c r="CJ164" s="56"/>
      <c r="CK164" s="56"/>
      <c r="CL164" s="56"/>
      <c r="CM164" s="56"/>
    </row>
    <row r="165" spans="18:93" ht="39.950000000000003" customHeight="1">
      <c r="R165" s="63"/>
      <c r="V165" s="170"/>
      <c r="W165" s="56"/>
      <c r="X165" s="56"/>
      <c r="Y165" s="56"/>
      <c r="AD165" s="63"/>
      <c r="AG165" s="56"/>
      <c r="AH165" s="56"/>
      <c r="AI165" s="56"/>
      <c r="AJ165" s="56"/>
      <c r="AK165" s="56"/>
      <c r="AO165" s="68"/>
      <c r="AP165" s="76"/>
      <c r="AQ165" s="67"/>
      <c r="AR165" s="68"/>
      <c r="AS165" s="69"/>
      <c r="AT165" s="69"/>
      <c r="AU165" s="69"/>
      <c r="AV165" s="69"/>
      <c r="AW165" s="69"/>
      <c r="AX165" s="68"/>
      <c r="AY165" s="69"/>
      <c r="AZ165" s="67"/>
      <c r="BA165" s="69"/>
      <c r="BB165" s="76"/>
      <c r="BC165" s="67"/>
      <c r="BD165" s="68"/>
      <c r="BE165" s="69"/>
      <c r="BF165" s="69"/>
      <c r="BG165" s="69"/>
      <c r="BH165" s="69"/>
      <c r="BI165" s="69"/>
      <c r="BJ165" s="68"/>
      <c r="BK165" s="69"/>
      <c r="BL165" s="67"/>
      <c r="BM165" s="67"/>
      <c r="BN165" s="56"/>
      <c r="BO165" s="56"/>
      <c r="BT165" s="63"/>
      <c r="BW165" s="56"/>
      <c r="BX165" s="56"/>
      <c r="BY165" s="56"/>
      <c r="BZ165" s="56"/>
      <c r="CA165" s="56"/>
      <c r="CF165" s="63"/>
      <c r="CI165" s="56"/>
      <c r="CJ165" s="56"/>
      <c r="CK165" s="56"/>
      <c r="CL165" s="56"/>
      <c r="CM165" s="56"/>
    </row>
    <row r="166" spans="18:93" ht="39.950000000000003" customHeight="1">
      <c r="AO166" s="68"/>
      <c r="AP166" s="67"/>
      <c r="AQ166" s="67"/>
      <c r="AR166" s="68"/>
      <c r="AS166" s="68"/>
      <c r="AT166" s="68"/>
      <c r="AU166" s="68"/>
      <c r="AV166" s="68"/>
      <c r="AW166" s="68"/>
      <c r="AX166" s="68"/>
      <c r="AY166" s="69"/>
      <c r="AZ166" s="67"/>
      <c r="BA166" s="68"/>
      <c r="BB166" s="67"/>
      <c r="BC166" s="67"/>
      <c r="BD166" s="68"/>
      <c r="BE166" s="68"/>
      <c r="BF166" s="68"/>
      <c r="BG166" s="68"/>
      <c r="BH166" s="68"/>
      <c r="BI166" s="68"/>
      <c r="BJ166" s="68"/>
      <c r="BK166" s="69"/>
      <c r="BL166" s="67"/>
      <c r="BM166" s="67"/>
    </row>
    <row r="167" spans="18:93" ht="39.950000000000003" customHeight="1">
      <c r="R167" s="63"/>
      <c r="S167" s="64"/>
      <c r="Y167" s="531"/>
      <c r="Z167" s="531"/>
      <c r="AA167" s="531"/>
      <c r="AD167" s="63"/>
      <c r="AE167" s="64"/>
      <c r="AK167" s="531"/>
      <c r="AL167" s="531"/>
      <c r="AM167" s="531"/>
      <c r="AO167" s="68"/>
      <c r="AP167" s="76"/>
      <c r="AQ167" s="77"/>
      <c r="AR167" s="68"/>
      <c r="AS167" s="68"/>
      <c r="AT167" s="68"/>
      <c r="AU167" s="68"/>
      <c r="AV167" s="68"/>
      <c r="AW167" s="533"/>
      <c r="AX167" s="533"/>
      <c r="AY167" s="533"/>
      <c r="AZ167" s="67"/>
      <c r="BA167" s="68"/>
      <c r="BB167" s="76"/>
      <c r="BC167" s="77"/>
      <c r="BD167" s="68"/>
      <c r="BE167" s="68"/>
      <c r="BF167" s="68"/>
      <c r="BG167" s="68"/>
      <c r="BH167" s="68"/>
      <c r="BI167" s="533"/>
      <c r="BJ167" s="533"/>
      <c r="BK167" s="533"/>
      <c r="BL167" s="67"/>
      <c r="BM167" s="67"/>
      <c r="BO167" s="531"/>
      <c r="BP167" s="531"/>
      <c r="BQ167" s="531"/>
      <c r="BT167" s="63"/>
      <c r="BU167" s="64"/>
      <c r="CA167" s="531"/>
      <c r="CB167" s="531"/>
      <c r="CC167" s="531"/>
      <c r="CF167" s="63"/>
      <c r="CG167" s="64"/>
      <c r="CM167" s="531"/>
      <c r="CN167" s="531"/>
      <c r="CO167" s="531"/>
    </row>
    <row r="168" spans="18:93" ht="39.950000000000003" customHeight="1">
      <c r="R168" s="63"/>
      <c r="V168" s="170"/>
      <c r="W168" s="56"/>
      <c r="X168" s="56"/>
      <c r="Y168" s="56"/>
      <c r="AD168" s="63"/>
      <c r="AG168" s="56"/>
      <c r="AH168" s="56"/>
      <c r="AI168" s="56"/>
      <c r="AJ168" s="56"/>
      <c r="AK168" s="56"/>
      <c r="AO168" s="68"/>
      <c r="AP168" s="76"/>
      <c r="AQ168" s="67"/>
      <c r="AR168" s="68"/>
      <c r="AS168" s="69"/>
      <c r="AT168" s="69"/>
      <c r="AU168" s="69"/>
      <c r="AV168" s="69"/>
      <c r="AW168" s="69"/>
      <c r="AX168" s="68"/>
      <c r="AY168" s="69"/>
      <c r="AZ168" s="67"/>
      <c r="BA168" s="69"/>
      <c r="BB168" s="76"/>
      <c r="BC168" s="67"/>
      <c r="BD168" s="68"/>
      <c r="BE168" s="69"/>
      <c r="BF168" s="69"/>
      <c r="BG168" s="69"/>
      <c r="BH168" s="69"/>
      <c r="BI168" s="69"/>
      <c r="BJ168" s="68"/>
      <c r="BK168" s="69"/>
      <c r="BL168" s="67"/>
      <c r="BM168" s="67"/>
      <c r="BN168" s="56"/>
      <c r="BO168" s="56"/>
      <c r="BT168" s="63"/>
      <c r="BW168" s="56"/>
      <c r="BX168" s="56"/>
      <c r="BY168" s="56"/>
      <c r="BZ168" s="56"/>
      <c r="CA168" s="56"/>
      <c r="CF168" s="63"/>
      <c r="CI168" s="56"/>
      <c r="CJ168" s="56"/>
      <c r="CK168" s="56"/>
      <c r="CL168" s="56"/>
      <c r="CM168" s="56"/>
    </row>
    <row r="169" spans="18:93" ht="39.950000000000003" customHeight="1">
      <c r="R169" s="63"/>
      <c r="V169" s="170"/>
      <c r="W169" s="56"/>
      <c r="X169" s="56"/>
      <c r="Y169" s="56"/>
      <c r="AD169" s="63"/>
      <c r="AG169" s="56"/>
      <c r="AH169" s="56"/>
      <c r="AI169" s="56"/>
      <c r="AJ169" s="56"/>
      <c r="AK169" s="56"/>
      <c r="AO169" s="68"/>
      <c r="AP169" s="76"/>
      <c r="AQ169" s="67"/>
      <c r="AR169" s="68"/>
      <c r="AS169" s="69"/>
      <c r="AT169" s="69"/>
      <c r="AU169" s="69"/>
      <c r="AV169" s="69"/>
      <c r="AW169" s="69"/>
      <c r="AX169" s="68"/>
      <c r="AY169" s="69"/>
      <c r="AZ169" s="67"/>
      <c r="BA169" s="69"/>
      <c r="BB169" s="76"/>
      <c r="BC169" s="67"/>
      <c r="BD169" s="68"/>
      <c r="BE169" s="69"/>
      <c r="BF169" s="69"/>
      <c r="BG169" s="69"/>
      <c r="BH169" s="69"/>
      <c r="BI169" s="69"/>
      <c r="BJ169" s="68"/>
      <c r="BK169" s="69"/>
      <c r="BL169" s="67"/>
      <c r="BM169" s="67"/>
      <c r="BN169" s="56"/>
      <c r="BO169" s="56"/>
      <c r="BT169" s="63"/>
      <c r="BW169" s="56"/>
      <c r="BX169" s="56"/>
      <c r="BY169" s="56"/>
      <c r="BZ169" s="56"/>
      <c r="CA169" s="56"/>
      <c r="CF169" s="63"/>
      <c r="CI169" s="56"/>
      <c r="CJ169" s="56"/>
      <c r="CK169" s="56"/>
      <c r="CL169" s="56"/>
      <c r="CM169" s="56"/>
    </row>
    <row r="170" spans="18:93" ht="39.950000000000003" customHeight="1">
      <c r="R170" s="63"/>
      <c r="V170" s="170"/>
      <c r="W170" s="56"/>
      <c r="X170" s="56"/>
      <c r="Y170" s="56"/>
      <c r="AD170" s="63"/>
      <c r="AG170" s="56"/>
      <c r="AH170" s="56"/>
      <c r="AI170" s="56"/>
      <c r="AJ170" s="56"/>
      <c r="AK170" s="56"/>
      <c r="AO170" s="68"/>
      <c r="AP170" s="76"/>
      <c r="AQ170" s="67"/>
      <c r="AR170" s="68"/>
      <c r="AS170" s="69"/>
      <c r="AT170" s="69"/>
      <c r="AU170" s="69"/>
      <c r="AV170" s="69"/>
      <c r="AW170" s="69"/>
      <c r="AX170" s="68"/>
      <c r="AY170" s="69"/>
      <c r="AZ170" s="67"/>
      <c r="BA170" s="69"/>
      <c r="BB170" s="76"/>
      <c r="BC170" s="67"/>
      <c r="BD170" s="68"/>
      <c r="BE170" s="69"/>
      <c r="BF170" s="69"/>
      <c r="BG170" s="69"/>
      <c r="BH170" s="69"/>
      <c r="BI170" s="69"/>
      <c r="BJ170" s="68"/>
      <c r="BK170" s="69"/>
      <c r="BL170" s="67"/>
      <c r="BM170" s="67"/>
      <c r="BN170" s="56"/>
      <c r="BO170" s="56"/>
      <c r="BT170" s="63"/>
      <c r="BW170" s="56"/>
      <c r="BX170" s="56"/>
      <c r="BY170" s="56"/>
      <c r="BZ170" s="56"/>
      <c r="CA170" s="56"/>
      <c r="CF170" s="63"/>
      <c r="CI170" s="56"/>
      <c r="CJ170" s="56"/>
      <c r="CK170" s="56"/>
      <c r="CL170" s="56"/>
      <c r="CM170" s="56"/>
    </row>
    <row r="171" spans="18:93" ht="39.950000000000003" customHeight="1">
      <c r="R171" s="63"/>
      <c r="V171" s="170"/>
      <c r="W171" s="56"/>
      <c r="X171" s="56"/>
      <c r="Y171" s="56"/>
      <c r="AD171" s="63"/>
      <c r="AG171" s="56"/>
      <c r="AH171" s="56"/>
      <c r="AI171" s="56"/>
      <c r="AJ171" s="56"/>
      <c r="AK171" s="56"/>
      <c r="AO171" s="68"/>
      <c r="AP171" s="76"/>
      <c r="AQ171" s="67"/>
      <c r="AR171" s="68"/>
      <c r="AS171" s="69"/>
      <c r="AT171" s="69"/>
      <c r="AU171" s="69"/>
      <c r="AV171" s="69"/>
      <c r="AW171" s="69"/>
      <c r="AX171" s="68"/>
      <c r="AY171" s="69"/>
      <c r="AZ171" s="67"/>
      <c r="BA171" s="69"/>
      <c r="BB171" s="76"/>
      <c r="BC171" s="67"/>
      <c r="BD171" s="68"/>
      <c r="BE171" s="69"/>
      <c r="BF171" s="69"/>
      <c r="BG171" s="69"/>
      <c r="BH171" s="69"/>
      <c r="BI171" s="69"/>
      <c r="BJ171" s="68"/>
      <c r="BK171" s="69"/>
      <c r="BL171" s="67"/>
      <c r="BM171" s="67"/>
      <c r="BN171" s="56"/>
      <c r="BO171" s="56"/>
      <c r="BT171" s="63"/>
      <c r="BW171" s="56"/>
      <c r="BX171" s="56"/>
      <c r="BY171" s="56"/>
      <c r="BZ171" s="56"/>
      <c r="CA171" s="56"/>
      <c r="CF171" s="63"/>
      <c r="CI171" s="56"/>
      <c r="CJ171" s="56"/>
      <c r="CK171" s="56"/>
      <c r="CL171" s="56"/>
      <c r="CM171" s="56"/>
    </row>
    <row r="172" spans="18:93" ht="39.950000000000003" customHeight="1">
      <c r="AO172" s="68"/>
      <c r="AP172" s="67"/>
      <c r="AQ172" s="67"/>
      <c r="AR172" s="68"/>
      <c r="AS172" s="68"/>
      <c r="AT172" s="68"/>
      <c r="AU172" s="68"/>
      <c r="AV172" s="68"/>
      <c r="AW172" s="68"/>
      <c r="AX172" s="68"/>
      <c r="AY172" s="69"/>
      <c r="AZ172" s="67"/>
      <c r="BA172" s="68"/>
      <c r="BB172" s="67"/>
      <c r="BC172" s="67"/>
      <c r="BD172" s="68"/>
      <c r="BE172" s="68"/>
      <c r="BF172" s="68"/>
      <c r="BG172" s="68"/>
      <c r="BH172" s="68"/>
      <c r="BI172" s="68"/>
      <c r="BJ172" s="68"/>
      <c r="BK172" s="69"/>
      <c r="BL172" s="67"/>
      <c r="BM172" s="67"/>
    </row>
    <row r="173" spans="18:93" ht="39.950000000000003" customHeight="1">
      <c r="R173" s="63"/>
      <c r="S173" s="64"/>
      <c r="Y173" s="531"/>
      <c r="Z173" s="531"/>
      <c r="AA173" s="531"/>
      <c r="AD173" s="63"/>
      <c r="AE173" s="64"/>
      <c r="AK173" s="531"/>
      <c r="AL173" s="531"/>
      <c r="AM173" s="531"/>
      <c r="AO173" s="68"/>
      <c r="AP173" s="76"/>
      <c r="AQ173" s="77"/>
      <c r="AR173" s="68"/>
      <c r="AS173" s="68"/>
      <c r="AT173" s="68"/>
      <c r="AU173" s="68"/>
      <c r="AV173" s="68"/>
      <c r="AW173" s="533"/>
      <c r="AX173" s="533"/>
      <c r="AY173" s="533"/>
      <c r="AZ173" s="67"/>
      <c r="BA173" s="68"/>
      <c r="BB173" s="76"/>
      <c r="BC173" s="77"/>
      <c r="BD173" s="68"/>
      <c r="BE173" s="68"/>
      <c r="BF173" s="68"/>
      <c r="BG173" s="68"/>
      <c r="BH173" s="68"/>
      <c r="BI173" s="533"/>
      <c r="BJ173" s="533"/>
      <c r="BK173" s="533"/>
      <c r="BL173" s="67"/>
      <c r="BM173" s="67"/>
      <c r="BO173" s="531"/>
      <c r="BP173" s="531"/>
      <c r="BQ173" s="531"/>
      <c r="BT173" s="63"/>
      <c r="BU173" s="64"/>
      <c r="CA173" s="531"/>
      <c r="CB173" s="531"/>
      <c r="CC173" s="531"/>
      <c r="CF173" s="63"/>
      <c r="CG173" s="64"/>
      <c r="CM173" s="531"/>
      <c r="CN173" s="531"/>
      <c r="CO173" s="531"/>
    </row>
    <row r="174" spans="18:93" ht="39.950000000000003" customHeight="1">
      <c r="R174" s="63"/>
      <c r="V174" s="170"/>
      <c r="W174" s="56"/>
      <c r="X174" s="56"/>
      <c r="Y174" s="56"/>
      <c r="AD174" s="63"/>
      <c r="AG174" s="56"/>
      <c r="AH174" s="56"/>
      <c r="AI174" s="56"/>
      <c r="AJ174" s="56"/>
      <c r="AK174" s="56"/>
      <c r="AO174" s="68"/>
      <c r="AP174" s="76"/>
      <c r="AQ174" s="67"/>
      <c r="AR174" s="68"/>
      <c r="AS174" s="69"/>
      <c r="AT174" s="69"/>
      <c r="AU174" s="69"/>
      <c r="AV174" s="69"/>
      <c r="AW174" s="69"/>
      <c r="AX174" s="68"/>
      <c r="AY174" s="69"/>
      <c r="AZ174" s="67"/>
      <c r="BA174" s="69"/>
      <c r="BB174" s="76"/>
      <c r="BC174" s="67"/>
      <c r="BD174" s="68"/>
      <c r="BE174" s="69"/>
      <c r="BF174" s="69"/>
      <c r="BG174" s="69"/>
      <c r="BH174" s="69"/>
      <c r="BI174" s="69"/>
      <c r="BJ174" s="68"/>
      <c r="BK174" s="69"/>
      <c r="BL174" s="67"/>
      <c r="BM174" s="67"/>
      <c r="BN174" s="56"/>
      <c r="BO174" s="56"/>
      <c r="BT174" s="63"/>
      <c r="BW174" s="56"/>
      <c r="BX174" s="56"/>
      <c r="BY174" s="56"/>
      <c r="BZ174" s="56"/>
      <c r="CA174" s="56"/>
      <c r="CF174" s="63"/>
      <c r="CI174" s="56"/>
      <c r="CJ174" s="56"/>
      <c r="CK174" s="56"/>
      <c r="CL174" s="56"/>
      <c r="CM174" s="56"/>
    </row>
    <row r="175" spans="18:93" ht="39.950000000000003" customHeight="1">
      <c r="R175" s="63"/>
      <c r="V175" s="170"/>
      <c r="W175" s="56"/>
      <c r="X175" s="56"/>
      <c r="Y175" s="56"/>
      <c r="AD175" s="63"/>
      <c r="AG175" s="56"/>
      <c r="AH175" s="56"/>
      <c r="AI175" s="56"/>
      <c r="AJ175" s="56"/>
      <c r="AK175" s="56"/>
      <c r="AO175" s="68"/>
      <c r="AP175" s="76"/>
      <c r="AQ175" s="67"/>
      <c r="AR175" s="68"/>
      <c r="AS175" s="69"/>
      <c r="AT175" s="69"/>
      <c r="AU175" s="69"/>
      <c r="AV175" s="69"/>
      <c r="AW175" s="69"/>
      <c r="AX175" s="68"/>
      <c r="AY175" s="69"/>
      <c r="AZ175" s="67"/>
      <c r="BA175" s="69"/>
      <c r="BB175" s="76"/>
      <c r="BC175" s="67"/>
      <c r="BD175" s="68"/>
      <c r="BE175" s="69"/>
      <c r="BF175" s="69"/>
      <c r="BG175" s="69"/>
      <c r="BH175" s="69"/>
      <c r="BI175" s="69"/>
      <c r="BJ175" s="68"/>
      <c r="BK175" s="69"/>
      <c r="BL175" s="67"/>
      <c r="BM175" s="67"/>
      <c r="BN175" s="56"/>
      <c r="BO175" s="56"/>
      <c r="BT175" s="63"/>
      <c r="BW175" s="56"/>
      <c r="BX175" s="56"/>
      <c r="BY175" s="56"/>
      <c r="BZ175" s="56"/>
      <c r="CA175" s="56"/>
      <c r="CF175" s="63"/>
      <c r="CI175" s="56"/>
      <c r="CJ175" s="56"/>
      <c r="CK175" s="56"/>
      <c r="CL175" s="56"/>
      <c r="CM175" s="56"/>
    </row>
    <row r="176" spans="18:93" ht="39.950000000000003" customHeight="1">
      <c r="R176" s="63"/>
      <c r="V176" s="170"/>
      <c r="W176" s="56"/>
      <c r="X176" s="56"/>
      <c r="Y176" s="56"/>
      <c r="AD176" s="63"/>
      <c r="AG176" s="56"/>
      <c r="AH176" s="56"/>
      <c r="AI176" s="56"/>
      <c r="AJ176" s="56"/>
      <c r="AK176" s="56"/>
      <c r="AO176" s="68"/>
      <c r="AP176" s="76"/>
      <c r="AQ176" s="67"/>
      <c r="AR176" s="68"/>
      <c r="AS176" s="69"/>
      <c r="AT176" s="69"/>
      <c r="AU176" s="69"/>
      <c r="AV176" s="69"/>
      <c r="AW176" s="69"/>
      <c r="AX176" s="68"/>
      <c r="AY176" s="69"/>
      <c r="AZ176" s="67"/>
      <c r="BA176" s="69"/>
      <c r="BB176" s="76"/>
      <c r="BC176" s="67"/>
      <c r="BD176" s="68"/>
      <c r="BE176" s="69"/>
      <c r="BF176" s="69"/>
      <c r="BG176" s="69"/>
      <c r="BH176" s="69"/>
      <c r="BI176" s="69"/>
      <c r="BJ176" s="68"/>
      <c r="BK176" s="69"/>
      <c r="BL176" s="67"/>
      <c r="BM176" s="67"/>
      <c r="BN176" s="56"/>
      <c r="BO176" s="56"/>
      <c r="BT176" s="63"/>
      <c r="BW176" s="56"/>
      <c r="BX176" s="56"/>
      <c r="BY176" s="56"/>
      <c r="BZ176" s="56"/>
      <c r="CA176" s="56"/>
      <c r="CF176" s="63"/>
      <c r="CI176" s="56"/>
      <c r="CJ176" s="56"/>
      <c r="CK176" s="56"/>
      <c r="CL176" s="56"/>
      <c r="CM176" s="56"/>
    </row>
    <row r="177" spans="18:93" ht="39.950000000000003" customHeight="1">
      <c r="R177" s="63"/>
      <c r="V177" s="170"/>
      <c r="W177" s="56"/>
      <c r="X177" s="56"/>
      <c r="Y177" s="56"/>
      <c r="AD177" s="63"/>
      <c r="AG177" s="56"/>
      <c r="AH177" s="56"/>
      <c r="AI177" s="56"/>
      <c r="AJ177" s="56"/>
      <c r="AK177" s="56"/>
      <c r="AO177" s="68"/>
      <c r="AP177" s="76"/>
      <c r="AQ177" s="67"/>
      <c r="AR177" s="68"/>
      <c r="AS177" s="69"/>
      <c r="AT177" s="69"/>
      <c r="AU177" s="69"/>
      <c r="AV177" s="69"/>
      <c r="AW177" s="69"/>
      <c r="AX177" s="68"/>
      <c r="AY177" s="69"/>
      <c r="AZ177" s="67"/>
      <c r="BA177" s="69"/>
      <c r="BB177" s="76"/>
      <c r="BC177" s="67"/>
      <c r="BD177" s="68"/>
      <c r="BE177" s="69"/>
      <c r="BF177" s="69"/>
      <c r="BG177" s="69"/>
      <c r="BH177" s="69"/>
      <c r="BI177" s="69"/>
      <c r="BJ177" s="68"/>
      <c r="BK177" s="69"/>
      <c r="BL177" s="67"/>
      <c r="BM177" s="67"/>
      <c r="BN177" s="56"/>
      <c r="BO177" s="56"/>
      <c r="BT177" s="63"/>
      <c r="BW177" s="56"/>
      <c r="BX177" s="56"/>
      <c r="BY177" s="56"/>
      <c r="BZ177" s="56"/>
      <c r="CA177" s="56"/>
      <c r="CF177" s="63"/>
      <c r="CI177" s="56"/>
      <c r="CJ177" s="56"/>
      <c r="CK177" s="56"/>
      <c r="CL177" s="56"/>
      <c r="CM177" s="56"/>
    </row>
    <row r="178" spans="18:93" ht="39.950000000000003" customHeight="1">
      <c r="AO178" s="68"/>
      <c r="AP178" s="67"/>
      <c r="AQ178" s="67"/>
      <c r="AR178" s="68"/>
      <c r="AS178" s="68"/>
      <c r="AT178" s="68"/>
      <c r="AU178" s="68"/>
      <c r="AV178" s="68"/>
      <c r="AW178" s="68"/>
      <c r="AX178" s="68"/>
      <c r="AY178" s="69"/>
      <c r="AZ178" s="67"/>
      <c r="BA178" s="68"/>
      <c r="BB178" s="67"/>
      <c r="BC178" s="67"/>
      <c r="BD178" s="68"/>
      <c r="BE178" s="68"/>
      <c r="BF178" s="68"/>
      <c r="BG178" s="68"/>
      <c r="BH178" s="68"/>
      <c r="BI178" s="68"/>
      <c r="BJ178" s="68"/>
      <c r="BK178" s="69"/>
      <c r="BL178" s="67"/>
      <c r="BM178" s="67"/>
    </row>
    <row r="179" spans="18:93" ht="39.950000000000003" customHeight="1">
      <c r="R179" s="63"/>
      <c r="S179" s="64"/>
      <c r="Y179" s="531"/>
      <c r="Z179" s="531"/>
      <c r="AA179" s="531"/>
      <c r="AD179" s="63"/>
      <c r="AE179" s="64"/>
      <c r="AK179" s="531"/>
      <c r="AL179" s="531"/>
      <c r="AM179" s="531"/>
      <c r="AO179" s="68"/>
      <c r="AP179" s="76"/>
      <c r="AQ179" s="77"/>
      <c r="AR179" s="68"/>
      <c r="AS179" s="68"/>
      <c r="AT179" s="68"/>
      <c r="AU179" s="68"/>
      <c r="AV179" s="68"/>
      <c r="AW179" s="533"/>
      <c r="AX179" s="533"/>
      <c r="AY179" s="533"/>
      <c r="AZ179" s="67"/>
      <c r="BA179" s="68"/>
      <c r="BB179" s="76"/>
      <c r="BC179" s="77"/>
      <c r="BD179" s="68"/>
      <c r="BE179" s="68"/>
      <c r="BF179" s="68"/>
      <c r="BG179" s="68"/>
      <c r="BH179" s="68"/>
      <c r="BI179" s="533"/>
      <c r="BJ179" s="533"/>
      <c r="BK179" s="533"/>
      <c r="BL179" s="67"/>
      <c r="BM179" s="67"/>
      <c r="BO179" s="531"/>
      <c r="BP179" s="531"/>
      <c r="BQ179" s="531"/>
      <c r="BT179" s="63"/>
      <c r="BU179" s="64"/>
      <c r="CA179" s="531"/>
      <c r="CB179" s="531"/>
      <c r="CC179" s="531"/>
      <c r="CF179" s="63"/>
      <c r="CG179" s="64"/>
      <c r="CM179" s="531"/>
      <c r="CN179" s="531"/>
      <c r="CO179" s="531"/>
    </row>
    <row r="180" spans="18:93" ht="39.950000000000003" customHeight="1">
      <c r="R180" s="63"/>
      <c r="V180" s="170"/>
      <c r="W180" s="56"/>
      <c r="X180" s="56"/>
      <c r="Y180" s="56"/>
      <c r="AD180" s="63"/>
      <c r="AG180" s="56"/>
      <c r="AH180" s="56"/>
      <c r="AI180" s="56"/>
      <c r="AJ180" s="56"/>
      <c r="AK180" s="56"/>
      <c r="AO180" s="68"/>
      <c r="AP180" s="76"/>
      <c r="AQ180" s="67"/>
      <c r="AR180" s="68"/>
      <c r="AS180" s="69"/>
      <c r="AT180" s="69"/>
      <c r="AU180" s="69"/>
      <c r="AV180" s="69"/>
      <c r="AW180" s="69"/>
      <c r="AX180" s="68"/>
      <c r="AY180" s="69"/>
      <c r="AZ180" s="67"/>
      <c r="BA180" s="69"/>
      <c r="BB180" s="76"/>
      <c r="BC180" s="67"/>
      <c r="BD180" s="68"/>
      <c r="BE180" s="69"/>
      <c r="BF180" s="69"/>
      <c r="BG180" s="69"/>
      <c r="BH180" s="69"/>
      <c r="BI180" s="69"/>
      <c r="BJ180" s="68"/>
      <c r="BK180" s="69"/>
      <c r="BL180" s="67"/>
      <c r="BM180" s="67"/>
      <c r="BN180" s="56"/>
      <c r="BO180" s="56"/>
      <c r="BT180" s="63"/>
      <c r="BW180" s="56"/>
      <c r="BX180" s="56"/>
      <c r="BY180" s="56"/>
      <c r="BZ180" s="56"/>
      <c r="CA180" s="56"/>
      <c r="CF180" s="63"/>
      <c r="CI180" s="56"/>
      <c r="CJ180" s="56"/>
      <c r="CK180" s="56"/>
      <c r="CL180" s="56"/>
      <c r="CM180" s="56"/>
    </row>
    <row r="181" spans="18:93" ht="39.950000000000003" customHeight="1">
      <c r="R181" s="63"/>
      <c r="V181" s="170"/>
      <c r="W181" s="56"/>
      <c r="X181" s="56"/>
      <c r="Y181" s="56"/>
      <c r="AD181" s="63"/>
      <c r="AG181" s="56"/>
      <c r="AH181" s="56"/>
      <c r="AI181" s="56"/>
      <c r="AJ181" s="56"/>
      <c r="AK181" s="56"/>
      <c r="AO181" s="68"/>
      <c r="AP181" s="76"/>
      <c r="AQ181" s="67"/>
      <c r="AR181" s="68"/>
      <c r="AS181" s="69"/>
      <c r="AT181" s="69"/>
      <c r="AU181" s="69"/>
      <c r="AV181" s="69"/>
      <c r="AW181" s="69"/>
      <c r="AX181" s="68"/>
      <c r="AY181" s="69"/>
      <c r="AZ181" s="67"/>
      <c r="BA181" s="69"/>
      <c r="BB181" s="76"/>
      <c r="BC181" s="67"/>
      <c r="BD181" s="68"/>
      <c r="BE181" s="69"/>
      <c r="BF181" s="69"/>
      <c r="BG181" s="69"/>
      <c r="BH181" s="69"/>
      <c r="BI181" s="69"/>
      <c r="BJ181" s="68"/>
      <c r="BK181" s="69"/>
      <c r="BL181" s="67"/>
      <c r="BM181" s="67"/>
      <c r="BN181" s="56"/>
      <c r="BO181" s="56"/>
      <c r="BT181" s="63"/>
      <c r="BW181" s="56"/>
      <c r="BX181" s="56"/>
      <c r="BY181" s="56"/>
      <c r="BZ181" s="56"/>
      <c r="CA181" s="56"/>
      <c r="CF181" s="63"/>
      <c r="CI181" s="56"/>
      <c r="CJ181" s="56"/>
      <c r="CK181" s="56"/>
      <c r="CL181" s="56"/>
      <c r="CM181" s="56"/>
    </row>
    <row r="182" spans="18:93" ht="39.950000000000003" customHeight="1">
      <c r="R182" s="63"/>
      <c r="V182" s="170"/>
      <c r="W182" s="56"/>
      <c r="X182" s="56"/>
      <c r="Y182" s="56"/>
      <c r="AD182" s="63"/>
      <c r="AG182" s="56"/>
      <c r="AH182" s="56"/>
      <c r="AI182" s="56"/>
      <c r="AJ182" s="56"/>
      <c r="AK182" s="56"/>
      <c r="AO182" s="68"/>
      <c r="AP182" s="76"/>
      <c r="AQ182" s="67"/>
      <c r="AR182" s="68"/>
      <c r="AS182" s="69"/>
      <c r="AT182" s="69"/>
      <c r="AU182" s="69"/>
      <c r="AV182" s="69"/>
      <c r="AW182" s="69"/>
      <c r="AX182" s="68"/>
      <c r="AY182" s="69"/>
      <c r="AZ182" s="67"/>
      <c r="BA182" s="69"/>
      <c r="BB182" s="76"/>
      <c r="BC182" s="67"/>
      <c r="BD182" s="68"/>
      <c r="BE182" s="69"/>
      <c r="BF182" s="69"/>
      <c r="BG182" s="69"/>
      <c r="BH182" s="69"/>
      <c r="BI182" s="69"/>
      <c r="BJ182" s="68"/>
      <c r="BK182" s="69"/>
      <c r="BL182" s="67"/>
      <c r="BM182" s="67"/>
      <c r="BN182" s="56"/>
      <c r="BO182" s="56"/>
      <c r="BT182" s="63"/>
      <c r="BW182" s="56"/>
      <c r="BX182" s="56"/>
      <c r="BY182" s="56"/>
      <c r="BZ182" s="56"/>
      <c r="CA182" s="56"/>
      <c r="CF182" s="63"/>
      <c r="CI182" s="56"/>
      <c r="CJ182" s="56"/>
      <c r="CK182" s="56"/>
      <c r="CL182" s="56"/>
      <c r="CM182" s="56"/>
    </row>
    <row r="183" spans="18:93" ht="39.950000000000003" customHeight="1">
      <c r="R183" s="63"/>
      <c r="V183" s="170"/>
      <c r="W183" s="56"/>
      <c r="X183" s="56"/>
      <c r="Y183" s="56"/>
      <c r="AD183" s="63"/>
      <c r="AG183" s="56"/>
      <c r="AH183" s="56"/>
      <c r="AI183" s="56"/>
      <c r="AJ183" s="56"/>
      <c r="AK183" s="56"/>
      <c r="AO183" s="68"/>
      <c r="AP183" s="76"/>
      <c r="AQ183" s="67"/>
      <c r="AR183" s="68"/>
      <c r="AS183" s="69"/>
      <c r="AT183" s="69"/>
      <c r="AU183" s="69"/>
      <c r="AV183" s="69"/>
      <c r="AW183" s="69"/>
      <c r="AX183" s="68"/>
      <c r="AY183" s="69"/>
      <c r="AZ183" s="67"/>
      <c r="BA183" s="69"/>
      <c r="BB183" s="76"/>
      <c r="BC183" s="67"/>
      <c r="BD183" s="68"/>
      <c r="BE183" s="69"/>
      <c r="BF183" s="69"/>
      <c r="BG183" s="69"/>
      <c r="BH183" s="69"/>
      <c r="BI183" s="69"/>
      <c r="BJ183" s="68"/>
      <c r="BK183" s="69"/>
      <c r="BL183" s="67"/>
      <c r="BM183" s="67"/>
      <c r="BN183" s="56"/>
      <c r="BO183" s="56"/>
      <c r="BT183" s="63"/>
      <c r="BW183" s="56"/>
      <c r="BX183" s="56"/>
      <c r="BY183" s="56"/>
      <c r="BZ183" s="56"/>
      <c r="CA183" s="56"/>
      <c r="CF183" s="63"/>
      <c r="CI183" s="56"/>
      <c r="CJ183" s="56"/>
      <c r="CK183" s="56"/>
      <c r="CL183" s="56"/>
      <c r="CM183" s="56"/>
    </row>
    <row r="184" spans="18:93" ht="39.950000000000003" customHeight="1">
      <c r="AO184" s="68"/>
      <c r="AP184" s="67"/>
      <c r="AQ184" s="67"/>
      <c r="AR184" s="68"/>
      <c r="AS184" s="68"/>
      <c r="AT184" s="68"/>
      <c r="AU184" s="68"/>
      <c r="AV184" s="68"/>
      <c r="AW184" s="68"/>
      <c r="AX184" s="68"/>
      <c r="AY184" s="69"/>
      <c r="AZ184" s="67"/>
      <c r="BA184" s="68"/>
      <c r="BB184" s="67"/>
      <c r="BC184" s="67"/>
      <c r="BD184" s="68"/>
      <c r="BE184" s="68"/>
      <c r="BF184" s="68"/>
      <c r="BG184" s="68"/>
      <c r="BH184" s="68"/>
      <c r="BI184" s="68"/>
      <c r="BJ184" s="68"/>
      <c r="BK184" s="69"/>
      <c r="BL184" s="67"/>
      <c r="BM184" s="67"/>
    </row>
    <row r="185" spans="18:93" ht="39.950000000000003" customHeight="1">
      <c r="R185" s="63"/>
      <c r="S185" s="64"/>
      <c r="Y185" s="531"/>
      <c r="Z185" s="531"/>
      <c r="AA185" s="531"/>
      <c r="AD185" s="63"/>
      <c r="AE185" s="64"/>
      <c r="AK185" s="531"/>
      <c r="AL185" s="531"/>
      <c r="AM185" s="531"/>
      <c r="AO185" s="68"/>
      <c r="AP185" s="76"/>
      <c r="AQ185" s="77"/>
      <c r="AR185" s="68"/>
      <c r="AS185" s="68"/>
      <c r="AT185" s="68"/>
      <c r="AU185" s="68"/>
      <c r="AV185" s="68"/>
      <c r="AW185" s="533"/>
      <c r="AX185" s="533"/>
      <c r="AY185" s="533"/>
      <c r="AZ185" s="67"/>
      <c r="BA185" s="68"/>
      <c r="BB185" s="76"/>
      <c r="BC185" s="77"/>
      <c r="BD185" s="68"/>
      <c r="BE185" s="68"/>
      <c r="BF185" s="68"/>
      <c r="BG185" s="68"/>
      <c r="BH185" s="68"/>
      <c r="BI185" s="533"/>
      <c r="BJ185" s="533"/>
      <c r="BK185" s="533"/>
      <c r="BL185" s="67"/>
      <c r="BM185" s="67"/>
      <c r="BO185" s="531"/>
      <c r="BP185" s="531"/>
      <c r="BQ185" s="531"/>
      <c r="BT185" s="63"/>
      <c r="BU185" s="64"/>
      <c r="CA185" s="531"/>
      <c r="CB185" s="531"/>
      <c r="CC185" s="531"/>
      <c r="CF185" s="63"/>
      <c r="CG185" s="64"/>
      <c r="CM185" s="531"/>
      <c r="CN185" s="531"/>
      <c r="CO185" s="531"/>
    </row>
    <row r="186" spans="18:93" ht="39.950000000000003" customHeight="1">
      <c r="R186" s="63"/>
      <c r="V186" s="170"/>
      <c r="W186" s="56"/>
      <c r="X186" s="56"/>
      <c r="Y186" s="56"/>
      <c r="AD186" s="63"/>
      <c r="AG186" s="56"/>
      <c r="AH186" s="56"/>
      <c r="AI186" s="56"/>
      <c r="AJ186" s="56"/>
      <c r="AK186" s="56"/>
      <c r="AO186" s="68"/>
      <c r="AP186" s="76"/>
      <c r="AQ186" s="67"/>
      <c r="AR186" s="68"/>
      <c r="AS186" s="69"/>
      <c r="AT186" s="69"/>
      <c r="AU186" s="69"/>
      <c r="AV186" s="69"/>
      <c r="AW186" s="69"/>
      <c r="AX186" s="68"/>
      <c r="AY186" s="69"/>
      <c r="AZ186" s="67"/>
      <c r="BA186" s="69"/>
      <c r="BB186" s="76"/>
      <c r="BC186" s="67"/>
      <c r="BD186" s="68"/>
      <c r="BE186" s="69"/>
      <c r="BF186" s="69"/>
      <c r="BG186" s="69"/>
      <c r="BH186" s="69"/>
      <c r="BI186" s="69"/>
      <c r="BJ186" s="68"/>
      <c r="BK186" s="69"/>
      <c r="BL186" s="67"/>
      <c r="BM186" s="67"/>
      <c r="BN186" s="56"/>
      <c r="BO186" s="56"/>
      <c r="BT186" s="63"/>
      <c r="BW186" s="56"/>
      <c r="BX186" s="56"/>
      <c r="BY186" s="56"/>
      <c r="BZ186" s="56"/>
      <c r="CA186" s="56"/>
      <c r="CF186" s="63"/>
      <c r="CI186" s="56"/>
      <c r="CJ186" s="56"/>
      <c r="CK186" s="56"/>
      <c r="CL186" s="56"/>
      <c r="CM186" s="56"/>
    </row>
    <row r="187" spans="18:93" ht="39.950000000000003" customHeight="1">
      <c r="R187" s="63"/>
      <c r="V187" s="170"/>
      <c r="W187" s="56"/>
      <c r="X187" s="56"/>
      <c r="Y187" s="56"/>
      <c r="AD187" s="63"/>
      <c r="AG187" s="56"/>
      <c r="AH187" s="56"/>
      <c r="AI187" s="56"/>
      <c r="AJ187" s="56"/>
      <c r="AK187" s="56"/>
      <c r="AO187" s="68"/>
      <c r="AP187" s="76"/>
      <c r="AQ187" s="67"/>
      <c r="AR187" s="68"/>
      <c r="AS187" s="69"/>
      <c r="AT187" s="69"/>
      <c r="AU187" s="69"/>
      <c r="AV187" s="69"/>
      <c r="AW187" s="69"/>
      <c r="AX187" s="68"/>
      <c r="AY187" s="69"/>
      <c r="AZ187" s="67"/>
      <c r="BA187" s="69"/>
      <c r="BB187" s="76"/>
      <c r="BC187" s="67"/>
      <c r="BD187" s="68"/>
      <c r="BE187" s="69"/>
      <c r="BF187" s="69"/>
      <c r="BG187" s="69"/>
      <c r="BH187" s="69"/>
      <c r="BI187" s="69"/>
      <c r="BJ187" s="68"/>
      <c r="BK187" s="69"/>
      <c r="BL187" s="67"/>
      <c r="BM187" s="67"/>
      <c r="BN187" s="56"/>
      <c r="BO187" s="56"/>
      <c r="BT187" s="63"/>
      <c r="BW187" s="56"/>
      <c r="BX187" s="56"/>
      <c r="BY187" s="56"/>
      <c r="BZ187" s="56"/>
      <c r="CA187" s="56"/>
      <c r="CF187" s="63"/>
      <c r="CI187" s="56"/>
      <c r="CJ187" s="56"/>
      <c r="CK187" s="56"/>
      <c r="CL187" s="56"/>
      <c r="CM187" s="56"/>
    </row>
    <row r="188" spans="18:93" ht="39.950000000000003" customHeight="1">
      <c r="R188" s="63"/>
      <c r="V188" s="170"/>
      <c r="W188" s="56"/>
      <c r="X188" s="56"/>
      <c r="Y188" s="56"/>
      <c r="AD188" s="63"/>
      <c r="AG188" s="56"/>
      <c r="AH188" s="56"/>
      <c r="AI188" s="56"/>
      <c r="AJ188" s="56"/>
      <c r="AK188" s="56"/>
      <c r="AO188" s="68"/>
      <c r="AP188" s="76"/>
      <c r="AQ188" s="67"/>
      <c r="AR188" s="68"/>
      <c r="AS188" s="69"/>
      <c r="AT188" s="69"/>
      <c r="AU188" s="69"/>
      <c r="AV188" s="69"/>
      <c r="AW188" s="69"/>
      <c r="AX188" s="68"/>
      <c r="AY188" s="69"/>
      <c r="AZ188" s="67"/>
      <c r="BA188" s="69"/>
      <c r="BB188" s="76"/>
      <c r="BC188" s="67"/>
      <c r="BD188" s="68"/>
      <c r="BE188" s="69"/>
      <c r="BF188" s="69"/>
      <c r="BG188" s="69"/>
      <c r="BH188" s="69"/>
      <c r="BI188" s="69"/>
      <c r="BJ188" s="68"/>
      <c r="BK188" s="69"/>
      <c r="BL188" s="67"/>
      <c r="BM188" s="67"/>
      <c r="BN188" s="56"/>
      <c r="BO188" s="56"/>
      <c r="BT188" s="63"/>
      <c r="BW188" s="56"/>
      <c r="BX188" s="56"/>
      <c r="BY188" s="56"/>
      <c r="BZ188" s="56"/>
      <c r="CA188" s="56"/>
      <c r="CF188" s="63"/>
      <c r="CI188" s="56"/>
      <c r="CJ188" s="56"/>
      <c r="CK188" s="56"/>
      <c r="CL188" s="56"/>
      <c r="CM188" s="56"/>
    </row>
    <row r="189" spans="18:93" ht="39.950000000000003" customHeight="1">
      <c r="R189" s="63"/>
      <c r="V189" s="170"/>
      <c r="W189" s="56"/>
      <c r="X189" s="56"/>
      <c r="Y189" s="56"/>
      <c r="AD189" s="63"/>
      <c r="AG189" s="56"/>
      <c r="AH189" s="56"/>
      <c r="AI189" s="56"/>
      <c r="AJ189" s="56"/>
      <c r="AK189" s="56"/>
      <c r="AO189" s="68"/>
      <c r="AP189" s="76"/>
      <c r="AQ189" s="67"/>
      <c r="AR189" s="68"/>
      <c r="AS189" s="69"/>
      <c r="AT189" s="69"/>
      <c r="AU189" s="69"/>
      <c r="AV189" s="69"/>
      <c r="AW189" s="69"/>
      <c r="AX189" s="68"/>
      <c r="AY189" s="69"/>
      <c r="AZ189" s="67"/>
      <c r="BA189" s="69"/>
      <c r="BB189" s="76"/>
      <c r="BC189" s="67"/>
      <c r="BD189" s="68"/>
      <c r="BE189" s="69"/>
      <c r="BF189" s="69"/>
      <c r="BG189" s="69"/>
      <c r="BH189" s="69"/>
      <c r="BI189" s="69"/>
      <c r="BJ189" s="68"/>
      <c r="BK189" s="69"/>
      <c r="BL189" s="67"/>
      <c r="BM189" s="67"/>
      <c r="BN189" s="56"/>
      <c r="BO189" s="56"/>
      <c r="BT189" s="63"/>
      <c r="BW189" s="56"/>
      <c r="BX189" s="56"/>
      <c r="BY189" s="56"/>
      <c r="BZ189" s="56"/>
      <c r="CA189" s="56"/>
      <c r="CF189" s="63"/>
      <c r="CI189" s="56"/>
      <c r="CJ189" s="56"/>
      <c r="CK189" s="56"/>
      <c r="CL189" s="56"/>
      <c r="CM189" s="56"/>
    </row>
    <row r="190" spans="18:93" ht="18" customHeight="1">
      <c r="AO190" s="68"/>
      <c r="AP190" s="67"/>
      <c r="AQ190" s="67"/>
      <c r="AR190" s="68"/>
      <c r="AS190" s="68"/>
      <c r="AT190" s="68"/>
      <c r="AU190" s="68"/>
      <c r="AV190" s="68"/>
      <c r="AW190" s="68"/>
      <c r="AX190" s="68"/>
      <c r="AY190" s="69"/>
      <c r="AZ190" s="67"/>
      <c r="BA190" s="68"/>
      <c r="BB190" s="67"/>
      <c r="BC190" s="67"/>
      <c r="BD190" s="68"/>
      <c r="BE190" s="68"/>
      <c r="BF190" s="68"/>
      <c r="BG190" s="68"/>
      <c r="BH190" s="68"/>
      <c r="BI190" s="68"/>
      <c r="BJ190" s="68"/>
      <c r="BK190" s="69"/>
      <c r="BL190" s="67"/>
      <c r="BM190" s="67"/>
    </row>
    <row r="191" spans="18:93" ht="18" customHeight="1">
      <c r="R191" s="63"/>
      <c r="S191" s="64"/>
      <c r="Y191" s="531"/>
      <c r="Z191" s="531"/>
      <c r="AA191" s="531"/>
      <c r="AD191" s="63"/>
      <c r="AE191" s="64"/>
      <c r="AK191" s="531"/>
      <c r="AL191" s="531"/>
      <c r="AM191" s="531"/>
      <c r="AO191" s="68"/>
      <c r="AP191" s="76"/>
      <c r="AQ191" s="77"/>
      <c r="AR191" s="68"/>
      <c r="AS191" s="68"/>
      <c r="AT191" s="68"/>
      <c r="AU191" s="68"/>
      <c r="AV191" s="68"/>
      <c r="AW191" s="533"/>
      <c r="AX191" s="533"/>
      <c r="AY191" s="533"/>
      <c r="AZ191" s="67"/>
      <c r="BA191" s="68"/>
      <c r="BB191" s="76"/>
      <c r="BC191" s="77"/>
      <c r="BD191" s="68"/>
      <c r="BE191" s="68"/>
      <c r="BF191" s="68"/>
      <c r="BG191" s="68"/>
      <c r="BH191" s="68"/>
      <c r="BI191" s="533"/>
      <c r="BJ191" s="533"/>
      <c r="BK191" s="533"/>
      <c r="BL191" s="67"/>
      <c r="BM191" s="67"/>
      <c r="BO191" s="531"/>
      <c r="BP191" s="531"/>
      <c r="BQ191" s="531"/>
      <c r="BT191" s="63"/>
      <c r="BU191" s="64"/>
      <c r="CA191" s="531"/>
      <c r="CB191" s="531"/>
      <c r="CC191" s="531"/>
      <c r="CF191" s="63"/>
      <c r="CG191" s="64"/>
      <c r="CM191" s="531"/>
      <c r="CN191" s="531"/>
      <c r="CO191" s="531"/>
    </row>
    <row r="192" spans="18:93" ht="18" customHeight="1">
      <c r="R192" s="63"/>
      <c r="V192" s="170"/>
      <c r="W192" s="56"/>
      <c r="X192" s="56"/>
      <c r="Y192" s="56"/>
      <c r="AD192" s="63"/>
      <c r="AG192" s="56"/>
      <c r="AH192" s="56"/>
      <c r="AI192" s="56"/>
      <c r="AJ192" s="56"/>
      <c r="AK192" s="56"/>
      <c r="AO192" s="68"/>
      <c r="AP192" s="76"/>
      <c r="AQ192" s="67"/>
      <c r="AR192" s="68"/>
      <c r="AS192" s="69"/>
      <c r="AT192" s="69"/>
      <c r="AU192" s="69"/>
      <c r="AV192" s="69"/>
      <c r="AW192" s="69"/>
      <c r="AX192" s="68"/>
      <c r="AY192" s="69"/>
      <c r="AZ192" s="67"/>
      <c r="BA192" s="69"/>
      <c r="BB192" s="76"/>
      <c r="BC192" s="67"/>
      <c r="BD192" s="68"/>
      <c r="BE192" s="69"/>
      <c r="BF192" s="69"/>
      <c r="BG192" s="69"/>
      <c r="BH192" s="69"/>
      <c r="BI192" s="69"/>
      <c r="BJ192" s="68"/>
      <c r="BK192" s="69"/>
      <c r="BL192" s="67"/>
      <c r="BM192" s="67"/>
      <c r="BN192" s="56"/>
      <c r="BO192" s="56"/>
      <c r="BT192" s="63"/>
      <c r="BW192" s="56"/>
      <c r="BX192" s="56"/>
      <c r="BY192" s="56"/>
      <c r="BZ192" s="56"/>
      <c r="CA192" s="56"/>
      <c r="CF192" s="63"/>
      <c r="CI192" s="56"/>
      <c r="CJ192" s="56"/>
      <c r="CK192" s="56"/>
      <c r="CL192" s="56"/>
      <c r="CM192" s="56"/>
    </row>
    <row r="193" spans="18:93" ht="18" customHeight="1">
      <c r="R193" s="63"/>
      <c r="V193" s="170"/>
      <c r="W193" s="56"/>
      <c r="X193" s="56"/>
      <c r="Y193" s="56"/>
      <c r="AD193" s="63"/>
      <c r="AG193" s="56"/>
      <c r="AH193" s="56"/>
      <c r="AI193" s="56"/>
      <c r="AJ193" s="56"/>
      <c r="AK193" s="56"/>
      <c r="AO193" s="68"/>
      <c r="AP193" s="76"/>
      <c r="AQ193" s="67"/>
      <c r="AR193" s="68"/>
      <c r="AS193" s="69"/>
      <c r="AT193" s="69"/>
      <c r="AU193" s="69"/>
      <c r="AV193" s="69"/>
      <c r="AW193" s="69"/>
      <c r="AX193" s="68"/>
      <c r="AY193" s="69"/>
      <c r="AZ193" s="67"/>
      <c r="BA193" s="69"/>
      <c r="BB193" s="76"/>
      <c r="BC193" s="67"/>
      <c r="BD193" s="68"/>
      <c r="BE193" s="69"/>
      <c r="BF193" s="69"/>
      <c r="BG193" s="69"/>
      <c r="BH193" s="69"/>
      <c r="BI193" s="69"/>
      <c r="BJ193" s="68"/>
      <c r="BK193" s="69"/>
      <c r="BL193" s="67"/>
      <c r="BM193" s="67"/>
      <c r="BN193" s="56"/>
      <c r="BO193" s="56"/>
      <c r="BT193" s="63"/>
      <c r="BW193" s="56"/>
      <c r="BX193" s="56"/>
      <c r="BY193" s="56"/>
      <c r="BZ193" s="56"/>
      <c r="CA193" s="56"/>
      <c r="CF193" s="63"/>
      <c r="CI193" s="56"/>
      <c r="CJ193" s="56"/>
      <c r="CK193" s="56"/>
      <c r="CL193" s="56"/>
      <c r="CM193" s="56"/>
    </row>
    <row r="194" spans="18:93" ht="18" customHeight="1">
      <c r="R194" s="63"/>
      <c r="V194" s="170"/>
      <c r="W194" s="56"/>
      <c r="X194" s="56"/>
      <c r="Y194" s="56"/>
      <c r="AD194" s="63"/>
      <c r="AG194" s="56"/>
      <c r="AH194" s="56"/>
      <c r="AI194" s="56"/>
      <c r="AJ194" s="56"/>
      <c r="AK194" s="56"/>
      <c r="AO194" s="68"/>
      <c r="AP194" s="76"/>
      <c r="AQ194" s="67"/>
      <c r="AR194" s="68"/>
      <c r="AS194" s="69"/>
      <c r="AT194" s="69"/>
      <c r="AU194" s="69"/>
      <c r="AV194" s="69"/>
      <c r="AW194" s="69"/>
      <c r="AX194" s="68"/>
      <c r="AY194" s="69"/>
      <c r="AZ194" s="67"/>
      <c r="BA194" s="69"/>
      <c r="BB194" s="76"/>
      <c r="BC194" s="67"/>
      <c r="BD194" s="68"/>
      <c r="BE194" s="69"/>
      <c r="BF194" s="69"/>
      <c r="BG194" s="69"/>
      <c r="BH194" s="69"/>
      <c r="BI194" s="69"/>
      <c r="BJ194" s="68"/>
      <c r="BK194" s="69"/>
      <c r="BL194" s="67"/>
      <c r="BM194" s="67"/>
      <c r="BN194" s="56"/>
      <c r="BO194" s="56"/>
      <c r="BT194" s="63"/>
      <c r="BW194" s="56"/>
      <c r="BX194" s="56"/>
      <c r="BY194" s="56"/>
      <c r="BZ194" s="56"/>
      <c r="CA194" s="56"/>
      <c r="CF194" s="63"/>
      <c r="CI194" s="56"/>
      <c r="CJ194" s="56"/>
      <c r="CK194" s="56"/>
      <c r="CL194" s="56"/>
      <c r="CM194" s="56"/>
    </row>
    <row r="195" spans="18:93" ht="18" customHeight="1">
      <c r="R195" s="63"/>
      <c r="V195" s="170"/>
      <c r="W195" s="56"/>
      <c r="X195" s="56"/>
      <c r="Y195" s="56"/>
      <c r="AD195" s="63"/>
      <c r="AG195" s="56"/>
      <c r="AH195" s="56"/>
      <c r="AI195" s="56"/>
      <c r="AJ195" s="56"/>
      <c r="AK195" s="56"/>
      <c r="AO195" s="68"/>
      <c r="AP195" s="76"/>
      <c r="AQ195" s="67"/>
      <c r="AR195" s="68"/>
      <c r="AS195" s="69"/>
      <c r="AT195" s="69"/>
      <c r="AU195" s="69"/>
      <c r="AV195" s="69"/>
      <c r="AW195" s="69"/>
      <c r="AX195" s="68"/>
      <c r="AY195" s="69"/>
      <c r="AZ195" s="67"/>
      <c r="BA195" s="69"/>
      <c r="BB195" s="76"/>
      <c r="BC195" s="67"/>
      <c r="BD195" s="68"/>
      <c r="BE195" s="69"/>
      <c r="BF195" s="69"/>
      <c r="BG195" s="69"/>
      <c r="BH195" s="69"/>
      <c r="BI195" s="69"/>
      <c r="BJ195" s="68"/>
      <c r="BK195" s="69"/>
      <c r="BL195" s="67"/>
      <c r="BM195" s="67"/>
      <c r="BN195" s="56"/>
      <c r="BO195" s="56"/>
      <c r="BT195" s="63"/>
      <c r="BW195" s="56"/>
      <c r="BX195" s="56"/>
      <c r="BY195" s="56"/>
      <c r="BZ195" s="56"/>
      <c r="CA195" s="56"/>
      <c r="CF195" s="63"/>
      <c r="CI195" s="56"/>
      <c r="CJ195" s="56"/>
      <c r="CK195" s="56"/>
      <c r="CL195" s="56"/>
      <c r="CM195" s="56"/>
    </row>
    <row r="196" spans="18:93" ht="18" customHeight="1">
      <c r="AO196" s="68"/>
      <c r="AP196" s="67"/>
      <c r="AQ196" s="67"/>
      <c r="AR196" s="68"/>
      <c r="AS196" s="68"/>
      <c r="AT196" s="68"/>
      <c r="AU196" s="68"/>
      <c r="AV196" s="68"/>
      <c r="AW196" s="68"/>
      <c r="AX196" s="68"/>
      <c r="AY196" s="69"/>
      <c r="AZ196" s="67"/>
      <c r="BA196" s="68"/>
      <c r="BB196" s="67"/>
      <c r="BC196" s="67"/>
      <c r="BD196" s="68"/>
      <c r="BE196" s="68"/>
      <c r="BF196" s="68"/>
      <c r="BG196" s="68"/>
      <c r="BH196" s="68"/>
      <c r="BI196" s="68"/>
      <c r="BJ196" s="68"/>
      <c r="BK196" s="69"/>
      <c r="BL196" s="67"/>
      <c r="BM196" s="67"/>
    </row>
    <row r="197" spans="18:93" ht="18" customHeight="1">
      <c r="R197" s="63"/>
      <c r="S197" s="64"/>
      <c r="Y197" s="531"/>
      <c r="Z197" s="531"/>
      <c r="AA197" s="531"/>
      <c r="AD197" s="63"/>
      <c r="AE197" s="64"/>
      <c r="AK197" s="531"/>
      <c r="AL197" s="531"/>
      <c r="AM197" s="531"/>
      <c r="AO197" s="68"/>
      <c r="AP197" s="76"/>
      <c r="AQ197" s="77"/>
      <c r="AR197" s="68"/>
      <c r="AS197" s="68"/>
      <c r="AT197" s="68"/>
      <c r="AU197" s="68"/>
      <c r="AV197" s="68"/>
      <c r="AW197" s="533"/>
      <c r="AX197" s="533"/>
      <c r="AY197" s="533"/>
      <c r="AZ197" s="67"/>
      <c r="BA197" s="68"/>
      <c r="BB197" s="76"/>
      <c r="BC197" s="77"/>
      <c r="BD197" s="68"/>
      <c r="BE197" s="68"/>
      <c r="BF197" s="68"/>
      <c r="BG197" s="68"/>
      <c r="BH197" s="68"/>
      <c r="BI197" s="533"/>
      <c r="BJ197" s="533"/>
      <c r="BK197" s="533"/>
      <c r="BL197" s="67"/>
      <c r="BM197" s="67"/>
      <c r="BO197" s="531"/>
      <c r="BP197" s="531"/>
      <c r="BQ197" s="531"/>
      <c r="BT197" s="63"/>
      <c r="BU197" s="64"/>
      <c r="CA197" s="531"/>
      <c r="CB197" s="531"/>
      <c r="CC197" s="531"/>
      <c r="CF197" s="63"/>
      <c r="CG197" s="64"/>
      <c r="CM197" s="531"/>
      <c r="CN197" s="531"/>
      <c r="CO197" s="531"/>
    </row>
    <row r="198" spans="18:93" ht="18" customHeight="1">
      <c r="R198" s="63"/>
      <c r="V198" s="170"/>
      <c r="W198" s="56"/>
      <c r="X198" s="56"/>
      <c r="Y198" s="56"/>
      <c r="AD198" s="63"/>
      <c r="AG198" s="56"/>
      <c r="AH198" s="56"/>
      <c r="AI198" s="56"/>
      <c r="AJ198" s="56"/>
      <c r="AK198" s="56"/>
      <c r="AO198" s="68"/>
      <c r="AP198" s="76"/>
      <c r="AQ198" s="67"/>
      <c r="AR198" s="68"/>
      <c r="AS198" s="69"/>
      <c r="AT198" s="69"/>
      <c r="AU198" s="69"/>
      <c r="AV198" s="69"/>
      <c r="AW198" s="69"/>
      <c r="AX198" s="68"/>
      <c r="AY198" s="69"/>
      <c r="AZ198" s="67"/>
      <c r="BA198" s="69"/>
      <c r="BB198" s="76"/>
      <c r="BC198" s="67"/>
      <c r="BD198" s="68"/>
      <c r="BE198" s="69"/>
      <c r="BF198" s="69"/>
      <c r="BG198" s="69"/>
      <c r="BH198" s="69"/>
      <c r="BI198" s="69"/>
      <c r="BJ198" s="68"/>
      <c r="BK198" s="69"/>
      <c r="BL198" s="67"/>
      <c r="BM198" s="67"/>
      <c r="BN198" s="56"/>
      <c r="BO198" s="56"/>
      <c r="BT198" s="63"/>
      <c r="BW198" s="56"/>
      <c r="BX198" s="56"/>
      <c r="BY198" s="56"/>
      <c r="BZ198" s="56"/>
      <c r="CA198" s="56"/>
      <c r="CF198" s="63"/>
      <c r="CI198" s="56"/>
      <c r="CJ198" s="56"/>
      <c r="CK198" s="56"/>
      <c r="CL198" s="56"/>
      <c r="CM198" s="56"/>
    </row>
    <row r="199" spans="18:93" ht="18" customHeight="1">
      <c r="R199" s="63"/>
      <c r="V199" s="170"/>
      <c r="W199" s="56"/>
      <c r="X199" s="56"/>
      <c r="Y199" s="56"/>
      <c r="AD199" s="63"/>
      <c r="AG199" s="56"/>
      <c r="AH199" s="56"/>
      <c r="AI199" s="56"/>
      <c r="AJ199" s="56"/>
      <c r="AK199" s="56"/>
      <c r="AO199" s="68"/>
      <c r="AP199" s="76"/>
      <c r="AQ199" s="67"/>
      <c r="AR199" s="68"/>
      <c r="AS199" s="69"/>
      <c r="AT199" s="69"/>
      <c r="AU199" s="69"/>
      <c r="AV199" s="69"/>
      <c r="AW199" s="69"/>
      <c r="AX199" s="68"/>
      <c r="AY199" s="69"/>
      <c r="AZ199" s="67"/>
      <c r="BA199" s="69"/>
      <c r="BB199" s="76"/>
      <c r="BC199" s="67"/>
      <c r="BD199" s="68"/>
      <c r="BE199" s="69"/>
      <c r="BF199" s="69"/>
      <c r="BG199" s="69"/>
      <c r="BH199" s="69"/>
      <c r="BI199" s="69"/>
      <c r="BJ199" s="68"/>
      <c r="BK199" s="69"/>
      <c r="BL199" s="67"/>
      <c r="BM199" s="67"/>
      <c r="BN199" s="56"/>
      <c r="BO199" s="56"/>
      <c r="BT199" s="63"/>
      <c r="BW199" s="56"/>
      <c r="BX199" s="56"/>
      <c r="BY199" s="56"/>
      <c r="BZ199" s="56"/>
      <c r="CA199" s="56"/>
      <c r="CF199" s="63"/>
      <c r="CI199" s="56"/>
      <c r="CJ199" s="56"/>
      <c r="CK199" s="56"/>
      <c r="CL199" s="56"/>
      <c r="CM199" s="56"/>
    </row>
    <row r="200" spans="18:93" ht="18" customHeight="1">
      <c r="R200" s="63"/>
      <c r="V200" s="170"/>
      <c r="W200" s="56"/>
      <c r="X200" s="56"/>
      <c r="Y200" s="56"/>
      <c r="AD200" s="63"/>
      <c r="AG200" s="56"/>
      <c r="AH200" s="56"/>
      <c r="AI200" s="56"/>
      <c r="AJ200" s="56"/>
      <c r="AK200" s="56"/>
      <c r="AO200" s="68"/>
      <c r="AP200" s="76"/>
      <c r="AQ200" s="67"/>
      <c r="AR200" s="68"/>
      <c r="AS200" s="69"/>
      <c r="AT200" s="69"/>
      <c r="AU200" s="69"/>
      <c r="AV200" s="69"/>
      <c r="AW200" s="69"/>
      <c r="AX200" s="68"/>
      <c r="AY200" s="69"/>
      <c r="AZ200" s="67"/>
      <c r="BA200" s="69"/>
      <c r="BB200" s="76"/>
      <c r="BC200" s="67"/>
      <c r="BD200" s="68"/>
      <c r="BE200" s="69"/>
      <c r="BF200" s="69"/>
      <c r="BG200" s="69"/>
      <c r="BH200" s="69"/>
      <c r="BI200" s="69"/>
      <c r="BJ200" s="68"/>
      <c r="BK200" s="69"/>
      <c r="BL200" s="67"/>
      <c r="BM200" s="67"/>
      <c r="BN200" s="56"/>
      <c r="BO200" s="56"/>
      <c r="BT200" s="63"/>
      <c r="BW200" s="56"/>
      <c r="BX200" s="56"/>
      <c r="BY200" s="56"/>
      <c r="BZ200" s="56"/>
      <c r="CA200" s="56"/>
      <c r="CF200" s="63"/>
      <c r="CI200" s="56"/>
      <c r="CJ200" s="56"/>
      <c r="CK200" s="56"/>
      <c r="CL200" s="56"/>
      <c r="CM200" s="56"/>
    </row>
    <row r="201" spans="18:93" ht="18" customHeight="1">
      <c r="R201" s="63"/>
      <c r="V201" s="170"/>
      <c r="W201" s="56"/>
      <c r="X201" s="56"/>
      <c r="Y201" s="56"/>
      <c r="AD201" s="63"/>
      <c r="AG201" s="56"/>
      <c r="AH201" s="56"/>
      <c r="AI201" s="56"/>
      <c r="AJ201" s="56"/>
      <c r="AK201" s="56"/>
      <c r="AO201" s="68"/>
      <c r="AP201" s="76"/>
      <c r="AQ201" s="67"/>
      <c r="AR201" s="68"/>
      <c r="AS201" s="69"/>
      <c r="AT201" s="69"/>
      <c r="AU201" s="69"/>
      <c r="AV201" s="69"/>
      <c r="AW201" s="69"/>
      <c r="AX201" s="68"/>
      <c r="AY201" s="69"/>
      <c r="AZ201" s="67"/>
      <c r="BA201" s="69"/>
      <c r="BB201" s="76"/>
      <c r="BC201" s="67"/>
      <c r="BD201" s="68"/>
      <c r="BE201" s="69"/>
      <c r="BF201" s="69"/>
      <c r="BG201" s="69"/>
      <c r="BH201" s="69"/>
      <c r="BI201" s="69"/>
      <c r="BJ201" s="68"/>
      <c r="BK201" s="69"/>
      <c r="BL201" s="67"/>
      <c r="BM201" s="67"/>
      <c r="BN201" s="56"/>
      <c r="BO201" s="56"/>
      <c r="BT201" s="63"/>
      <c r="BW201" s="56"/>
      <c r="BX201" s="56"/>
      <c r="BY201" s="56"/>
      <c r="BZ201" s="56"/>
      <c r="CA201" s="56"/>
      <c r="CF201" s="63"/>
      <c r="CI201" s="56"/>
      <c r="CJ201" s="56"/>
      <c r="CK201" s="56"/>
      <c r="CL201" s="56"/>
      <c r="CM201" s="56"/>
    </row>
    <row r="202" spans="18:93" ht="18" customHeight="1">
      <c r="AO202" s="68"/>
      <c r="AP202" s="67"/>
      <c r="AQ202" s="67"/>
      <c r="AR202" s="68"/>
      <c r="AS202" s="68"/>
      <c r="AT202" s="68"/>
      <c r="AU202" s="68"/>
      <c r="AV202" s="68"/>
      <c r="AW202" s="68"/>
      <c r="AX202" s="68"/>
      <c r="AY202" s="69"/>
      <c r="AZ202" s="67"/>
      <c r="BA202" s="68"/>
      <c r="BB202" s="67"/>
      <c r="BC202" s="67"/>
      <c r="BD202" s="68"/>
      <c r="BE202" s="68"/>
      <c r="BF202" s="68"/>
      <c r="BG202" s="68"/>
      <c r="BH202" s="68"/>
      <c r="BI202" s="68"/>
      <c r="BJ202" s="68"/>
      <c r="BK202" s="69"/>
      <c r="BL202" s="67"/>
      <c r="BM202" s="67"/>
    </row>
    <row r="203" spans="18:93" ht="18" customHeight="1">
      <c r="R203" s="63"/>
      <c r="S203" s="64"/>
      <c r="Y203" s="531"/>
      <c r="Z203" s="531"/>
      <c r="AA203" s="531"/>
      <c r="AD203" s="63"/>
      <c r="AE203" s="64"/>
      <c r="AK203" s="531"/>
      <c r="AL203" s="531"/>
      <c r="AM203" s="531"/>
      <c r="AO203" s="68"/>
      <c r="AP203" s="76"/>
      <c r="AQ203" s="77"/>
      <c r="AR203" s="68"/>
      <c r="AS203" s="68"/>
      <c r="AT203" s="68"/>
      <c r="AU203" s="68"/>
      <c r="AV203" s="68"/>
      <c r="AW203" s="533"/>
      <c r="AX203" s="533"/>
      <c r="AY203" s="533"/>
      <c r="AZ203" s="67"/>
      <c r="BA203" s="68"/>
      <c r="BB203" s="76"/>
      <c r="BC203" s="77"/>
      <c r="BD203" s="68"/>
      <c r="BE203" s="68"/>
      <c r="BF203" s="68"/>
      <c r="BG203" s="68"/>
      <c r="BH203" s="68"/>
      <c r="BI203" s="533"/>
      <c r="BJ203" s="533"/>
      <c r="BK203" s="533"/>
      <c r="BL203" s="67"/>
      <c r="BM203" s="67"/>
      <c r="BO203" s="531"/>
      <c r="BP203" s="531"/>
      <c r="BQ203" s="531"/>
      <c r="BT203" s="63"/>
      <c r="BU203" s="64"/>
      <c r="CA203" s="531"/>
      <c r="CB203" s="531"/>
      <c r="CC203" s="531"/>
      <c r="CF203" s="63"/>
      <c r="CG203" s="64"/>
      <c r="CM203" s="531"/>
      <c r="CN203" s="531"/>
      <c r="CO203" s="531"/>
    </row>
    <row r="204" spans="18:93" ht="18" customHeight="1">
      <c r="R204" s="63"/>
      <c r="V204" s="170"/>
      <c r="W204" s="56"/>
      <c r="X204" s="56"/>
      <c r="Y204" s="56"/>
      <c r="AD204" s="63"/>
      <c r="AG204" s="56"/>
      <c r="AH204" s="56"/>
      <c r="AI204" s="56"/>
      <c r="AJ204" s="56"/>
      <c r="AK204" s="56"/>
      <c r="AO204" s="68"/>
      <c r="AP204" s="76"/>
      <c r="AQ204" s="67"/>
      <c r="AR204" s="68"/>
      <c r="AS204" s="69"/>
      <c r="AT204" s="69"/>
      <c r="AU204" s="69"/>
      <c r="AV204" s="69"/>
      <c r="AW204" s="69"/>
      <c r="AX204" s="68"/>
      <c r="AY204" s="69"/>
      <c r="AZ204" s="67"/>
      <c r="BA204" s="69"/>
      <c r="BB204" s="76"/>
      <c r="BC204" s="67"/>
      <c r="BD204" s="68"/>
      <c r="BE204" s="69"/>
      <c r="BF204" s="69"/>
      <c r="BG204" s="69"/>
      <c r="BH204" s="69"/>
      <c r="BI204" s="69"/>
      <c r="BJ204" s="68"/>
      <c r="BK204" s="69"/>
      <c r="BL204" s="67"/>
      <c r="BM204" s="67"/>
      <c r="BN204" s="56"/>
      <c r="BO204" s="56"/>
      <c r="BT204" s="63"/>
      <c r="BW204" s="56"/>
      <c r="BX204" s="56"/>
      <c r="BY204" s="56"/>
      <c r="BZ204" s="56"/>
      <c r="CA204" s="56"/>
      <c r="CF204" s="63"/>
      <c r="CI204" s="56"/>
      <c r="CJ204" s="56"/>
      <c r="CK204" s="56"/>
      <c r="CL204" s="56"/>
      <c r="CM204" s="56"/>
    </row>
    <row r="205" spans="18:93" ht="18" customHeight="1">
      <c r="R205" s="63"/>
      <c r="V205" s="170"/>
      <c r="W205" s="56"/>
      <c r="X205" s="56"/>
      <c r="Y205" s="56"/>
      <c r="AD205" s="63"/>
      <c r="AG205" s="56"/>
      <c r="AH205" s="56"/>
      <c r="AI205" s="56"/>
      <c r="AJ205" s="56"/>
      <c r="AK205" s="56"/>
      <c r="AO205" s="68"/>
      <c r="AP205" s="76"/>
      <c r="AQ205" s="67"/>
      <c r="AR205" s="68"/>
      <c r="AS205" s="69"/>
      <c r="AT205" s="69"/>
      <c r="AU205" s="69"/>
      <c r="AV205" s="69"/>
      <c r="AW205" s="69"/>
      <c r="AX205" s="68"/>
      <c r="AY205" s="69"/>
      <c r="AZ205" s="67"/>
      <c r="BA205" s="69"/>
      <c r="BB205" s="76"/>
      <c r="BC205" s="67"/>
      <c r="BD205" s="68"/>
      <c r="BE205" s="69"/>
      <c r="BF205" s="69"/>
      <c r="BG205" s="69"/>
      <c r="BH205" s="69"/>
      <c r="BI205" s="69"/>
      <c r="BJ205" s="68"/>
      <c r="BK205" s="69"/>
      <c r="BL205" s="67"/>
      <c r="BM205" s="67"/>
      <c r="BN205" s="56"/>
      <c r="BO205" s="56"/>
      <c r="BT205" s="63"/>
      <c r="BW205" s="56"/>
      <c r="BX205" s="56"/>
      <c r="BY205" s="56"/>
      <c r="BZ205" s="56"/>
      <c r="CA205" s="56"/>
      <c r="CF205" s="63"/>
      <c r="CI205" s="56"/>
      <c r="CJ205" s="56"/>
      <c r="CK205" s="56"/>
      <c r="CL205" s="56"/>
      <c r="CM205" s="56"/>
    </row>
    <row r="206" spans="18:93" ht="18" customHeight="1">
      <c r="R206" s="63"/>
      <c r="V206" s="170"/>
      <c r="W206" s="56"/>
      <c r="X206" s="56"/>
      <c r="Y206" s="56"/>
      <c r="AD206" s="63"/>
      <c r="AG206" s="56"/>
      <c r="AH206" s="56"/>
      <c r="AI206" s="56"/>
      <c r="AJ206" s="56"/>
      <c r="AK206" s="56"/>
      <c r="AO206" s="68"/>
      <c r="AP206" s="76"/>
      <c r="AQ206" s="67"/>
      <c r="AR206" s="68"/>
      <c r="AS206" s="69"/>
      <c r="AT206" s="69"/>
      <c r="AU206" s="69"/>
      <c r="AV206" s="69"/>
      <c r="AW206" s="69"/>
      <c r="AX206" s="68"/>
      <c r="AY206" s="69"/>
      <c r="AZ206" s="67"/>
      <c r="BA206" s="69"/>
      <c r="BB206" s="76"/>
      <c r="BC206" s="67"/>
      <c r="BD206" s="68"/>
      <c r="BE206" s="69"/>
      <c r="BF206" s="69"/>
      <c r="BG206" s="69"/>
      <c r="BH206" s="69"/>
      <c r="BI206" s="69"/>
      <c r="BJ206" s="68"/>
      <c r="BK206" s="69"/>
      <c r="BL206" s="67"/>
      <c r="BM206" s="67"/>
      <c r="BN206" s="56"/>
      <c r="BO206" s="56"/>
      <c r="BT206" s="63"/>
      <c r="BW206" s="56"/>
      <c r="BX206" s="56"/>
      <c r="BY206" s="56"/>
      <c r="BZ206" s="56"/>
      <c r="CA206" s="56"/>
      <c r="CF206" s="63"/>
      <c r="CI206" s="56"/>
      <c r="CJ206" s="56"/>
      <c r="CK206" s="56"/>
      <c r="CL206" s="56"/>
      <c r="CM206" s="56"/>
    </row>
    <row r="207" spans="18:93" ht="18" customHeight="1">
      <c r="R207" s="63"/>
      <c r="V207" s="170"/>
      <c r="W207" s="56"/>
      <c r="X207" s="56"/>
      <c r="Y207" s="56"/>
      <c r="AD207" s="63"/>
      <c r="AG207" s="56"/>
      <c r="AH207" s="56"/>
      <c r="AI207" s="56"/>
      <c r="AJ207" s="56"/>
      <c r="AK207" s="56"/>
      <c r="AO207" s="68"/>
      <c r="AP207" s="76"/>
      <c r="AQ207" s="67"/>
      <c r="AR207" s="68"/>
      <c r="AS207" s="69"/>
      <c r="AT207" s="69"/>
      <c r="AU207" s="69"/>
      <c r="AV207" s="69"/>
      <c r="AW207" s="69"/>
      <c r="AX207" s="68"/>
      <c r="AY207" s="69"/>
      <c r="AZ207" s="67"/>
      <c r="BA207" s="69"/>
      <c r="BB207" s="76"/>
      <c r="BC207" s="67"/>
      <c r="BD207" s="68"/>
      <c r="BE207" s="69"/>
      <c r="BF207" s="69"/>
      <c r="BG207" s="69"/>
      <c r="BH207" s="69"/>
      <c r="BI207" s="69"/>
      <c r="BJ207" s="68"/>
      <c r="BK207" s="69"/>
      <c r="BL207" s="67"/>
      <c r="BM207" s="67"/>
      <c r="BN207" s="56"/>
      <c r="BO207" s="56"/>
      <c r="BT207" s="63"/>
      <c r="BW207" s="56"/>
      <c r="BX207" s="56"/>
      <c r="BY207" s="56"/>
      <c r="BZ207" s="56"/>
      <c r="CA207" s="56"/>
      <c r="CF207" s="63"/>
      <c r="CI207" s="56"/>
      <c r="CJ207" s="56"/>
      <c r="CK207" s="56"/>
      <c r="CL207" s="56"/>
      <c r="CM207" s="56"/>
    </row>
    <row r="208" spans="18:93" ht="18" customHeight="1">
      <c r="AO208" s="68"/>
      <c r="AP208" s="67"/>
      <c r="AQ208" s="67"/>
      <c r="AR208" s="68"/>
      <c r="AS208" s="68"/>
      <c r="AT208" s="68"/>
      <c r="AU208" s="68"/>
      <c r="AV208" s="68"/>
      <c r="AW208" s="68"/>
      <c r="AX208" s="68"/>
      <c r="AY208" s="69"/>
      <c r="AZ208" s="67"/>
      <c r="BA208" s="68"/>
      <c r="BB208" s="67"/>
      <c r="BC208" s="67"/>
      <c r="BD208" s="68"/>
      <c r="BE208" s="68"/>
      <c r="BF208" s="68"/>
      <c r="BG208" s="68"/>
      <c r="BH208" s="68"/>
      <c r="BI208" s="68"/>
      <c r="BJ208" s="68"/>
      <c r="BK208" s="69"/>
      <c r="BL208" s="67"/>
      <c r="BM208" s="67"/>
    </row>
    <row r="209" spans="18:93" ht="18" customHeight="1">
      <c r="R209" s="63"/>
      <c r="S209" s="64"/>
      <c r="Y209" s="531"/>
      <c r="Z209" s="531"/>
      <c r="AA209" s="531"/>
      <c r="AD209" s="63"/>
      <c r="AE209" s="64"/>
      <c r="AK209" s="531"/>
      <c r="AL209" s="531"/>
      <c r="AM209" s="531"/>
      <c r="AO209" s="68"/>
      <c r="AP209" s="76"/>
      <c r="AQ209" s="77"/>
      <c r="AR209" s="68"/>
      <c r="AS209" s="68"/>
      <c r="AT209" s="68"/>
      <c r="AU209" s="68"/>
      <c r="AV209" s="68"/>
      <c r="AW209" s="533"/>
      <c r="AX209" s="533"/>
      <c r="AY209" s="533"/>
      <c r="AZ209" s="67"/>
      <c r="BA209" s="68"/>
      <c r="BB209" s="76"/>
      <c r="BC209" s="77"/>
      <c r="BD209" s="68"/>
      <c r="BE209" s="68"/>
      <c r="BF209" s="68"/>
      <c r="BG209" s="68"/>
      <c r="BH209" s="68"/>
      <c r="BI209" s="533"/>
      <c r="BJ209" s="533"/>
      <c r="BK209" s="533"/>
      <c r="BL209" s="67"/>
      <c r="BM209" s="67"/>
      <c r="BO209" s="531"/>
      <c r="BP209" s="531"/>
      <c r="BQ209" s="531"/>
      <c r="BT209" s="63"/>
      <c r="BU209" s="64"/>
      <c r="CA209" s="531"/>
      <c r="CB209" s="531"/>
      <c r="CC209" s="531"/>
      <c r="CF209" s="63"/>
      <c r="CG209" s="64"/>
      <c r="CM209" s="531"/>
      <c r="CN209" s="531"/>
      <c r="CO209" s="531"/>
    </row>
    <row r="210" spans="18:93" ht="18" customHeight="1">
      <c r="R210" s="63"/>
      <c r="V210" s="170"/>
      <c r="W210" s="56"/>
      <c r="X210" s="56"/>
      <c r="Y210" s="56"/>
      <c r="AD210" s="63"/>
      <c r="AG210" s="56"/>
      <c r="AH210" s="56"/>
      <c r="AI210" s="56"/>
      <c r="AJ210" s="56"/>
      <c r="AK210" s="56"/>
      <c r="AO210" s="68"/>
      <c r="AP210" s="76"/>
      <c r="AQ210" s="67"/>
      <c r="AR210" s="68"/>
      <c r="AS210" s="69"/>
      <c r="AT210" s="69"/>
      <c r="AU210" s="69"/>
      <c r="AV210" s="69"/>
      <c r="AW210" s="69"/>
      <c r="AX210" s="68"/>
      <c r="AY210" s="69"/>
      <c r="AZ210" s="67"/>
      <c r="BA210" s="69"/>
      <c r="BB210" s="76"/>
      <c r="BC210" s="67"/>
      <c r="BD210" s="68"/>
      <c r="BE210" s="69"/>
      <c r="BF210" s="69"/>
      <c r="BG210" s="69"/>
      <c r="BH210" s="69"/>
      <c r="BI210" s="69"/>
      <c r="BJ210" s="68"/>
      <c r="BK210" s="69"/>
      <c r="BL210" s="67"/>
      <c r="BM210" s="67"/>
      <c r="BN210" s="56"/>
      <c r="BO210" s="56"/>
      <c r="BT210" s="63"/>
      <c r="BW210" s="56"/>
      <c r="BX210" s="56"/>
      <c r="BY210" s="56"/>
      <c r="BZ210" s="56"/>
      <c r="CA210" s="56"/>
      <c r="CF210" s="63"/>
      <c r="CI210" s="56"/>
      <c r="CJ210" s="56"/>
      <c r="CK210" s="56"/>
      <c r="CL210" s="56"/>
      <c r="CM210" s="56"/>
    </row>
    <row r="211" spans="18:93" ht="18" customHeight="1">
      <c r="R211" s="63"/>
      <c r="V211" s="170"/>
      <c r="W211" s="56"/>
      <c r="X211" s="56"/>
      <c r="Y211" s="56"/>
      <c r="AD211" s="63"/>
      <c r="AG211" s="56"/>
      <c r="AH211" s="56"/>
      <c r="AI211" s="56"/>
      <c r="AJ211" s="56"/>
      <c r="AK211" s="56"/>
      <c r="AO211" s="68"/>
      <c r="AP211" s="76"/>
      <c r="AQ211" s="67"/>
      <c r="AR211" s="68"/>
      <c r="AS211" s="69"/>
      <c r="AT211" s="69"/>
      <c r="AU211" s="69"/>
      <c r="AV211" s="69"/>
      <c r="AW211" s="69"/>
      <c r="AX211" s="68"/>
      <c r="AY211" s="69"/>
      <c r="AZ211" s="67"/>
      <c r="BA211" s="69"/>
      <c r="BB211" s="76"/>
      <c r="BC211" s="67"/>
      <c r="BD211" s="68"/>
      <c r="BE211" s="69"/>
      <c r="BF211" s="69"/>
      <c r="BG211" s="69"/>
      <c r="BH211" s="69"/>
      <c r="BI211" s="69"/>
      <c r="BJ211" s="68"/>
      <c r="BK211" s="69"/>
      <c r="BL211" s="67"/>
      <c r="BM211" s="67"/>
      <c r="BN211" s="56"/>
      <c r="BO211" s="56"/>
      <c r="BT211" s="63"/>
      <c r="BW211" s="56"/>
      <c r="BX211" s="56"/>
      <c r="BY211" s="56"/>
      <c r="BZ211" s="56"/>
      <c r="CA211" s="56"/>
      <c r="CF211" s="63"/>
      <c r="CI211" s="56"/>
      <c r="CJ211" s="56"/>
      <c r="CK211" s="56"/>
      <c r="CL211" s="56"/>
      <c r="CM211" s="56"/>
    </row>
    <row r="212" spans="18:93" ht="18" customHeight="1">
      <c r="R212" s="63"/>
      <c r="V212" s="170"/>
      <c r="W212" s="56"/>
      <c r="X212" s="56"/>
      <c r="Y212" s="56"/>
      <c r="AD212" s="63"/>
      <c r="AG212" s="56"/>
      <c r="AH212" s="56"/>
      <c r="AI212" s="56"/>
      <c r="AJ212" s="56"/>
      <c r="AK212" s="56"/>
      <c r="AO212" s="68"/>
      <c r="AP212" s="76"/>
      <c r="AQ212" s="67"/>
      <c r="AR212" s="68"/>
      <c r="AS212" s="69"/>
      <c r="AT212" s="69"/>
      <c r="AU212" s="69"/>
      <c r="AV212" s="69"/>
      <c r="AW212" s="69"/>
      <c r="AX212" s="68"/>
      <c r="AY212" s="69"/>
      <c r="AZ212" s="67"/>
      <c r="BA212" s="69"/>
      <c r="BB212" s="76"/>
      <c r="BC212" s="67"/>
      <c r="BD212" s="68"/>
      <c r="BE212" s="69"/>
      <c r="BF212" s="69"/>
      <c r="BG212" s="69"/>
      <c r="BH212" s="69"/>
      <c r="BI212" s="69"/>
      <c r="BJ212" s="68"/>
      <c r="BK212" s="69"/>
      <c r="BL212" s="67"/>
      <c r="BM212" s="67"/>
      <c r="BN212" s="56"/>
      <c r="BO212" s="56"/>
      <c r="BT212" s="63"/>
      <c r="BW212" s="56"/>
      <c r="BX212" s="56"/>
      <c r="BY212" s="56"/>
      <c r="BZ212" s="56"/>
      <c r="CA212" s="56"/>
      <c r="CF212" s="63"/>
      <c r="CI212" s="56"/>
      <c r="CJ212" s="56"/>
      <c r="CK212" s="56"/>
      <c r="CL212" s="56"/>
      <c r="CM212" s="56"/>
    </row>
    <row r="213" spans="18:93" ht="18" customHeight="1">
      <c r="R213" s="63"/>
      <c r="V213" s="170"/>
      <c r="W213" s="56"/>
      <c r="X213" s="56"/>
      <c r="Y213" s="56"/>
      <c r="AD213" s="63"/>
      <c r="AG213" s="56"/>
      <c r="AH213" s="56"/>
      <c r="AI213" s="56"/>
      <c r="AJ213" s="56"/>
      <c r="AK213" s="56"/>
      <c r="AO213" s="68"/>
      <c r="AP213" s="76"/>
      <c r="AQ213" s="67"/>
      <c r="AR213" s="68"/>
      <c r="AS213" s="69"/>
      <c r="AT213" s="69"/>
      <c r="AU213" s="69"/>
      <c r="AV213" s="69"/>
      <c r="AW213" s="69"/>
      <c r="AX213" s="68"/>
      <c r="AY213" s="69"/>
      <c r="AZ213" s="67"/>
      <c r="BA213" s="69"/>
      <c r="BB213" s="76"/>
      <c r="BC213" s="67"/>
      <c r="BD213" s="68"/>
      <c r="BE213" s="69"/>
      <c r="BF213" s="69"/>
      <c r="BG213" s="69"/>
      <c r="BH213" s="69"/>
      <c r="BI213" s="69"/>
      <c r="BJ213" s="68"/>
      <c r="BK213" s="69"/>
      <c r="BL213" s="67"/>
      <c r="BM213" s="67"/>
      <c r="BN213" s="56"/>
      <c r="BO213" s="56"/>
      <c r="BT213" s="63"/>
      <c r="BW213" s="56"/>
      <c r="BX213" s="56"/>
      <c r="BY213" s="56"/>
      <c r="BZ213" s="56"/>
      <c r="CA213" s="56"/>
      <c r="CF213" s="63"/>
      <c r="CI213" s="56"/>
      <c r="CJ213" s="56"/>
      <c r="CK213" s="56"/>
      <c r="CL213" s="56"/>
      <c r="CM213" s="56"/>
    </row>
    <row r="214" spans="18:93" ht="18" customHeight="1">
      <c r="AO214" s="68"/>
      <c r="AP214" s="67"/>
      <c r="AQ214" s="67"/>
      <c r="AR214" s="68"/>
      <c r="AS214" s="68"/>
      <c r="AT214" s="68"/>
      <c r="AU214" s="68"/>
      <c r="AV214" s="68"/>
      <c r="AW214" s="68"/>
      <c r="AX214" s="68"/>
      <c r="AY214" s="69"/>
      <c r="AZ214" s="67"/>
      <c r="BA214" s="68"/>
      <c r="BB214" s="67"/>
      <c r="BC214" s="67"/>
      <c r="BD214" s="68"/>
      <c r="BE214" s="68"/>
      <c r="BF214" s="68"/>
      <c r="BG214" s="68"/>
      <c r="BH214" s="68"/>
      <c r="BI214" s="68"/>
      <c r="BJ214" s="68"/>
      <c r="BK214" s="69"/>
      <c r="BL214" s="67"/>
      <c r="BM214" s="67"/>
    </row>
    <row r="215" spans="18:93" ht="18" customHeight="1">
      <c r="R215" s="63"/>
      <c r="S215" s="64"/>
      <c r="Y215" s="531"/>
      <c r="Z215" s="531"/>
      <c r="AA215" s="531"/>
      <c r="AD215" s="63"/>
      <c r="AE215" s="64"/>
      <c r="AK215" s="531"/>
      <c r="AL215" s="531"/>
      <c r="AM215" s="531"/>
      <c r="AO215" s="68"/>
      <c r="AP215" s="76"/>
      <c r="AQ215" s="77"/>
      <c r="AR215" s="68"/>
      <c r="AS215" s="68"/>
      <c r="AT215" s="68"/>
      <c r="AU215" s="68"/>
      <c r="AV215" s="68"/>
      <c r="AW215" s="533"/>
      <c r="AX215" s="533"/>
      <c r="AY215" s="533"/>
      <c r="AZ215" s="67"/>
      <c r="BA215" s="68"/>
      <c r="BB215" s="76"/>
      <c r="BC215" s="77"/>
      <c r="BD215" s="68"/>
      <c r="BE215" s="68"/>
      <c r="BF215" s="68"/>
      <c r="BG215" s="68"/>
      <c r="BH215" s="68"/>
      <c r="BI215" s="533"/>
      <c r="BJ215" s="533"/>
      <c r="BK215" s="533"/>
      <c r="BL215" s="67"/>
      <c r="BM215" s="67"/>
      <c r="BO215" s="531"/>
      <c r="BP215" s="531"/>
      <c r="BQ215" s="531"/>
      <c r="BT215" s="63"/>
      <c r="BU215" s="64"/>
      <c r="CA215" s="531"/>
      <c r="CB215" s="531"/>
      <c r="CC215" s="531"/>
      <c r="CF215" s="63"/>
      <c r="CG215" s="64"/>
      <c r="CM215" s="531"/>
      <c r="CN215" s="531"/>
      <c r="CO215" s="531"/>
    </row>
    <row r="216" spans="18:93" ht="18" customHeight="1">
      <c r="R216" s="63"/>
      <c r="V216" s="170"/>
      <c r="W216" s="56"/>
      <c r="X216" s="56"/>
      <c r="Y216" s="56"/>
      <c r="AD216" s="63"/>
      <c r="AG216" s="56"/>
      <c r="AH216" s="56"/>
      <c r="AI216" s="56"/>
      <c r="AJ216" s="56"/>
      <c r="AK216" s="56"/>
      <c r="AO216" s="68"/>
      <c r="AP216" s="76"/>
      <c r="AQ216" s="67"/>
      <c r="AR216" s="68"/>
      <c r="AS216" s="69"/>
      <c r="AT216" s="69"/>
      <c r="AU216" s="69"/>
      <c r="AV216" s="69"/>
      <c r="AW216" s="69"/>
      <c r="AX216" s="68"/>
      <c r="AY216" s="69"/>
      <c r="AZ216" s="67"/>
      <c r="BA216" s="69"/>
      <c r="BB216" s="76"/>
      <c r="BC216" s="67"/>
      <c r="BD216" s="68"/>
      <c r="BE216" s="69"/>
      <c r="BF216" s="69"/>
      <c r="BG216" s="69"/>
      <c r="BH216" s="69"/>
      <c r="BI216" s="69"/>
      <c r="BJ216" s="68"/>
      <c r="BK216" s="69"/>
      <c r="BL216" s="67"/>
      <c r="BM216" s="67"/>
      <c r="BN216" s="56"/>
      <c r="BO216" s="56"/>
      <c r="BT216" s="63"/>
      <c r="BW216" s="56"/>
      <c r="BX216" s="56"/>
      <c r="BY216" s="56"/>
      <c r="BZ216" s="56"/>
      <c r="CA216" s="56"/>
      <c r="CF216" s="63"/>
      <c r="CI216" s="56"/>
      <c r="CJ216" s="56"/>
      <c r="CK216" s="56"/>
      <c r="CL216" s="56"/>
      <c r="CM216" s="56"/>
    </row>
    <row r="217" spans="18:93" ht="18" customHeight="1">
      <c r="R217" s="63"/>
      <c r="V217" s="170"/>
      <c r="W217" s="56"/>
      <c r="X217" s="56"/>
      <c r="Y217" s="56"/>
      <c r="AD217" s="63"/>
      <c r="AG217" s="56"/>
      <c r="AH217" s="56"/>
      <c r="AI217" s="56"/>
      <c r="AJ217" s="56"/>
      <c r="AK217" s="56"/>
      <c r="AO217" s="68"/>
      <c r="AP217" s="76"/>
      <c r="AQ217" s="67"/>
      <c r="AR217" s="68"/>
      <c r="AS217" s="69"/>
      <c r="AT217" s="69"/>
      <c r="AU217" s="69"/>
      <c r="AV217" s="69"/>
      <c r="AW217" s="69"/>
      <c r="AX217" s="68"/>
      <c r="AY217" s="69"/>
      <c r="AZ217" s="67"/>
      <c r="BA217" s="69"/>
      <c r="BB217" s="76"/>
      <c r="BC217" s="67"/>
      <c r="BD217" s="68"/>
      <c r="BE217" s="69"/>
      <c r="BF217" s="69"/>
      <c r="BG217" s="69"/>
      <c r="BH217" s="69"/>
      <c r="BI217" s="69"/>
      <c r="BJ217" s="68"/>
      <c r="BK217" s="69"/>
      <c r="BL217" s="67"/>
      <c r="BM217" s="67"/>
      <c r="BN217" s="56"/>
      <c r="BO217" s="56"/>
      <c r="BT217" s="63"/>
      <c r="BW217" s="56"/>
      <c r="BX217" s="56"/>
      <c r="BY217" s="56"/>
      <c r="BZ217" s="56"/>
      <c r="CA217" s="56"/>
      <c r="CF217" s="63"/>
      <c r="CI217" s="56"/>
      <c r="CJ217" s="56"/>
      <c r="CK217" s="56"/>
      <c r="CL217" s="56"/>
      <c r="CM217" s="56"/>
    </row>
    <row r="218" spans="18:93" ht="18" customHeight="1">
      <c r="R218" s="63"/>
      <c r="V218" s="170"/>
      <c r="W218" s="56"/>
      <c r="X218" s="56"/>
      <c r="Y218" s="56"/>
      <c r="AD218" s="63"/>
      <c r="AG218" s="56"/>
      <c r="AH218" s="56"/>
      <c r="AI218" s="56"/>
      <c r="AJ218" s="56"/>
      <c r="AK218" s="56"/>
      <c r="AO218" s="68"/>
      <c r="AP218" s="76"/>
      <c r="AQ218" s="67"/>
      <c r="AR218" s="68"/>
      <c r="AS218" s="69"/>
      <c r="AT218" s="69"/>
      <c r="AU218" s="69"/>
      <c r="AV218" s="69"/>
      <c r="AW218" s="69"/>
      <c r="AX218" s="68"/>
      <c r="AY218" s="69"/>
      <c r="AZ218" s="67"/>
      <c r="BA218" s="69"/>
      <c r="BB218" s="76"/>
      <c r="BC218" s="67"/>
      <c r="BD218" s="68"/>
      <c r="BE218" s="69"/>
      <c r="BF218" s="69"/>
      <c r="BG218" s="69"/>
      <c r="BH218" s="69"/>
      <c r="BI218" s="69"/>
      <c r="BJ218" s="68"/>
      <c r="BK218" s="69"/>
      <c r="BL218" s="67"/>
      <c r="BM218" s="67"/>
      <c r="BN218" s="56"/>
      <c r="BO218" s="56"/>
      <c r="BT218" s="63"/>
      <c r="BW218" s="56"/>
      <c r="BX218" s="56"/>
      <c r="BY218" s="56"/>
      <c r="BZ218" s="56"/>
      <c r="CA218" s="56"/>
      <c r="CF218" s="63"/>
      <c r="CI218" s="56"/>
      <c r="CJ218" s="56"/>
      <c r="CK218" s="56"/>
      <c r="CL218" s="56"/>
      <c r="CM218" s="56"/>
    </row>
    <row r="219" spans="18:93" ht="18" customHeight="1">
      <c r="R219" s="63"/>
      <c r="V219" s="170"/>
      <c r="W219" s="56"/>
      <c r="X219" s="56"/>
      <c r="Y219" s="56"/>
      <c r="AD219" s="63"/>
      <c r="AG219" s="56"/>
      <c r="AH219" s="56"/>
      <c r="AI219" s="56"/>
      <c r="AJ219" s="56"/>
      <c r="AK219" s="56"/>
      <c r="AO219" s="68"/>
      <c r="AP219" s="76"/>
      <c r="AQ219" s="67"/>
      <c r="AR219" s="68"/>
      <c r="AS219" s="69"/>
      <c r="AT219" s="69"/>
      <c r="AU219" s="69"/>
      <c r="AV219" s="69"/>
      <c r="AW219" s="69"/>
      <c r="AX219" s="68"/>
      <c r="AY219" s="69"/>
      <c r="AZ219" s="67"/>
      <c r="BA219" s="69"/>
      <c r="BB219" s="76"/>
      <c r="BC219" s="67"/>
      <c r="BD219" s="68"/>
      <c r="BE219" s="69"/>
      <c r="BF219" s="69"/>
      <c r="BG219" s="69"/>
      <c r="BH219" s="69"/>
      <c r="BI219" s="69"/>
      <c r="BJ219" s="68"/>
      <c r="BK219" s="69"/>
      <c r="BL219" s="67"/>
      <c r="BM219" s="67"/>
      <c r="BN219" s="56"/>
      <c r="BO219" s="56"/>
      <c r="BT219" s="63"/>
      <c r="BW219" s="56"/>
      <c r="BX219" s="56"/>
      <c r="BY219" s="56"/>
      <c r="BZ219" s="56"/>
      <c r="CA219" s="56"/>
      <c r="CF219" s="63"/>
      <c r="CI219" s="56"/>
      <c r="CJ219" s="56"/>
      <c r="CK219" s="56"/>
      <c r="CL219" s="56"/>
      <c r="CM219" s="56"/>
    </row>
    <row r="220" spans="18:93" ht="18" customHeight="1">
      <c r="AO220" s="68"/>
      <c r="AP220" s="67"/>
      <c r="AQ220" s="67"/>
      <c r="AR220" s="68"/>
      <c r="AS220" s="68"/>
      <c r="AT220" s="68"/>
      <c r="AU220" s="68"/>
      <c r="AV220" s="68"/>
      <c r="AW220" s="68"/>
      <c r="AX220" s="68"/>
      <c r="AY220" s="69"/>
      <c r="AZ220" s="67"/>
      <c r="BA220" s="68"/>
      <c r="BB220" s="67"/>
      <c r="BC220" s="67"/>
      <c r="BD220" s="68"/>
      <c r="BE220" s="68"/>
      <c r="BF220" s="68"/>
      <c r="BG220" s="68"/>
      <c r="BH220" s="68"/>
      <c r="BI220" s="68"/>
      <c r="BJ220" s="68"/>
      <c r="BK220" s="69"/>
      <c r="BL220" s="67"/>
      <c r="BM220" s="67"/>
    </row>
    <row r="221" spans="18:93" ht="18" customHeight="1">
      <c r="R221" s="63"/>
      <c r="S221" s="64"/>
      <c r="Y221" s="531"/>
      <c r="Z221" s="531"/>
      <c r="AA221" s="531"/>
      <c r="AD221" s="63"/>
      <c r="AE221" s="64"/>
      <c r="AK221" s="531"/>
      <c r="AL221" s="531"/>
      <c r="AM221" s="531"/>
      <c r="AO221" s="68"/>
      <c r="AP221" s="76"/>
      <c r="AQ221" s="77"/>
      <c r="AR221" s="68"/>
      <c r="AS221" s="68"/>
      <c r="AT221" s="68"/>
      <c r="AU221" s="68"/>
      <c r="AV221" s="68"/>
      <c r="AW221" s="533"/>
      <c r="AX221" s="533"/>
      <c r="AY221" s="533"/>
      <c r="AZ221" s="67"/>
      <c r="BA221" s="68"/>
      <c r="BB221" s="76"/>
      <c r="BC221" s="77"/>
      <c r="BD221" s="68"/>
      <c r="BE221" s="68"/>
      <c r="BF221" s="68"/>
      <c r="BG221" s="68"/>
      <c r="BH221" s="68"/>
      <c r="BI221" s="533"/>
      <c r="BJ221" s="533"/>
      <c r="BK221" s="533"/>
      <c r="BL221" s="67"/>
      <c r="BM221" s="67"/>
      <c r="BO221" s="531"/>
      <c r="BP221" s="531"/>
      <c r="BQ221" s="531"/>
      <c r="BT221" s="63"/>
      <c r="BU221" s="64"/>
      <c r="CA221" s="531"/>
      <c r="CB221" s="531"/>
      <c r="CC221" s="531"/>
      <c r="CF221" s="63"/>
      <c r="CG221" s="64"/>
      <c r="CM221" s="531"/>
      <c r="CN221" s="531"/>
      <c r="CO221" s="531"/>
    </row>
    <row r="222" spans="18:93" ht="18" customHeight="1">
      <c r="R222" s="63"/>
      <c r="V222" s="170"/>
      <c r="W222" s="56"/>
      <c r="X222" s="56"/>
      <c r="Y222" s="56"/>
      <c r="AD222" s="63"/>
      <c r="AG222" s="56"/>
      <c r="AH222" s="56"/>
      <c r="AI222" s="56"/>
      <c r="AJ222" s="56"/>
      <c r="AK222" s="56"/>
      <c r="AO222" s="68"/>
      <c r="AP222" s="76"/>
      <c r="AQ222" s="67"/>
      <c r="AR222" s="68"/>
      <c r="AS222" s="69"/>
      <c r="AT222" s="69"/>
      <c r="AU222" s="69"/>
      <c r="AV222" s="69"/>
      <c r="AW222" s="69"/>
      <c r="AX222" s="68"/>
      <c r="AY222" s="69"/>
      <c r="AZ222" s="67"/>
      <c r="BA222" s="69"/>
      <c r="BB222" s="76"/>
      <c r="BC222" s="67"/>
      <c r="BD222" s="68"/>
      <c r="BE222" s="69"/>
      <c r="BF222" s="69"/>
      <c r="BG222" s="69"/>
      <c r="BH222" s="69"/>
      <c r="BI222" s="69"/>
      <c r="BJ222" s="68"/>
      <c r="BK222" s="69"/>
      <c r="BL222" s="67"/>
      <c r="BM222" s="67"/>
      <c r="BN222" s="56"/>
      <c r="BO222" s="56"/>
      <c r="BT222" s="63"/>
      <c r="BW222" s="56"/>
      <c r="BX222" s="56"/>
      <c r="BY222" s="56"/>
      <c r="BZ222" s="56"/>
      <c r="CA222" s="56"/>
      <c r="CF222" s="63"/>
      <c r="CI222" s="56"/>
      <c r="CJ222" s="56"/>
      <c r="CK222" s="56"/>
      <c r="CL222" s="56"/>
      <c r="CM222" s="56"/>
    </row>
    <row r="223" spans="18:93" ht="18" customHeight="1">
      <c r="R223" s="63"/>
      <c r="V223" s="170"/>
      <c r="W223" s="56"/>
      <c r="X223" s="56"/>
      <c r="Y223" s="56"/>
      <c r="AD223" s="63"/>
      <c r="AG223" s="56"/>
      <c r="AH223" s="56"/>
      <c r="AI223" s="56"/>
      <c r="AJ223" s="56"/>
      <c r="AK223" s="56"/>
      <c r="AO223" s="68"/>
      <c r="AP223" s="76"/>
      <c r="AQ223" s="67"/>
      <c r="AR223" s="68"/>
      <c r="AS223" s="69"/>
      <c r="AT223" s="69"/>
      <c r="AU223" s="69"/>
      <c r="AV223" s="69"/>
      <c r="AW223" s="69"/>
      <c r="AX223" s="68"/>
      <c r="AY223" s="69"/>
      <c r="AZ223" s="67"/>
      <c r="BA223" s="69"/>
      <c r="BB223" s="76"/>
      <c r="BC223" s="67"/>
      <c r="BD223" s="68"/>
      <c r="BE223" s="69"/>
      <c r="BF223" s="69"/>
      <c r="BG223" s="69"/>
      <c r="BH223" s="69"/>
      <c r="BI223" s="69"/>
      <c r="BJ223" s="68"/>
      <c r="BK223" s="69"/>
      <c r="BL223" s="67"/>
      <c r="BM223" s="67"/>
      <c r="BN223" s="56"/>
      <c r="BO223" s="56"/>
      <c r="BT223" s="63"/>
      <c r="BW223" s="56"/>
      <c r="BX223" s="56"/>
      <c r="BY223" s="56"/>
      <c r="BZ223" s="56"/>
      <c r="CA223" s="56"/>
      <c r="CF223" s="63"/>
      <c r="CI223" s="56"/>
      <c r="CJ223" s="56"/>
      <c r="CK223" s="56"/>
      <c r="CL223" s="56"/>
      <c r="CM223" s="56"/>
    </row>
    <row r="224" spans="18:93" ht="18" customHeight="1">
      <c r="R224" s="63"/>
      <c r="V224" s="170"/>
      <c r="W224" s="56"/>
      <c r="X224" s="56"/>
      <c r="Y224" s="56"/>
      <c r="AD224" s="63"/>
      <c r="AG224" s="56"/>
      <c r="AH224" s="56"/>
      <c r="AI224" s="56"/>
      <c r="AJ224" s="56"/>
      <c r="AK224" s="56"/>
      <c r="AO224" s="68"/>
      <c r="AP224" s="76"/>
      <c r="AQ224" s="67"/>
      <c r="AR224" s="68"/>
      <c r="AS224" s="69"/>
      <c r="AT224" s="69"/>
      <c r="AU224" s="69"/>
      <c r="AV224" s="69"/>
      <c r="AW224" s="69"/>
      <c r="AX224" s="68"/>
      <c r="AY224" s="69"/>
      <c r="AZ224" s="67"/>
      <c r="BA224" s="69"/>
      <c r="BB224" s="76"/>
      <c r="BC224" s="67"/>
      <c r="BD224" s="68"/>
      <c r="BE224" s="69"/>
      <c r="BF224" s="69"/>
      <c r="BG224" s="69"/>
      <c r="BH224" s="69"/>
      <c r="BI224" s="69"/>
      <c r="BJ224" s="68"/>
      <c r="BK224" s="69"/>
      <c r="BL224" s="67"/>
      <c r="BM224" s="67"/>
      <c r="BN224" s="56"/>
      <c r="BO224" s="56"/>
      <c r="BT224" s="63"/>
      <c r="BW224" s="56"/>
      <c r="BX224" s="56"/>
      <c r="BY224" s="56"/>
      <c r="BZ224" s="56"/>
      <c r="CA224" s="56"/>
      <c r="CF224" s="63"/>
      <c r="CI224" s="56"/>
      <c r="CJ224" s="56"/>
      <c r="CK224" s="56"/>
      <c r="CL224" s="56"/>
      <c r="CM224" s="56"/>
    </row>
    <row r="225" spans="18:93" ht="18" customHeight="1">
      <c r="R225" s="63"/>
      <c r="V225" s="170"/>
      <c r="W225" s="56"/>
      <c r="X225" s="56"/>
      <c r="Y225" s="56"/>
      <c r="AD225" s="63"/>
      <c r="AG225" s="56"/>
      <c r="AH225" s="56"/>
      <c r="AI225" s="56"/>
      <c r="AJ225" s="56"/>
      <c r="AK225" s="56"/>
      <c r="AO225" s="68"/>
      <c r="AP225" s="76"/>
      <c r="AQ225" s="67"/>
      <c r="AR225" s="68"/>
      <c r="AS225" s="69"/>
      <c r="AT225" s="69"/>
      <c r="AU225" s="69"/>
      <c r="AV225" s="69"/>
      <c r="AW225" s="69"/>
      <c r="AX225" s="68"/>
      <c r="AY225" s="69"/>
      <c r="AZ225" s="67"/>
      <c r="BA225" s="69"/>
      <c r="BB225" s="76"/>
      <c r="BC225" s="67"/>
      <c r="BD225" s="68"/>
      <c r="BE225" s="69"/>
      <c r="BF225" s="69"/>
      <c r="BG225" s="69"/>
      <c r="BH225" s="69"/>
      <c r="BI225" s="69"/>
      <c r="BJ225" s="68"/>
      <c r="BK225" s="69"/>
      <c r="BL225" s="67"/>
      <c r="BM225" s="67"/>
      <c r="BN225" s="56"/>
      <c r="BO225" s="56"/>
      <c r="BT225" s="63"/>
      <c r="BW225" s="56"/>
      <c r="BX225" s="56"/>
      <c r="BY225" s="56"/>
      <c r="BZ225" s="56"/>
      <c r="CA225" s="56"/>
      <c r="CF225" s="63"/>
      <c r="CI225" s="56"/>
      <c r="CJ225" s="56"/>
      <c r="CK225" s="56"/>
      <c r="CL225" s="56"/>
      <c r="CM225" s="56"/>
    </row>
    <row r="226" spans="18:93" ht="18" customHeight="1">
      <c r="AO226" s="68"/>
      <c r="AP226" s="67"/>
      <c r="AQ226" s="67"/>
      <c r="AR226" s="68"/>
      <c r="AS226" s="68"/>
      <c r="AT226" s="68"/>
      <c r="AU226" s="68"/>
      <c r="AV226" s="68"/>
      <c r="AW226" s="68"/>
      <c r="AX226" s="68"/>
      <c r="AY226" s="69"/>
      <c r="AZ226" s="67"/>
      <c r="BA226" s="68"/>
      <c r="BB226" s="67"/>
      <c r="BC226" s="67"/>
      <c r="BD226" s="68"/>
      <c r="BE226" s="68"/>
      <c r="BF226" s="68"/>
      <c r="BG226" s="68"/>
      <c r="BH226" s="68"/>
      <c r="BI226" s="68"/>
      <c r="BJ226" s="68"/>
      <c r="BK226" s="69"/>
      <c r="BL226" s="67"/>
      <c r="BM226" s="67"/>
    </row>
    <row r="227" spans="18:93" ht="18" customHeight="1">
      <c r="R227" s="63"/>
      <c r="S227" s="64"/>
      <c r="Y227" s="531"/>
      <c r="Z227" s="531"/>
      <c r="AA227" s="531"/>
      <c r="AD227" s="63"/>
      <c r="AE227" s="64"/>
      <c r="AK227" s="531"/>
      <c r="AL227" s="531"/>
      <c r="AM227" s="531"/>
      <c r="AO227" s="68"/>
      <c r="AP227" s="76"/>
      <c r="AQ227" s="77"/>
      <c r="AR227" s="68"/>
      <c r="AS227" s="68"/>
      <c r="AT227" s="68"/>
      <c r="AU227" s="68"/>
      <c r="AV227" s="68"/>
      <c r="AW227" s="533"/>
      <c r="AX227" s="533"/>
      <c r="AY227" s="533"/>
      <c r="AZ227" s="67"/>
      <c r="BA227" s="68"/>
      <c r="BB227" s="76"/>
      <c r="BC227" s="77"/>
      <c r="BD227" s="68"/>
      <c r="BE227" s="68"/>
      <c r="BF227" s="68"/>
      <c r="BG227" s="68"/>
      <c r="BH227" s="68"/>
      <c r="BI227" s="533"/>
      <c r="BJ227" s="533"/>
      <c r="BK227" s="533"/>
      <c r="BL227" s="67"/>
      <c r="BM227" s="67"/>
      <c r="BO227" s="531"/>
      <c r="BP227" s="531"/>
      <c r="BQ227" s="531"/>
      <c r="BT227" s="63"/>
      <c r="BU227" s="64"/>
      <c r="CA227" s="531"/>
      <c r="CB227" s="531"/>
      <c r="CC227" s="531"/>
      <c r="CF227" s="63"/>
      <c r="CG227" s="64"/>
      <c r="CM227" s="531"/>
      <c r="CN227" s="531"/>
      <c r="CO227" s="531"/>
    </row>
    <row r="228" spans="18:93" ht="18" customHeight="1">
      <c r="R228" s="63"/>
      <c r="V228" s="170"/>
      <c r="W228" s="56"/>
      <c r="X228" s="56"/>
      <c r="Y228" s="56"/>
      <c r="AD228" s="63"/>
      <c r="AG228" s="56"/>
      <c r="AH228" s="56"/>
      <c r="AI228" s="56"/>
      <c r="AJ228" s="56"/>
      <c r="AK228" s="56"/>
      <c r="AO228" s="68"/>
      <c r="AP228" s="76"/>
      <c r="AQ228" s="67"/>
      <c r="AR228" s="68"/>
      <c r="AS228" s="69"/>
      <c r="AT228" s="69"/>
      <c r="AU228" s="69"/>
      <c r="AV228" s="69"/>
      <c r="AW228" s="69"/>
      <c r="AX228" s="68"/>
      <c r="AY228" s="69"/>
      <c r="AZ228" s="67"/>
      <c r="BA228" s="69"/>
      <c r="BB228" s="76"/>
      <c r="BC228" s="67"/>
      <c r="BD228" s="68"/>
      <c r="BE228" s="69"/>
      <c r="BF228" s="69"/>
      <c r="BG228" s="69"/>
      <c r="BH228" s="69"/>
      <c r="BI228" s="69"/>
      <c r="BJ228" s="68"/>
      <c r="BK228" s="69"/>
      <c r="BL228" s="67"/>
      <c r="BM228" s="67"/>
      <c r="BN228" s="56"/>
      <c r="BO228" s="56"/>
      <c r="BT228" s="63"/>
      <c r="BW228" s="56"/>
      <c r="BX228" s="56"/>
      <c r="BY228" s="56"/>
      <c r="BZ228" s="56"/>
      <c r="CA228" s="56"/>
      <c r="CF228" s="63"/>
      <c r="CI228" s="56"/>
      <c r="CJ228" s="56"/>
      <c r="CK228" s="56"/>
      <c r="CL228" s="56"/>
      <c r="CM228" s="56"/>
    </row>
    <row r="229" spans="18:93" ht="18" customHeight="1">
      <c r="R229" s="63"/>
      <c r="V229" s="170"/>
      <c r="W229" s="56"/>
      <c r="X229" s="56"/>
      <c r="Y229" s="56"/>
      <c r="AD229" s="63"/>
      <c r="AG229" s="56"/>
      <c r="AH229" s="56"/>
      <c r="AI229" s="56"/>
      <c r="AJ229" s="56"/>
      <c r="AK229" s="56"/>
      <c r="AO229" s="68"/>
      <c r="AP229" s="76"/>
      <c r="AQ229" s="67"/>
      <c r="AR229" s="68"/>
      <c r="AS229" s="69"/>
      <c r="AT229" s="69"/>
      <c r="AU229" s="69"/>
      <c r="AV229" s="69"/>
      <c r="AW229" s="69"/>
      <c r="AX229" s="68"/>
      <c r="AY229" s="69"/>
      <c r="AZ229" s="67"/>
      <c r="BA229" s="69"/>
      <c r="BB229" s="76"/>
      <c r="BC229" s="67"/>
      <c r="BD229" s="68"/>
      <c r="BE229" s="69"/>
      <c r="BF229" s="69"/>
      <c r="BG229" s="69"/>
      <c r="BH229" s="69"/>
      <c r="BI229" s="69"/>
      <c r="BJ229" s="68"/>
      <c r="BK229" s="69"/>
      <c r="BL229" s="67"/>
      <c r="BM229" s="67"/>
      <c r="BN229" s="56"/>
      <c r="BO229" s="56"/>
      <c r="BT229" s="63"/>
      <c r="BW229" s="56"/>
      <c r="BX229" s="56"/>
      <c r="BY229" s="56"/>
      <c r="BZ229" s="56"/>
      <c r="CA229" s="56"/>
      <c r="CF229" s="63"/>
      <c r="CI229" s="56"/>
      <c r="CJ229" s="56"/>
      <c r="CK229" s="56"/>
      <c r="CL229" s="56"/>
      <c r="CM229" s="56"/>
    </row>
    <row r="230" spans="18:93" ht="18" customHeight="1">
      <c r="R230" s="63"/>
      <c r="V230" s="170"/>
      <c r="W230" s="56"/>
      <c r="X230" s="56"/>
      <c r="Y230" s="56"/>
      <c r="AD230" s="63"/>
      <c r="AG230" s="56"/>
      <c r="AH230" s="56"/>
      <c r="AI230" s="56"/>
      <c r="AJ230" s="56"/>
      <c r="AK230" s="56"/>
      <c r="AO230" s="68"/>
      <c r="AP230" s="76"/>
      <c r="AQ230" s="67"/>
      <c r="AR230" s="68"/>
      <c r="AS230" s="69"/>
      <c r="AT230" s="69"/>
      <c r="AU230" s="69"/>
      <c r="AV230" s="69"/>
      <c r="AW230" s="69"/>
      <c r="AX230" s="68"/>
      <c r="AY230" s="69"/>
      <c r="AZ230" s="67"/>
      <c r="BA230" s="69"/>
      <c r="BB230" s="76"/>
      <c r="BC230" s="67"/>
      <c r="BD230" s="68"/>
      <c r="BE230" s="69"/>
      <c r="BF230" s="69"/>
      <c r="BG230" s="69"/>
      <c r="BH230" s="69"/>
      <c r="BI230" s="69"/>
      <c r="BJ230" s="68"/>
      <c r="BK230" s="69"/>
      <c r="BL230" s="67"/>
      <c r="BM230" s="67"/>
      <c r="BN230" s="56"/>
      <c r="BO230" s="56"/>
      <c r="BT230" s="63"/>
      <c r="BW230" s="56"/>
      <c r="BX230" s="56"/>
      <c r="BY230" s="56"/>
      <c r="BZ230" s="56"/>
      <c r="CA230" s="56"/>
      <c r="CF230" s="63"/>
      <c r="CI230" s="56"/>
      <c r="CJ230" s="56"/>
      <c r="CK230" s="56"/>
      <c r="CL230" s="56"/>
      <c r="CM230" s="56"/>
    </row>
    <row r="231" spans="18:93" ht="18" customHeight="1">
      <c r="R231" s="63"/>
      <c r="V231" s="170"/>
      <c r="W231" s="56"/>
      <c r="X231" s="56"/>
      <c r="Y231" s="56"/>
      <c r="AD231" s="63"/>
      <c r="AG231" s="56"/>
      <c r="AH231" s="56"/>
      <c r="AI231" s="56"/>
      <c r="AJ231" s="56"/>
      <c r="AK231" s="56"/>
      <c r="AO231" s="68"/>
      <c r="AP231" s="76"/>
      <c r="AQ231" s="67"/>
      <c r="AR231" s="68"/>
      <c r="AS231" s="69"/>
      <c r="AT231" s="69"/>
      <c r="AU231" s="69"/>
      <c r="AV231" s="69"/>
      <c r="AW231" s="69"/>
      <c r="AX231" s="68"/>
      <c r="AY231" s="69"/>
      <c r="AZ231" s="67"/>
      <c r="BA231" s="69"/>
      <c r="BB231" s="76"/>
      <c r="BC231" s="67"/>
      <c r="BD231" s="68"/>
      <c r="BE231" s="69"/>
      <c r="BF231" s="69"/>
      <c r="BG231" s="69"/>
      <c r="BH231" s="69"/>
      <c r="BI231" s="69"/>
      <c r="BJ231" s="68"/>
      <c r="BK231" s="69"/>
      <c r="BL231" s="67"/>
      <c r="BM231" s="67"/>
      <c r="BN231" s="56"/>
      <c r="BO231" s="56"/>
      <c r="BT231" s="63"/>
      <c r="BW231" s="56"/>
      <c r="BX231" s="56"/>
      <c r="BY231" s="56"/>
      <c r="BZ231" s="56"/>
      <c r="CA231" s="56"/>
      <c r="CF231" s="63"/>
      <c r="CI231" s="56"/>
      <c r="CJ231" s="56"/>
      <c r="CK231" s="56"/>
      <c r="CL231" s="56"/>
      <c r="CM231" s="56"/>
    </row>
    <row r="232" spans="18:93" ht="18" customHeight="1">
      <c r="AO232" s="68"/>
      <c r="AP232" s="67"/>
      <c r="AQ232" s="67"/>
      <c r="AR232" s="68"/>
      <c r="AS232" s="68"/>
      <c r="AT232" s="68"/>
      <c r="AU232" s="68"/>
      <c r="AV232" s="68"/>
      <c r="AW232" s="68"/>
      <c r="AX232" s="68"/>
      <c r="AY232" s="69"/>
      <c r="AZ232" s="67"/>
      <c r="BA232" s="68"/>
      <c r="BB232" s="67"/>
      <c r="BC232" s="67"/>
      <c r="BD232" s="68"/>
      <c r="BE232" s="68"/>
      <c r="BF232" s="68"/>
      <c r="BG232" s="68"/>
      <c r="BH232" s="68"/>
      <c r="BI232" s="68"/>
      <c r="BJ232" s="68"/>
      <c r="BK232" s="69"/>
      <c r="BL232" s="67"/>
      <c r="BM232" s="67"/>
    </row>
    <row r="233" spans="18:93" ht="18" customHeight="1">
      <c r="R233" s="63"/>
      <c r="S233" s="64"/>
      <c r="Y233" s="531"/>
      <c r="Z233" s="531"/>
      <c r="AA233" s="531"/>
      <c r="AD233" s="63"/>
      <c r="AE233" s="64"/>
      <c r="AK233" s="531"/>
      <c r="AL233" s="531"/>
      <c r="AM233" s="531"/>
      <c r="AO233" s="68"/>
      <c r="AP233" s="76"/>
      <c r="AQ233" s="77"/>
      <c r="AR233" s="68"/>
      <c r="AS233" s="68"/>
      <c r="AT233" s="68"/>
      <c r="AU233" s="68"/>
      <c r="AV233" s="68"/>
      <c r="AW233" s="533"/>
      <c r="AX233" s="533"/>
      <c r="AY233" s="533"/>
      <c r="AZ233" s="67"/>
      <c r="BA233" s="68"/>
      <c r="BB233" s="76"/>
      <c r="BC233" s="77"/>
      <c r="BD233" s="68"/>
      <c r="BE233" s="68"/>
      <c r="BF233" s="68"/>
      <c r="BG233" s="68"/>
      <c r="BH233" s="68"/>
      <c r="BI233" s="533"/>
      <c r="BJ233" s="533"/>
      <c r="BK233" s="533"/>
      <c r="BL233" s="67"/>
      <c r="BM233" s="67"/>
      <c r="BO233" s="531"/>
      <c r="BP233" s="531"/>
      <c r="BQ233" s="531"/>
      <c r="BT233" s="63"/>
      <c r="BU233" s="64"/>
      <c r="CA233" s="531"/>
      <c r="CB233" s="531"/>
      <c r="CC233" s="531"/>
      <c r="CF233" s="63"/>
      <c r="CG233" s="64"/>
      <c r="CM233" s="531"/>
      <c r="CN233" s="531"/>
      <c r="CO233" s="531"/>
    </row>
    <row r="234" spans="18:93" ht="18" customHeight="1">
      <c r="R234" s="63"/>
      <c r="V234" s="170"/>
      <c r="W234" s="56"/>
      <c r="X234" s="56"/>
      <c r="Y234" s="56"/>
      <c r="AD234" s="63"/>
      <c r="AG234" s="56"/>
      <c r="AH234" s="56"/>
      <c r="AI234" s="56"/>
      <c r="AJ234" s="56"/>
      <c r="AK234" s="56"/>
      <c r="AO234" s="68"/>
      <c r="AP234" s="76"/>
      <c r="AQ234" s="67"/>
      <c r="AR234" s="68"/>
      <c r="AS234" s="69"/>
      <c r="AT234" s="69"/>
      <c r="AU234" s="69"/>
      <c r="AV234" s="69"/>
      <c r="AW234" s="69"/>
      <c r="AX234" s="68"/>
      <c r="AY234" s="69"/>
      <c r="AZ234" s="67"/>
      <c r="BA234" s="69"/>
      <c r="BB234" s="76"/>
      <c r="BC234" s="67"/>
      <c r="BD234" s="68"/>
      <c r="BE234" s="69"/>
      <c r="BF234" s="69"/>
      <c r="BG234" s="69"/>
      <c r="BH234" s="69"/>
      <c r="BI234" s="69"/>
      <c r="BJ234" s="68"/>
      <c r="BK234" s="69"/>
      <c r="BL234" s="67"/>
      <c r="BM234" s="67"/>
      <c r="BN234" s="56"/>
      <c r="BO234" s="56"/>
      <c r="BT234" s="63"/>
      <c r="BW234" s="56"/>
      <c r="BX234" s="56"/>
      <c r="BY234" s="56"/>
      <c r="BZ234" s="56"/>
      <c r="CA234" s="56"/>
      <c r="CF234" s="63"/>
      <c r="CI234" s="56"/>
      <c r="CJ234" s="56"/>
      <c r="CK234" s="56"/>
      <c r="CL234" s="56"/>
      <c r="CM234" s="56"/>
    </row>
    <row r="235" spans="18:93" ht="18" customHeight="1">
      <c r="R235" s="63"/>
      <c r="V235" s="170"/>
      <c r="W235" s="56"/>
      <c r="X235" s="56"/>
      <c r="Y235" s="56"/>
      <c r="AD235" s="63"/>
      <c r="AG235" s="56"/>
      <c r="AH235" s="56"/>
      <c r="AI235" s="56"/>
      <c r="AJ235" s="56"/>
      <c r="AK235" s="56"/>
      <c r="AO235" s="68"/>
      <c r="AP235" s="76"/>
      <c r="AQ235" s="67"/>
      <c r="AR235" s="68"/>
      <c r="AS235" s="69"/>
      <c r="AT235" s="69"/>
      <c r="AU235" s="69"/>
      <c r="AV235" s="69"/>
      <c r="AW235" s="69"/>
      <c r="AX235" s="68"/>
      <c r="AY235" s="69"/>
      <c r="AZ235" s="67"/>
      <c r="BA235" s="69"/>
      <c r="BB235" s="76"/>
      <c r="BC235" s="67"/>
      <c r="BD235" s="68"/>
      <c r="BE235" s="69"/>
      <c r="BF235" s="69"/>
      <c r="BG235" s="69"/>
      <c r="BH235" s="69"/>
      <c r="BI235" s="69"/>
      <c r="BJ235" s="68"/>
      <c r="BK235" s="69"/>
      <c r="BL235" s="67"/>
      <c r="BM235" s="67"/>
      <c r="BN235" s="56"/>
      <c r="BO235" s="56"/>
      <c r="BT235" s="63"/>
      <c r="BW235" s="56"/>
      <c r="BX235" s="56"/>
      <c r="BY235" s="56"/>
      <c r="BZ235" s="56"/>
      <c r="CA235" s="56"/>
      <c r="CF235" s="63"/>
      <c r="CI235" s="56"/>
      <c r="CJ235" s="56"/>
      <c r="CK235" s="56"/>
      <c r="CL235" s="56"/>
      <c r="CM235" s="56"/>
    </row>
    <row r="236" spans="18:93" ht="18" customHeight="1">
      <c r="R236" s="63"/>
      <c r="V236" s="170"/>
      <c r="W236" s="56"/>
      <c r="X236" s="56"/>
      <c r="Y236" s="56"/>
      <c r="AD236" s="63"/>
      <c r="AG236" s="56"/>
      <c r="AH236" s="56"/>
      <c r="AI236" s="56"/>
      <c r="AJ236" s="56"/>
      <c r="AK236" s="56"/>
      <c r="AO236" s="68"/>
      <c r="AP236" s="76"/>
      <c r="AQ236" s="67"/>
      <c r="AR236" s="68"/>
      <c r="AS236" s="69"/>
      <c r="AT236" s="69"/>
      <c r="AU236" s="69"/>
      <c r="AV236" s="69"/>
      <c r="AW236" s="69"/>
      <c r="AX236" s="68"/>
      <c r="AY236" s="69"/>
      <c r="AZ236" s="67"/>
      <c r="BA236" s="69"/>
      <c r="BB236" s="76"/>
      <c r="BC236" s="67"/>
      <c r="BD236" s="68"/>
      <c r="BE236" s="69"/>
      <c r="BF236" s="69"/>
      <c r="BG236" s="69"/>
      <c r="BH236" s="69"/>
      <c r="BI236" s="69"/>
      <c r="BJ236" s="68"/>
      <c r="BK236" s="69"/>
      <c r="BL236" s="67"/>
      <c r="BM236" s="67"/>
      <c r="BN236" s="56"/>
      <c r="BO236" s="56"/>
      <c r="BT236" s="63"/>
      <c r="BW236" s="56"/>
      <c r="BX236" s="56"/>
      <c r="BY236" s="56"/>
      <c r="BZ236" s="56"/>
      <c r="CA236" s="56"/>
      <c r="CF236" s="63"/>
      <c r="CI236" s="56"/>
      <c r="CJ236" s="56"/>
      <c r="CK236" s="56"/>
      <c r="CL236" s="56"/>
      <c r="CM236" s="56"/>
    </row>
    <row r="237" spans="18:93" ht="18" customHeight="1">
      <c r="R237" s="63"/>
      <c r="V237" s="170"/>
      <c r="W237" s="56"/>
      <c r="X237" s="56"/>
      <c r="Y237" s="56"/>
      <c r="AD237" s="63"/>
      <c r="AG237" s="56"/>
      <c r="AH237" s="56"/>
      <c r="AI237" s="56"/>
      <c r="AJ237" s="56"/>
      <c r="AK237" s="56"/>
      <c r="AO237" s="68"/>
      <c r="AP237" s="76"/>
      <c r="AQ237" s="67"/>
      <c r="AR237" s="68"/>
      <c r="AS237" s="69"/>
      <c r="AT237" s="69"/>
      <c r="AU237" s="69"/>
      <c r="AV237" s="69"/>
      <c r="AW237" s="69"/>
      <c r="AX237" s="68"/>
      <c r="AY237" s="69"/>
      <c r="AZ237" s="67"/>
      <c r="BA237" s="69"/>
      <c r="BB237" s="76"/>
      <c r="BC237" s="67"/>
      <c r="BD237" s="68"/>
      <c r="BE237" s="69"/>
      <c r="BF237" s="69"/>
      <c r="BG237" s="69"/>
      <c r="BH237" s="69"/>
      <c r="BI237" s="69"/>
      <c r="BJ237" s="68"/>
      <c r="BK237" s="69"/>
      <c r="BL237" s="67"/>
      <c r="BM237" s="67"/>
      <c r="BN237" s="56"/>
      <c r="BO237" s="56"/>
      <c r="BT237" s="63"/>
      <c r="BW237" s="56"/>
      <c r="BX237" s="56"/>
      <c r="BY237" s="56"/>
      <c r="BZ237" s="56"/>
      <c r="CA237" s="56"/>
      <c r="CF237" s="63"/>
      <c r="CI237" s="56"/>
      <c r="CJ237" s="56"/>
      <c r="CK237" s="56"/>
      <c r="CL237" s="56"/>
      <c r="CM237" s="56"/>
    </row>
    <row r="238" spans="18:93" ht="18" customHeight="1">
      <c r="AO238" s="68"/>
      <c r="AP238" s="67"/>
      <c r="AQ238" s="67"/>
      <c r="AR238" s="68"/>
      <c r="AS238" s="68"/>
      <c r="AT238" s="68"/>
      <c r="AU238" s="68"/>
      <c r="AV238" s="68"/>
      <c r="AW238" s="68"/>
      <c r="AX238" s="68"/>
      <c r="AY238" s="69"/>
      <c r="AZ238" s="67"/>
      <c r="BA238" s="68"/>
      <c r="BB238" s="67"/>
      <c r="BC238" s="67"/>
      <c r="BD238" s="68"/>
      <c r="BE238" s="68"/>
      <c r="BF238" s="68"/>
      <c r="BG238" s="68"/>
      <c r="BH238" s="68"/>
      <c r="BI238" s="68"/>
      <c r="BJ238" s="68"/>
      <c r="BK238" s="69"/>
      <c r="BL238" s="67"/>
      <c r="BM238" s="67"/>
    </row>
    <row r="239" spans="18:93" ht="18" customHeight="1">
      <c r="R239" s="63"/>
      <c r="S239" s="64"/>
      <c r="Y239" s="531"/>
      <c r="Z239" s="531"/>
      <c r="AA239" s="531"/>
      <c r="AD239" s="63"/>
      <c r="AE239" s="64"/>
      <c r="AK239" s="531"/>
      <c r="AL239" s="531"/>
      <c r="AM239" s="531"/>
      <c r="AO239" s="68"/>
      <c r="AP239" s="76"/>
      <c r="AQ239" s="77"/>
      <c r="AR239" s="68"/>
      <c r="AS239" s="68"/>
      <c r="AT239" s="68"/>
      <c r="AU239" s="68"/>
      <c r="AV239" s="68"/>
      <c r="AW239" s="533"/>
      <c r="AX239" s="533"/>
      <c r="AY239" s="533"/>
      <c r="AZ239" s="67"/>
      <c r="BA239" s="68"/>
      <c r="BB239" s="76"/>
      <c r="BC239" s="77"/>
      <c r="BD239" s="68"/>
      <c r="BE239" s="68"/>
      <c r="BF239" s="68"/>
      <c r="BG239" s="68"/>
      <c r="BH239" s="68"/>
      <c r="BI239" s="533"/>
      <c r="BJ239" s="533"/>
      <c r="BK239" s="533"/>
      <c r="BL239" s="67"/>
      <c r="BM239" s="67"/>
      <c r="BO239" s="531"/>
      <c r="BP239" s="531"/>
      <c r="BQ239" s="531"/>
      <c r="BT239" s="63"/>
      <c r="BU239" s="64"/>
      <c r="CA239" s="531"/>
      <c r="CB239" s="531"/>
      <c r="CC239" s="531"/>
      <c r="CF239" s="63"/>
      <c r="CG239" s="64"/>
      <c r="CM239" s="531"/>
      <c r="CN239" s="531"/>
      <c r="CO239" s="531"/>
    </row>
    <row r="240" spans="18:93" ht="18" customHeight="1">
      <c r="R240" s="63"/>
      <c r="V240" s="170"/>
      <c r="W240" s="56"/>
      <c r="X240" s="56"/>
      <c r="Y240" s="56"/>
      <c r="AD240" s="63"/>
      <c r="AG240" s="56"/>
      <c r="AH240" s="56"/>
      <c r="AI240" s="56"/>
      <c r="AJ240" s="56"/>
      <c r="AK240" s="56"/>
      <c r="AO240" s="68"/>
      <c r="AP240" s="76"/>
      <c r="AQ240" s="67"/>
      <c r="AR240" s="68"/>
      <c r="AS240" s="69"/>
      <c r="AT240" s="69"/>
      <c r="AU240" s="69"/>
      <c r="AV240" s="69"/>
      <c r="AW240" s="69"/>
      <c r="AX240" s="68"/>
      <c r="AY240" s="69"/>
      <c r="AZ240" s="67"/>
      <c r="BA240" s="69"/>
      <c r="BB240" s="76"/>
      <c r="BC240" s="67"/>
      <c r="BD240" s="68"/>
      <c r="BE240" s="69"/>
      <c r="BF240" s="69"/>
      <c r="BG240" s="69"/>
      <c r="BH240" s="69"/>
      <c r="BI240" s="69"/>
      <c r="BJ240" s="68"/>
      <c r="BK240" s="69"/>
      <c r="BL240" s="67"/>
      <c r="BM240" s="67"/>
      <c r="BN240" s="56"/>
      <c r="BO240" s="56"/>
      <c r="BT240" s="63"/>
      <c r="BW240" s="56"/>
      <c r="BX240" s="56"/>
      <c r="BY240" s="56"/>
      <c r="BZ240" s="56"/>
      <c r="CA240" s="56"/>
      <c r="CF240" s="63"/>
      <c r="CI240" s="56"/>
      <c r="CJ240" s="56"/>
      <c r="CK240" s="56"/>
      <c r="CL240" s="56"/>
      <c r="CM240" s="56"/>
    </row>
    <row r="241" spans="18:93" ht="18" customHeight="1">
      <c r="R241" s="63"/>
      <c r="V241" s="170"/>
      <c r="W241" s="56"/>
      <c r="X241" s="56"/>
      <c r="Y241" s="56"/>
      <c r="AD241" s="63"/>
      <c r="AG241" s="56"/>
      <c r="AH241" s="56"/>
      <c r="AI241" s="56"/>
      <c r="AJ241" s="56"/>
      <c r="AK241" s="56"/>
      <c r="AO241" s="68"/>
      <c r="AP241" s="76"/>
      <c r="AQ241" s="67"/>
      <c r="AR241" s="68"/>
      <c r="AS241" s="69"/>
      <c r="AT241" s="69"/>
      <c r="AU241" s="69"/>
      <c r="AV241" s="69"/>
      <c r="AW241" s="69"/>
      <c r="AX241" s="68"/>
      <c r="AY241" s="69"/>
      <c r="AZ241" s="67"/>
      <c r="BA241" s="69"/>
      <c r="BB241" s="76"/>
      <c r="BC241" s="67"/>
      <c r="BD241" s="68"/>
      <c r="BE241" s="69"/>
      <c r="BF241" s="69"/>
      <c r="BG241" s="69"/>
      <c r="BH241" s="69"/>
      <c r="BI241" s="69"/>
      <c r="BJ241" s="68"/>
      <c r="BK241" s="69"/>
      <c r="BL241" s="67"/>
      <c r="BM241" s="67"/>
      <c r="BN241" s="56"/>
      <c r="BO241" s="56"/>
      <c r="BT241" s="63"/>
      <c r="BW241" s="56"/>
      <c r="BX241" s="56"/>
      <c r="BY241" s="56"/>
      <c r="BZ241" s="56"/>
      <c r="CA241" s="56"/>
      <c r="CF241" s="63"/>
      <c r="CI241" s="56"/>
      <c r="CJ241" s="56"/>
      <c r="CK241" s="56"/>
      <c r="CL241" s="56"/>
      <c r="CM241" s="56"/>
    </row>
    <row r="242" spans="18:93" ht="18" customHeight="1">
      <c r="R242" s="63"/>
      <c r="V242" s="170"/>
      <c r="W242" s="56"/>
      <c r="X242" s="56"/>
      <c r="Y242" s="56"/>
      <c r="AD242" s="63"/>
      <c r="AG242" s="56"/>
      <c r="AH242" s="56"/>
      <c r="AI242" s="56"/>
      <c r="AJ242" s="56"/>
      <c r="AK242" s="56"/>
      <c r="AO242" s="68"/>
      <c r="AP242" s="76"/>
      <c r="AQ242" s="67"/>
      <c r="AR242" s="68"/>
      <c r="AS242" s="69"/>
      <c r="AT242" s="69"/>
      <c r="AU242" s="69"/>
      <c r="AV242" s="69"/>
      <c r="AW242" s="69"/>
      <c r="AX242" s="68"/>
      <c r="AY242" s="69"/>
      <c r="AZ242" s="67"/>
      <c r="BA242" s="69"/>
      <c r="BB242" s="76"/>
      <c r="BC242" s="67"/>
      <c r="BD242" s="68"/>
      <c r="BE242" s="69"/>
      <c r="BF242" s="69"/>
      <c r="BG242" s="69"/>
      <c r="BH242" s="69"/>
      <c r="BI242" s="69"/>
      <c r="BJ242" s="68"/>
      <c r="BK242" s="69"/>
      <c r="BL242" s="67"/>
      <c r="BM242" s="67"/>
      <c r="BN242" s="56"/>
      <c r="BO242" s="56"/>
      <c r="BT242" s="63"/>
      <c r="BW242" s="56"/>
      <c r="BX242" s="56"/>
      <c r="BY242" s="56"/>
      <c r="BZ242" s="56"/>
      <c r="CA242" s="56"/>
      <c r="CF242" s="63"/>
      <c r="CI242" s="56"/>
      <c r="CJ242" s="56"/>
      <c r="CK242" s="56"/>
      <c r="CL242" s="56"/>
      <c r="CM242" s="56"/>
    </row>
    <row r="243" spans="18:93" ht="18" customHeight="1">
      <c r="R243" s="63"/>
      <c r="V243" s="170"/>
      <c r="W243" s="56"/>
      <c r="X243" s="56"/>
      <c r="Y243" s="56"/>
      <c r="AD243" s="63"/>
      <c r="AG243" s="56"/>
      <c r="AH243" s="56"/>
      <c r="AI243" s="56"/>
      <c r="AJ243" s="56"/>
      <c r="AK243" s="56"/>
      <c r="AO243" s="68"/>
      <c r="AP243" s="76"/>
      <c r="AQ243" s="67"/>
      <c r="AR243" s="68"/>
      <c r="AS243" s="69"/>
      <c r="AT243" s="69"/>
      <c r="AU243" s="69"/>
      <c r="AV243" s="69"/>
      <c r="AW243" s="69"/>
      <c r="AX243" s="68"/>
      <c r="AY243" s="69"/>
      <c r="AZ243" s="67"/>
      <c r="BA243" s="69"/>
      <c r="BB243" s="76"/>
      <c r="BC243" s="67"/>
      <c r="BD243" s="68"/>
      <c r="BE243" s="69"/>
      <c r="BF243" s="69"/>
      <c r="BG243" s="69"/>
      <c r="BH243" s="69"/>
      <c r="BI243" s="69"/>
      <c r="BJ243" s="68"/>
      <c r="BK243" s="69"/>
      <c r="BL243" s="67"/>
      <c r="BM243" s="67"/>
      <c r="BN243" s="56"/>
      <c r="BO243" s="56"/>
      <c r="BT243" s="63"/>
      <c r="BW243" s="56"/>
      <c r="BX243" s="56"/>
      <c r="BY243" s="56"/>
      <c r="BZ243" s="56"/>
      <c r="CA243" s="56"/>
      <c r="CF243" s="63"/>
      <c r="CI243" s="56"/>
      <c r="CJ243" s="56"/>
      <c r="CK243" s="56"/>
      <c r="CL243" s="56"/>
      <c r="CM243" s="56"/>
    </row>
    <row r="244" spans="18:93" ht="18" customHeight="1">
      <c r="AO244" s="68"/>
      <c r="AP244" s="67"/>
      <c r="AQ244" s="67"/>
      <c r="AR244" s="68"/>
      <c r="AS244" s="68"/>
      <c r="AT244" s="68"/>
      <c r="AU244" s="68"/>
      <c r="AV244" s="68"/>
      <c r="AW244" s="68"/>
      <c r="AX244" s="68"/>
      <c r="AY244" s="69"/>
      <c r="AZ244" s="67"/>
      <c r="BA244" s="68"/>
      <c r="BB244" s="67"/>
      <c r="BC244" s="67"/>
      <c r="BD244" s="68"/>
      <c r="BE244" s="68"/>
      <c r="BF244" s="68"/>
      <c r="BG244" s="68"/>
      <c r="BH244" s="68"/>
      <c r="BI244" s="68"/>
      <c r="BJ244" s="68"/>
      <c r="BK244" s="69"/>
      <c r="BL244" s="67"/>
      <c r="BM244" s="67"/>
    </row>
    <row r="245" spans="18:93" ht="18" customHeight="1">
      <c r="R245" s="63"/>
      <c r="S245" s="64"/>
      <c r="Y245" s="531"/>
      <c r="Z245" s="531"/>
      <c r="AA245" s="531"/>
      <c r="AD245" s="63"/>
      <c r="AE245" s="64"/>
      <c r="AK245" s="531"/>
      <c r="AL245" s="531"/>
      <c r="AM245" s="531"/>
      <c r="AO245" s="68"/>
      <c r="AP245" s="76"/>
      <c r="AQ245" s="77"/>
      <c r="AR245" s="68"/>
      <c r="AS245" s="68"/>
      <c r="AT245" s="68"/>
      <c r="AU245" s="68"/>
      <c r="AV245" s="68"/>
      <c r="AW245" s="533"/>
      <c r="AX245" s="533"/>
      <c r="AY245" s="533"/>
      <c r="AZ245" s="67"/>
      <c r="BA245" s="68"/>
      <c r="BB245" s="76"/>
      <c r="BC245" s="77"/>
      <c r="BD245" s="68"/>
      <c r="BE245" s="68"/>
      <c r="BF245" s="68"/>
      <c r="BG245" s="68"/>
      <c r="BH245" s="68"/>
      <c r="BI245" s="533"/>
      <c r="BJ245" s="533"/>
      <c r="BK245" s="533"/>
      <c r="BL245" s="67"/>
      <c r="BM245" s="67"/>
      <c r="BO245" s="531"/>
      <c r="BP245" s="531"/>
      <c r="BQ245" s="531"/>
      <c r="BT245" s="63"/>
      <c r="BU245" s="64"/>
      <c r="CA245" s="531"/>
      <c r="CB245" s="531"/>
      <c r="CC245" s="531"/>
      <c r="CF245" s="63"/>
      <c r="CG245" s="64"/>
      <c r="CM245" s="531"/>
      <c r="CN245" s="531"/>
      <c r="CO245" s="531"/>
    </row>
    <row r="246" spans="18:93" ht="18" customHeight="1">
      <c r="R246" s="63"/>
      <c r="V246" s="170"/>
      <c r="W246" s="56"/>
      <c r="X246" s="56"/>
      <c r="Y246" s="56"/>
      <c r="AD246" s="63"/>
      <c r="AG246" s="56"/>
      <c r="AH246" s="56"/>
      <c r="AI246" s="56"/>
      <c r="AJ246" s="56"/>
      <c r="AK246" s="56"/>
      <c r="AO246" s="68"/>
      <c r="AP246" s="76"/>
      <c r="AQ246" s="67"/>
      <c r="AR246" s="68"/>
      <c r="AS246" s="69"/>
      <c r="AT246" s="69"/>
      <c r="AU246" s="69"/>
      <c r="AV246" s="69"/>
      <c r="AW246" s="69"/>
      <c r="AX246" s="68"/>
      <c r="AY246" s="69"/>
      <c r="AZ246" s="67"/>
      <c r="BA246" s="69"/>
      <c r="BB246" s="76"/>
      <c r="BC246" s="67"/>
      <c r="BD246" s="68"/>
      <c r="BE246" s="69"/>
      <c r="BF246" s="69"/>
      <c r="BG246" s="69"/>
      <c r="BH246" s="69"/>
      <c r="BI246" s="69"/>
      <c r="BJ246" s="68"/>
      <c r="BK246" s="69"/>
      <c r="BL246" s="67"/>
      <c r="BM246" s="67"/>
      <c r="BN246" s="56"/>
      <c r="BO246" s="56"/>
      <c r="BT246" s="63"/>
      <c r="BW246" s="56"/>
      <c r="BX246" s="56"/>
      <c r="BY246" s="56"/>
      <c r="BZ246" s="56"/>
      <c r="CA246" s="56"/>
      <c r="CF246" s="63"/>
      <c r="CI246" s="56"/>
      <c r="CJ246" s="56"/>
      <c r="CK246" s="56"/>
      <c r="CL246" s="56"/>
      <c r="CM246" s="56"/>
    </row>
    <row r="247" spans="18:93" ht="18" customHeight="1">
      <c r="R247" s="63"/>
      <c r="V247" s="170"/>
      <c r="W247" s="56"/>
      <c r="X247" s="56"/>
      <c r="Y247" s="56"/>
      <c r="AD247" s="63"/>
      <c r="AG247" s="56"/>
      <c r="AH247" s="56"/>
      <c r="AI247" s="56"/>
      <c r="AJ247" s="56"/>
      <c r="AK247" s="56"/>
      <c r="AO247" s="68"/>
      <c r="AP247" s="76"/>
      <c r="AQ247" s="67"/>
      <c r="AR247" s="68"/>
      <c r="AS247" s="69"/>
      <c r="AT247" s="69"/>
      <c r="AU247" s="69"/>
      <c r="AV247" s="69"/>
      <c r="AW247" s="69"/>
      <c r="AX247" s="68"/>
      <c r="AY247" s="69"/>
      <c r="AZ247" s="67"/>
      <c r="BA247" s="69"/>
      <c r="BB247" s="76"/>
      <c r="BC247" s="67"/>
      <c r="BD247" s="68"/>
      <c r="BE247" s="69"/>
      <c r="BF247" s="69"/>
      <c r="BG247" s="69"/>
      <c r="BH247" s="69"/>
      <c r="BI247" s="69"/>
      <c r="BJ247" s="68"/>
      <c r="BK247" s="69"/>
      <c r="BL247" s="67"/>
      <c r="BM247" s="67"/>
      <c r="BN247" s="56"/>
      <c r="BO247" s="56"/>
      <c r="BT247" s="63"/>
      <c r="BW247" s="56"/>
      <c r="BX247" s="56"/>
      <c r="BY247" s="56"/>
      <c r="BZ247" s="56"/>
      <c r="CA247" s="56"/>
      <c r="CF247" s="63"/>
      <c r="CI247" s="56"/>
      <c r="CJ247" s="56"/>
      <c r="CK247" s="56"/>
      <c r="CL247" s="56"/>
      <c r="CM247" s="56"/>
    </row>
    <row r="248" spans="18:93" ht="18" customHeight="1">
      <c r="R248" s="63"/>
      <c r="V248" s="170"/>
      <c r="W248" s="56"/>
      <c r="X248" s="56"/>
      <c r="Y248" s="56"/>
      <c r="AD248" s="63"/>
      <c r="AG248" s="56"/>
      <c r="AH248" s="56"/>
      <c r="AI248" s="56"/>
      <c r="AJ248" s="56"/>
      <c r="AK248" s="56"/>
      <c r="AO248" s="68"/>
      <c r="AP248" s="76"/>
      <c r="AQ248" s="67"/>
      <c r="AR248" s="68"/>
      <c r="AS248" s="69"/>
      <c r="AT248" s="69"/>
      <c r="AU248" s="69"/>
      <c r="AV248" s="69"/>
      <c r="AW248" s="69"/>
      <c r="AX248" s="68"/>
      <c r="AY248" s="69"/>
      <c r="AZ248" s="67"/>
      <c r="BA248" s="69"/>
      <c r="BB248" s="76"/>
      <c r="BC248" s="67"/>
      <c r="BD248" s="68"/>
      <c r="BE248" s="69"/>
      <c r="BF248" s="69"/>
      <c r="BG248" s="69"/>
      <c r="BH248" s="69"/>
      <c r="BI248" s="69"/>
      <c r="BJ248" s="68"/>
      <c r="BK248" s="69"/>
      <c r="BL248" s="67"/>
      <c r="BM248" s="67"/>
      <c r="BN248" s="56"/>
      <c r="BO248" s="56"/>
      <c r="BT248" s="63"/>
      <c r="BW248" s="56"/>
      <c r="BX248" s="56"/>
      <c r="BY248" s="56"/>
      <c r="BZ248" s="56"/>
      <c r="CA248" s="56"/>
      <c r="CF248" s="63"/>
      <c r="CI248" s="56"/>
      <c r="CJ248" s="56"/>
      <c r="CK248" s="56"/>
      <c r="CL248" s="56"/>
      <c r="CM248" s="56"/>
    </row>
    <row r="249" spans="18:93" ht="18" customHeight="1">
      <c r="R249" s="63"/>
      <c r="V249" s="170"/>
      <c r="W249" s="56"/>
      <c r="X249" s="56"/>
      <c r="Y249" s="56"/>
      <c r="AD249" s="63"/>
      <c r="AG249" s="56"/>
      <c r="AH249" s="56"/>
      <c r="AI249" s="56"/>
      <c r="AJ249" s="56"/>
      <c r="AK249" s="56"/>
      <c r="AO249" s="68"/>
      <c r="AP249" s="76"/>
      <c r="AQ249" s="67"/>
      <c r="AR249" s="68"/>
      <c r="AS249" s="69"/>
      <c r="AT249" s="69"/>
      <c r="AU249" s="69"/>
      <c r="AV249" s="69"/>
      <c r="AW249" s="69"/>
      <c r="AX249" s="68"/>
      <c r="AY249" s="69"/>
      <c r="AZ249" s="67"/>
      <c r="BA249" s="69"/>
      <c r="BB249" s="76"/>
      <c r="BC249" s="67"/>
      <c r="BD249" s="68"/>
      <c r="BE249" s="69"/>
      <c r="BF249" s="69"/>
      <c r="BG249" s="69"/>
      <c r="BH249" s="69"/>
      <c r="BI249" s="69"/>
      <c r="BJ249" s="68"/>
      <c r="BK249" s="69"/>
      <c r="BL249" s="67"/>
      <c r="BM249" s="67"/>
      <c r="BN249" s="56"/>
      <c r="BO249" s="56"/>
      <c r="BT249" s="63"/>
      <c r="BW249" s="56"/>
      <c r="BX249" s="56"/>
      <c r="BY249" s="56"/>
      <c r="BZ249" s="56"/>
      <c r="CA249" s="56"/>
      <c r="CF249" s="63"/>
      <c r="CI249" s="56"/>
      <c r="CJ249" s="56"/>
      <c r="CK249" s="56"/>
      <c r="CL249" s="56"/>
      <c r="CM249" s="56"/>
    </row>
    <row r="250" spans="18:93" ht="18" customHeight="1">
      <c r="AO250" s="68"/>
      <c r="AP250" s="67"/>
      <c r="AQ250" s="67"/>
      <c r="AR250" s="68"/>
      <c r="AS250" s="68"/>
      <c r="AT250" s="68"/>
      <c r="AU250" s="68"/>
      <c r="AV250" s="68"/>
      <c r="AW250" s="68"/>
      <c r="AX250" s="68"/>
      <c r="AY250" s="69"/>
      <c r="AZ250" s="67"/>
      <c r="BA250" s="68"/>
      <c r="BB250" s="67"/>
      <c r="BC250" s="67"/>
      <c r="BD250" s="68"/>
      <c r="BE250" s="68"/>
      <c r="BF250" s="68"/>
      <c r="BG250" s="68"/>
      <c r="BH250" s="68"/>
      <c r="BI250" s="68"/>
      <c r="BJ250" s="68"/>
      <c r="BK250" s="69"/>
      <c r="BL250" s="67"/>
      <c r="BM250" s="67"/>
    </row>
    <row r="251" spans="18:93" ht="18" customHeight="1">
      <c r="R251" s="63"/>
      <c r="S251" s="64"/>
      <c r="Y251" s="531"/>
      <c r="Z251" s="531"/>
      <c r="AA251" s="531"/>
      <c r="AD251" s="63"/>
      <c r="AE251" s="64"/>
      <c r="AK251" s="531"/>
      <c r="AL251" s="531"/>
      <c r="AM251" s="531"/>
      <c r="AO251" s="68"/>
      <c r="AP251" s="76"/>
      <c r="AQ251" s="77"/>
      <c r="AR251" s="68"/>
      <c r="AS251" s="68"/>
      <c r="AT251" s="68"/>
      <c r="AU251" s="68"/>
      <c r="AV251" s="68"/>
      <c r="AW251" s="533"/>
      <c r="AX251" s="533"/>
      <c r="AY251" s="533"/>
      <c r="AZ251" s="67"/>
      <c r="BA251" s="68"/>
      <c r="BB251" s="76"/>
      <c r="BC251" s="77"/>
      <c r="BD251" s="68"/>
      <c r="BE251" s="68"/>
      <c r="BF251" s="68"/>
      <c r="BG251" s="68"/>
      <c r="BH251" s="68"/>
      <c r="BI251" s="533"/>
      <c r="BJ251" s="533"/>
      <c r="BK251" s="533"/>
      <c r="BL251" s="67"/>
      <c r="BM251" s="67"/>
      <c r="BO251" s="531"/>
      <c r="BP251" s="531"/>
      <c r="BQ251" s="531"/>
      <c r="BT251" s="63"/>
      <c r="BU251" s="64"/>
      <c r="CA251" s="531"/>
      <c r="CB251" s="531"/>
      <c r="CC251" s="531"/>
      <c r="CF251" s="63"/>
      <c r="CG251" s="64"/>
      <c r="CM251" s="531"/>
      <c r="CN251" s="531"/>
      <c r="CO251" s="531"/>
    </row>
    <row r="252" spans="18:93" ht="18" customHeight="1">
      <c r="R252" s="63"/>
      <c r="V252" s="170"/>
      <c r="W252" s="56"/>
      <c r="X252" s="56"/>
      <c r="Y252" s="56"/>
      <c r="AD252" s="63"/>
      <c r="AG252" s="56"/>
      <c r="AH252" s="56"/>
      <c r="AI252" s="56"/>
      <c r="AJ252" s="56"/>
      <c r="AK252" s="56"/>
      <c r="AO252" s="68"/>
      <c r="AP252" s="76"/>
      <c r="AQ252" s="67"/>
      <c r="AR252" s="68"/>
      <c r="AS252" s="69"/>
      <c r="AT252" s="69"/>
      <c r="AU252" s="69"/>
      <c r="AV252" s="69"/>
      <c r="AW252" s="69"/>
      <c r="AX252" s="68"/>
      <c r="AY252" s="69"/>
      <c r="AZ252" s="67"/>
      <c r="BA252" s="69"/>
      <c r="BB252" s="76"/>
      <c r="BC252" s="67"/>
      <c r="BD252" s="68"/>
      <c r="BE252" s="69"/>
      <c r="BF252" s="69"/>
      <c r="BG252" s="69"/>
      <c r="BH252" s="69"/>
      <c r="BI252" s="69"/>
      <c r="BJ252" s="68"/>
      <c r="BK252" s="69"/>
      <c r="BL252" s="67"/>
      <c r="BM252" s="67"/>
      <c r="BN252" s="56"/>
      <c r="BO252" s="56"/>
      <c r="BT252" s="63"/>
      <c r="BW252" s="56"/>
      <c r="BX252" s="56"/>
      <c r="BY252" s="56"/>
      <c r="BZ252" s="56"/>
      <c r="CA252" s="56"/>
      <c r="CF252" s="63"/>
      <c r="CI252" s="56"/>
      <c r="CJ252" s="56"/>
      <c r="CK252" s="56"/>
      <c r="CL252" s="56"/>
      <c r="CM252" s="56"/>
    </row>
    <row r="253" spans="18:93" ht="18" customHeight="1">
      <c r="R253" s="63"/>
      <c r="V253" s="170"/>
      <c r="W253" s="56"/>
      <c r="X253" s="56"/>
      <c r="Y253" s="56"/>
      <c r="AD253" s="63"/>
      <c r="AG253" s="56"/>
      <c r="AH253" s="56"/>
      <c r="AI253" s="56"/>
      <c r="AJ253" s="56"/>
      <c r="AK253" s="56"/>
      <c r="AO253" s="68"/>
      <c r="AP253" s="76"/>
      <c r="AQ253" s="67"/>
      <c r="AR253" s="68"/>
      <c r="AS253" s="69"/>
      <c r="AT253" s="69"/>
      <c r="AU253" s="69"/>
      <c r="AV253" s="69"/>
      <c r="AW253" s="69"/>
      <c r="AX253" s="68"/>
      <c r="AY253" s="69"/>
      <c r="AZ253" s="67"/>
      <c r="BA253" s="69"/>
      <c r="BB253" s="76"/>
      <c r="BC253" s="67"/>
      <c r="BD253" s="68"/>
      <c r="BE253" s="69"/>
      <c r="BF253" s="69"/>
      <c r="BG253" s="69"/>
      <c r="BH253" s="69"/>
      <c r="BI253" s="69"/>
      <c r="BJ253" s="68"/>
      <c r="BK253" s="69"/>
      <c r="BL253" s="67"/>
      <c r="BM253" s="67"/>
      <c r="BN253" s="56"/>
      <c r="BO253" s="56"/>
      <c r="BT253" s="63"/>
      <c r="BW253" s="56"/>
      <c r="BX253" s="56"/>
      <c r="BY253" s="56"/>
      <c r="BZ253" s="56"/>
      <c r="CA253" s="56"/>
      <c r="CF253" s="63"/>
      <c r="CI253" s="56"/>
      <c r="CJ253" s="56"/>
      <c r="CK253" s="56"/>
      <c r="CL253" s="56"/>
      <c r="CM253" s="56"/>
    </row>
    <row r="254" spans="18:93" ht="18" customHeight="1">
      <c r="R254" s="63"/>
      <c r="V254" s="170"/>
      <c r="W254" s="56"/>
      <c r="X254" s="56"/>
      <c r="Y254" s="56"/>
      <c r="AD254" s="63"/>
      <c r="AG254" s="56"/>
      <c r="AH254" s="56"/>
      <c r="AI254" s="56"/>
      <c r="AJ254" s="56"/>
      <c r="AK254" s="56"/>
      <c r="AO254" s="68"/>
      <c r="AP254" s="76"/>
      <c r="AQ254" s="67"/>
      <c r="AR254" s="68"/>
      <c r="AS254" s="69"/>
      <c r="AT254" s="69"/>
      <c r="AU254" s="69"/>
      <c r="AV254" s="69"/>
      <c r="AW254" s="69"/>
      <c r="AX254" s="68"/>
      <c r="AY254" s="69"/>
      <c r="AZ254" s="67"/>
      <c r="BA254" s="69"/>
      <c r="BB254" s="76"/>
      <c r="BC254" s="67"/>
      <c r="BD254" s="68"/>
      <c r="BE254" s="69"/>
      <c r="BF254" s="69"/>
      <c r="BG254" s="69"/>
      <c r="BH254" s="69"/>
      <c r="BI254" s="69"/>
      <c r="BJ254" s="68"/>
      <c r="BK254" s="69"/>
      <c r="BL254" s="67"/>
      <c r="BM254" s="67"/>
      <c r="BN254" s="56"/>
      <c r="BO254" s="56"/>
      <c r="BT254" s="63"/>
      <c r="BW254" s="56"/>
      <c r="BX254" s="56"/>
      <c r="BY254" s="56"/>
      <c r="BZ254" s="56"/>
      <c r="CA254" s="56"/>
      <c r="CF254" s="63"/>
      <c r="CI254" s="56"/>
      <c r="CJ254" s="56"/>
      <c r="CK254" s="56"/>
      <c r="CL254" s="56"/>
      <c r="CM254" s="56"/>
    </row>
    <row r="255" spans="18:93" ht="18" customHeight="1">
      <c r="R255" s="63"/>
      <c r="V255" s="170"/>
      <c r="W255" s="56"/>
      <c r="X255" s="56"/>
      <c r="Y255" s="56"/>
      <c r="AD255" s="63"/>
      <c r="AG255" s="56"/>
      <c r="AH255" s="56"/>
      <c r="AI255" s="56"/>
      <c r="AJ255" s="56"/>
      <c r="AK255" s="56"/>
      <c r="AO255" s="68"/>
      <c r="AP255" s="76"/>
      <c r="AQ255" s="67"/>
      <c r="AR255" s="68"/>
      <c r="AS255" s="69"/>
      <c r="AT255" s="69"/>
      <c r="AU255" s="69"/>
      <c r="AV255" s="69"/>
      <c r="AW255" s="69"/>
      <c r="AX255" s="68"/>
      <c r="AY255" s="69"/>
      <c r="AZ255" s="67"/>
      <c r="BA255" s="69"/>
      <c r="BB255" s="76"/>
      <c r="BC255" s="67"/>
      <c r="BD255" s="68"/>
      <c r="BE255" s="69"/>
      <c r="BF255" s="69"/>
      <c r="BG255" s="69"/>
      <c r="BH255" s="69"/>
      <c r="BI255" s="69"/>
      <c r="BJ255" s="68"/>
      <c r="BK255" s="69"/>
      <c r="BL255" s="67"/>
      <c r="BM255" s="67"/>
      <c r="BN255" s="56"/>
      <c r="BO255" s="56"/>
      <c r="BT255" s="63"/>
      <c r="BW255" s="56"/>
      <c r="BX255" s="56"/>
      <c r="BY255" s="56"/>
      <c r="BZ255" s="56"/>
      <c r="CA255" s="56"/>
      <c r="CF255" s="63"/>
      <c r="CI255" s="56"/>
      <c r="CJ255" s="56"/>
      <c r="CK255" s="56"/>
      <c r="CL255" s="56"/>
      <c r="CM255" s="56"/>
    </row>
    <row r="256" spans="18:93" ht="18" customHeight="1">
      <c r="AO256" s="68"/>
      <c r="AP256" s="67"/>
      <c r="AQ256" s="67"/>
      <c r="AR256" s="68"/>
      <c r="AS256" s="68"/>
      <c r="AT256" s="68"/>
      <c r="AU256" s="68"/>
      <c r="AV256" s="68"/>
      <c r="AW256" s="68"/>
      <c r="AX256" s="68"/>
      <c r="AY256" s="69"/>
      <c r="AZ256" s="67"/>
      <c r="BA256" s="68"/>
      <c r="BB256" s="67"/>
      <c r="BC256" s="67"/>
      <c r="BD256" s="68"/>
      <c r="BE256" s="68"/>
      <c r="BF256" s="68"/>
      <c r="BG256" s="68"/>
      <c r="BH256" s="68"/>
      <c r="BI256" s="68"/>
      <c r="BJ256" s="68"/>
      <c r="BK256" s="69"/>
      <c r="BL256" s="67"/>
      <c r="BM256" s="67"/>
    </row>
    <row r="257" spans="18:93" ht="18" customHeight="1">
      <c r="R257" s="63"/>
      <c r="S257" s="64"/>
      <c r="Y257" s="531"/>
      <c r="Z257" s="531"/>
      <c r="AA257" s="531"/>
      <c r="AD257" s="63"/>
      <c r="AE257" s="64"/>
      <c r="AK257" s="531"/>
      <c r="AL257" s="531"/>
      <c r="AM257" s="531"/>
      <c r="AO257" s="68"/>
      <c r="AP257" s="76"/>
      <c r="AQ257" s="77"/>
      <c r="AR257" s="68"/>
      <c r="AS257" s="68"/>
      <c r="AT257" s="68"/>
      <c r="AU257" s="68"/>
      <c r="AV257" s="68"/>
      <c r="AW257" s="533"/>
      <c r="AX257" s="533"/>
      <c r="AY257" s="533"/>
      <c r="AZ257" s="67"/>
      <c r="BA257" s="68"/>
      <c r="BB257" s="76"/>
      <c r="BC257" s="77"/>
      <c r="BD257" s="68"/>
      <c r="BE257" s="68"/>
      <c r="BF257" s="68"/>
      <c r="BG257" s="68"/>
      <c r="BH257" s="68"/>
      <c r="BI257" s="533"/>
      <c r="BJ257" s="533"/>
      <c r="BK257" s="533"/>
      <c r="BL257" s="67"/>
      <c r="BM257" s="67"/>
      <c r="BO257" s="531"/>
      <c r="BP257" s="531"/>
      <c r="BQ257" s="531"/>
      <c r="BT257" s="63"/>
      <c r="BU257" s="64"/>
      <c r="CA257" s="531"/>
      <c r="CB257" s="531"/>
      <c r="CC257" s="531"/>
      <c r="CF257" s="63"/>
      <c r="CG257" s="64"/>
      <c r="CM257" s="531"/>
      <c r="CN257" s="531"/>
      <c r="CO257" s="531"/>
    </row>
    <row r="258" spans="18:93" ht="18" customHeight="1">
      <c r="R258" s="63"/>
      <c r="V258" s="170"/>
      <c r="W258" s="56"/>
      <c r="X258" s="56"/>
      <c r="Y258" s="56"/>
      <c r="AD258" s="63"/>
      <c r="AG258" s="56"/>
      <c r="AH258" s="56"/>
      <c r="AI258" s="56"/>
      <c r="AJ258" s="56"/>
      <c r="AK258" s="56"/>
      <c r="AO258" s="68"/>
      <c r="AP258" s="76"/>
      <c r="AQ258" s="67"/>
      <c r="AR258" s="68"/>
      <c r="AS258" s="69"/>
      <c r="AT258" s="69"/>
      <c r="AU258" s="69"/>
      <c r="AV258" s="69"/>
      <c r="AW258" s="69"/>
      <c r="AX258" s="68"/>
      <c r="AY258" s="69"/>
      <c r="AZ258" s="67"/>
      <c r="BA258" s="69"/>
      <c r="BB258" s="76"/>
      <c r="BC258" s="67"/>
      <c r="BD258" s="68"/>
      <c r="BE258" s="69"/>
      <c r="BF258" s="69"/>
      <c r="BG258" s="69"/>
      <c r="BH258" s="69"/>
      <c r="BI258" s="69"/>
      <c r="BJ258" s="68"/>
      <c r="BK258" s="69"/>
      <c r="BL258" s="67"/>
      <c r="BM258" s="67"/>
      <c r="BN258" s="56"/>
      <c r="BO258" s="56"/>
      <c r="BT258" s="63"/>
      <c r="BW258" s="56"/>
      <c r="BX258" s="56"/>
      <c r="BY258" s="56"/>
      <c r="BZ258" s="56"/>
      <c r="CA258" s="56"/>
      <c r="CF258" s="63"/>
      <c r="CI258" s="56"/>
      <c r="CJ258" s="56"/>
      <c r="CK258" s="56"/>
      <c r="CL258" s="56"/>
      <c r="CM258" s="56"/>
    </row>
    <row r="259" spans="18:93" ht="18" customHeight="1">
      <c r="R259" s="63"/>
      <c r="V259" s="170"/>
      <c r="W259" s="56"/>
      <c r="X259" s="56"/>
      <c r="Y259" s="56"/>
      <c r="AD259" s="63"/>
      <c r="AG259" s="56"/>
      <c r="AH259" s="56"/>
      <c r="AI259" s="56"/>
      <c r="AJ259" s="56"/>
      <c r="AK259" s="56"/>
      <c r="AO259" s="68"/>
      <c r="AP259" s="76"/>
      <c r="AQ259" s="67"/>
      <c r="AR259" s="68"/>
      <c r="AS259" s="69"/>
      <c r="AT259" s="69"/>
      <c r="AU259" s="69"/>
      <c r="AV259" s="69"/>
      <c r="AW259" s="69"/>
      <c r="AX259" s="68"/>
      <c r="AY259" s="69"/>
      <c r="AZ259" s="67"/>
      <c r="BA259" s="69"/>
      <c r="BB259" s="76"/>
      <c r="BC259" s="67"/>
      <c r="BD259" s="68"/>
      <c r="BE259" s="69"/>
      <c r="BF259" s="69"/>
      <c r="BG259" s="69"/>
      <c r="BH259" s="69"/>
      <c r="BI259" s="69"/>
      <c r="BJ259" s="68"/>
      <c r="BK259" s="69"/>
      <c r="BL259" s="67"/>
      <c r="BM259" s="67"/>
      <c r="BN259" s="56"/>
      <c r="BO259" s="56"/>
      <c r="BT259" s="63"/>
      <c r="BW259" s="56"/>
      <c r="BX259" s="56"/>
      <c r="BY259" s="56"/>
      <c r="BZ259" s="56"/>
      <c r="CA259" s="56"/>
      <c r="CF259" s="63"/>
      <c r="CI259" s="56"/>
      <c r="CJ259" s="56"/>
      <c r="CK259" s="56"/>
      <c r="CL259" s="56"/>
      <c r="CM259" s="56"/>
    </row>
    <row r="260" spans="18:93" ht="18" customHeight="1">
      <c r="R260" s="63"/>
      <c r="V260" s="170"/>
      <c r="W260" s="56"/>
      <c r="X260" s="56"/>
      <c r="Y260" s="56"/>
      <c r="AD260" s="63"/>
      <c r="AG260" s="56"/>
      <c r="AH260" s="56"/>
      <c r="AI260" s="56"/>
      <c r="AJ260" s="56"/>
      <c r="AK260" s="56"/>
      <c r="AO260" s="68"/>
      <c r="AP260" s="76"/>
      <c r="AQ260" s="67"/>
      <c r="AR260" s="68"/>
      <c r="AS260" s="69"/>
      <c r="AT260" s="69"/>
      <c r="AU260" s="69"/>
      <c r="AV260" s="69"/>
      <c r="AW260" s="69"/>
      <c r="AX260" s="68"/>
      <c r="AY260" s="69"/>
      <c r="AZ260" s="67"/>
      <c r="BA260" s="69"/>
      <c r="BB260" s="76"/>
      <c r="BC260" s="67"/>
      <c r="BD260" s="68"/>
      <c r="BE260" s="69"/>
      <c r="BF260" s="69"/>
      <c r="BG260" s="69"/>
      <c r="BH260" s="69"/>
      <c r="BI260" s="69"/>
      <c r="BJ260" s="68"/>
      <c r="BK260" s="69"/>
      <c r="BL260" s="67"/>
      <c r="BM260" s="67"/>
      <c r="BN260" s="56"/>
      <c r="BO260" s="56"/>
      <c r="BT260" s="63"/>
      <c r="BW260" s="56"/>
      <c r="BX260" s="56"/>
      <c r="BY260" s="56"/>
      <c r="BZ260" s="56"/>
      <c r="CA260" s="56"/>
      <c r="CF260" s="63"/>
      <c r="CI260" s="56"/>
      <c r="CJ260" s="56"/>
      <c r="CK260" s="56"/>
      <c r="CL260" s="56"/>
      <c r="CM260" s="56"/>
    </row>
    <row r="261" spans="18:93" ht="18" customHeight="1">
      <c r="R261" s="63"/>
      <c r="V261" s="170"/>
      <c r="W261" s="56"/>
      <c r="X261" s="56"/>
      <c r="Y261" s="56"/>
      <c r="AD261" s="63"/>
      <c r="AG261" s="56"/>
      <c r="AH261" s="56"/>
      <c r="AI261" s="56"/>
      <c r="AJ261" s="56"/>
      <c r="AK261" s="56"/>
      <c r="AO261" s="68"/>
      <c r="AP261" s="76"/>
      <c r="AQ261" s="67"/>
      <c r="AR261" s="68"/>
      <c r="AS261" s="69"/>
      <c r="AT261" s="69"/>
      <c r="AU261" s="69"/>
      <c r="AV261" s="69"/>
      <c r="AW261" s="69"/>
      <c r="AX261" s="68"/>
      <c r="AY261" s="69"/>
      <c r="AZ261" s="67"/>
      <c r="BA261" s="69"/>
      <c r="BB261" s="76"/>
      <c r="BC261" s="67"/>
      <c r="BD261" s="68"/>
      <c r="BE261" s="69"/>
      <c r="BF261" s="69"/>
      <c r="BG261" s="69"/>
      <c r="BH261" s="69"/>
      <c r="BI261" s="69"/>
      <c r="BJ261" s="68"/>
      <c r="BK261" s="69"/>
      <c r="BL261" s="67"/>
      <c r="BM261" s="67"/>
      <c r="BN261" s="56"/>
      <c r="BO261" s="56"/>
      <c r="BT261" s="63"/>
      <c r="BW261" s="56"/>
      <c r="BX261" s="56"/>
      <c r="BY261" s="56"/>
      <c r="BZ261" s="56"/>
      <c r="CA261" s="56"/>
      <c r="CF261" s="63"/>
      <c r="CI261" s="56"/>
      <c r="CJ261" s="56"/>
      <c r="CK261" s="56"/>
      <c r="CL261" s="56"/>
      <c r="CM261" s="56"/>
    </row>
    <row r="262" spans="18:93" ht="18" customHeight="1">
      <c r="AO262" s="68"/>
      <c r="AP262" s="67"/>
      <c r="AQ262" s="67"/>
      <c r="AR262" s="68"/>
      <c r="AS262" s="68"/>
      <c r="AT262" s="68"/>
      <c r="AU262" s="68"/>
      <c r="AV262" s="68"/>
      <c r="AW262" s="68"/>
      <c r="AX262" s="68"/>
      <c r="AY262" s="69"/>
      <c r="AZ262" s="67"/>
      <c r="BA262" s="68"/>
      <c r="BB262" s="67"/>
      <c r="BC262" s="67"/>
      <c r="BD262" s="68"/>
      <c r="BE262" s="68"/>
      <c r="BF262" s="68"/>
      <c r="BG262" s="68"/>
      <c r="BH262" s="68"/>
      <c r="BI262" s="68"/>
      <c r="BJ262" s="68"/>
      <c r="BK262" s="69"/>
      <c r="BL262" s="67"/>
      <c r="BM262" s="67"/>
    </row>
    <row r="263" spans="18:93" ht="18" customHeight="1">
      <c r="R263" s="63"/>
      <c r="S263" s="64"/>
      <c r="Y263" s="531"/>
      <c r="Z263" s="531"/>
      <c r="AA263" s="531"/>
      <c r="AD263" s="63"/>
      <c r="AE263" s="64"/>
      <c r="AK263" s="531"/>
      <c r="AL263" s="531"/>
      <c r="AM263" s="531"/>
      <c r="AO263" s="68"/>
      <c r="AP263" s="76"/>
      <c r="AQ263" s="77"/>
      <c r="AR263" s="68"/>
      <c r="AS263" s="68"/>
      <c r="AT263" s="68"/>
      <c r="AU263" s="68"/>
      <c r="AV263" s="68"/>
      <c r="AW263" s="533"/>
      <c r="AX263" s="533"/>
      <c r="AY263" s="533"/>
      <c r="AZ263" s="67"/>
      <c r="BA263" s="68"/>
      <c r="BB263" s="76"/>
      <c r="BC263" s="77"/>
      <c r="BD263" s="68"/>
      <c r="BE263" s="68"/>
      <c r="BF263" s="68"/>
      <c r="BG263" s="68"/>
      <c r="BH263" s="68"/>
      <c r="BI263" s="533"/>
      <c r="BJ263" s="533"/>
      <c r="BK263" s="533"/>
      <c r="BL263" s="67"/>
      <c r="BM263" s="67"/>
      <c r="BO263" s="531"/>
      <c r="BP263" s="531"/>
      <c r="BQ263" s="531"/>
      <c r="BT263" s="63"/>
      <c r="BU263" s="64"/>
      <c r="CA263" s="531"/>
      <c r="CB263" s="531"/>
      <c r="CC263" s="531"/>
      <c r="CF263" s="63"/>
      <c r="CG263" s="64"/>
      <c r="CM263" s="531"/>
      <c r="CN263" s="531"/>
      <c r="CO263" s="531"/>
    </row>
    <row r="264" spans="18:93" ht="18" customHeight="1">
      <c r="R264" s="63"/>
      <c r="V264" s="170"/>
      <c r="W264" s="56"/>
      <c r="X264" s="56"/>
      <c r="Y264" s="56"/>
      <c r="AD264" s="63"/>
      <c r="AG264" s="56"/>
      <c r="AH264" s="56"/>
      <c r="AI264" s="56"/>
      <c r="AJ264" s="56"/>
      <c r="AK264" s="56"/>
      <c r="AO264" s="68"/>
      <c r="AP264" s="76"/>
      <c r="AQ264" s="67"/>
      <c r="AR264" s="68"/>
      <c r="AS264" s="69"/>
      <c r="AT264" s="69"/>
      <c r="AU264" s="69"/>
      <c r="AV264" s="69"/>
      <c r="AW264" s="69"/>
      <c r="AX264" s="68"/>
      <c r="AY264" s="69"/>
      <c r="AZ264" s="67"/>
      <c r="BA264" s="69"/>
      <c r="BB264" s="76"/>
      <c r="BC264" s="67"/>
      <c r="BD264" s="68"/>
      <c r="BE264" s="69"/>
      <c r="BF264" s="69"/>
      <c r="BG264" s="69"/>
      <c r="BH264" s="69"/>
      <c r="BI264" s="69"/>
      <c r="BJ264" s="68"/>
      <c r="BK264" s="69"/>
      <c r="BL264" s="67"/>
      <c r="BM264" s="67"/>
      <c r="BN264" s="56"/>
      <c r="BO264" s="56"/>
      <c r="BT264" s="63"/>
      <c r="BW264" s="56"/>
      <c r="BX264" s="56"/>
      <c r="BY264" s="56"/>
      <c r="BZ264" s="56"/>
      <c r="CA264" s="56"/>
      <c r="CF264" s="63"/>
      <c r="CI264" s="56"/>
      <c r="CJ264" s="56"/>
      <c r="CK264" s="56"/>
      <c r="CL264" s="56"/>
      <c r="CM264" s="56"/>
    </row>
    <row r="265" spans="18:93" ht="18" customHeight="1">
      <c r="R265" s="63"/>
      <c r="V265" s="170"/>
      <c r="W265" s="56"/>
      <c r="X265" s="56"/>
      <c r="Y265" s="56"/>
      <c r="AD265" s="63"/>
      <c r="AG265" s="56"/>
      <c r="AH265" s="56"/>
      <c r="AI265" s="56"/>
      <c r="AJ265" s="56"/>
      <c r="AK265" s="56"/>
      <c r="AO265" s="68"/>
      <c r="AP265" s="76"/>
      <c r="AQ265" s="67"/>
      <c r="AR265" s="68"/>
      <c r="AS265" s="69"/>
      <c r="AT265" s="69"/>
      <c r="AU265" s="69"/>
      <c r="AV265" s="69"/>
      <c r="AW265" s="69"/>
      <c r="AX265" s="68"/>
      <c r="AY265" s="69"/>
      <c r="AZ265" s="67"/>
      <c r="BA265" s="69"/>
      <c r="BB265" s="76"/>
      <c r="BC265" s="67"/>
      <c r="BD265" s="68"/>
      <c r="BE265" s="69"/>
      <c r="BF265" s="69"/>
      <c r="BG265" s="69"/>
      <c r="BH265" s="69"/>
      <c r="BI265" s="69"/>
      <c r="BJ265" s="68"/>
      <c r="BK265" s="69"/>
      <c r="BL265" s="67"/>
      <c r="BM265" s="67"/>
      <c r="BN265" s="56"/>
      <c r="BO265" s="56"/>
      <c r="BT265" s="63"/>
      <c r="BW265" s="56"/>
      <c r="BX265" s="56"/>
      <c r="BY265" s="56"/>
      <c r="BZ265" s="56"/>
      <c r="CA265" s="56"/>
      <c r="CF265" s="63"/>
      <c r="CI265" s="56"/>
      <c r="CJ265" s="56"/>
      <c r="CK265" s="56"/>
      <c r="CL265" s="56"/>
      <c r="CM265" s="56"/>
    </row>
    <row r="266" spans="18:93" ht="18" customHeight="1">
      <c r="R266" s="63"/>
      <c r="V266" s="170"/>
      <c r="W266" s="56"/>
      <c r="X266" s="56"/>
      <c r="Y266" s="56"/>
      <c r="AD266" s="63"/>
      <c r="AG266" s="56"/>
      <c r="AH266" s="56"/>
      <c r="AI266" s="56"/>
      <c r="AJ266" s="56"/>
      <c r="AK266" s="56"/>
      <c r="AO266" s="68"/>
      <c r="AP266" s="76"/>
      <c r="AQ266" s="67"/>
      <c r="AR266" s="68"/>
      <c r="AS266" s="69"/>
      <c r="AT266" s="69"/>
      <c r="AU266" s="69"/>
      <c r="AV266" s="69"/>
      <c r="AW266" s="69"/>
      <c r="AX266" s="68"/>
      <c r="AY266" s="69"/>
      <c r="AZ266" s="67"/>
      <c r="BA266" s="69"/>
      <c r="BB266" s="76"/>
      <c r="BC266" s="67"/>
      <c r="BD266" s="68"/>
      <c r="BE266" s="69"/>
      <c r="BF266" s="69"/>
      <c r="BG266" s="69"/>
      <c r="BH266" s="69"/>
      <c r="BI266" s="69"/>
      <c r="BJ266" s="68"/>
      <c r="BK266" s="69"/>
      <c r="BL266" s="67"/>
      <c r="BM266" s="67"/>
      <c r="BN266" s="56"/>
      <c r="BO266" s="56"/>
      <c r="BT266" s="63"/>
      <c r="BW266" s="56"/>
      <c r="BX266" s="56"/>
      <c r="BY266" s="56"/>
      <c r="BZ266" s="56"/>
      <c r="CA266" s="56"/>
      <c r="CF266" s="63"/>
      <c r="CI266" s="56"/>
      <c r="CJ266" s="56"/>
      <c r="CK266" s="56"/>
      <c r="CL266" s="56"/>
      <c r="CM266" s="56"/>
    </row>
    <row r="267" spans="18:93" ht="18" customHeight="1">
      <c r="R267" s="63"/>
      <c r="V267" s="170"/>
      <c r="W267" s="56"/>
      <c r="X267" s="56"/>
      <c r="Y267" s="56"/>
      <c r="AD267" s="63"/>
      <c r="AG267" s="56"/>
      <c r="AH267" s="56"/>
      <c r="AI267" s="56"/>
      <c r="AJ267" s="56"/>
      <c r="AK267" s="56"/>
      <c r="AO267" s="68"/>
      <c r="AP267" s="76"/>
      <c r="AQ267" s="67"/>
      <c r="AR267" s="68"/>
      <c r="AS267" s="69"/>
      <c r="AT267" s="69"/>
      <c r="AU267" s="69"/>
      <c r="AV267" s="69"/>
      <c r="AW267" s="69"/>
      <c r="AX267" s="68"/>
      <c r="AY267" s="69"/>
      <c r="AZ267" s="67"/>
      <c r="BA267" s="69"/>
      <c r="BB267" s="76"/>
      <c r="BC267" s="67"/>
      <c r="BD267" s="68"/>
      <c r="BE267" s="69"/>
      <c r="BF267" s="69"/>
      <c r="BG267" s="69"/>
      <c r="BH267" s="69"/>
      <c r="BI267" s="69"/>
      <c r="BJ267" s="68"/>
      <c r="BK267" s="69"/>
      <c r="BL267" s="67"/>
      <c r="BM267" s="67"/>
      <c r="BN267" s="56"/>
      <c r="BO267" s="56"/>
      <c r="BT267" s="63"/>
      <c r="BW267" s="56"/>
      <c r="BX267" s="56"/>
      <c r="BY267" s="56"/>
      <c r="BZ267" s="56"/>
      <c r="CA267" s="56"/>
      <c r="CF267" s="63"/>
      <c r="CI267" s="56"/>
      <c r="CJ267" s="56"/>
      <c r="CK267" s="56"/>
      <c r="CL267" s="56"/>
      <c r="CM267" s="56"/>
    </row>
    <row r="268" spans="18:93" ht="18" customHeight="1">
      <c r="AO268" s="68"/>
      <c r="AP268" s="67"/>
      <c r="AQ268" s="67"/>
      <c r="AR268" s="68"/>
      <c r="AS268" s="68"/>
      <c r="AT268" s="68"/>
      <c r="AU268" s="68"/>
      <c r="AV268" s="68"/>
      <c r="AW268" s="68"/>
      <c r="AX268" s="68"/>
      <c r="AY268" s="69"/>
      <c r="AZ268" s="67"/>
      <c r="BA268" s="68"/>
      <c r="BB268" s="67"/>
      <c r="BC268" s="67"/>
      <c r="BD268" s="68"/>
      <c r="BE268" s="68"/>
      <c r="BF268" s="68"/>
      <c r="BG268" s="68"/>
      <c r="BH268" s="68"/>
      <c r="BI268" s="68"/>
      <c r="BJ268" s="68"/>
      <c r="BK268" s="69"/>
      <c r="BL268" s="67"/>
      <c r="BM268" s="67"/>
    </row>
    <row r="269" spans="18:93" ht="18" customHeight="1">
      <c r="R269" s="63"/>
      <c r="S269" s="64"/>
      <c r="Y269" s="531"/>
      <c r="Z269" s="531"/>
      <c r="AA269" s="531"/>
      <c r="AD269" s="63"/>
      <c r="AE269" s="64"/>
      <c r="AK269" s="531"/>
      <c r="AL269" s="531"/>
      <c r="AM269" s="531"/>
      <c r="AO269" s="68"/>
      <c r="AP269" s="76"/>
      <c r="AQ269" s="77"/>
      <c r="AR269" s="68"/>
      <c r="AS269" s="68"/>
      <c r="AT269" s="68"/>
      <c r="AU269" s="68"/>
      <c r="AV269" s="68"/>
      <c r="AW269" s="533"/>
      <c r="AX269" s="533"/>
      <c r="AY269" s="533"/>
      <c r="AZ269" s="67"/>
      <c r="BA269" s="68"/>
      <c r="BB269" s="76"/>
      <c r="BC269" s="77"/>
      <c r="BD269" s="68"/>
      <c r="BE269" s="68"/>
      <c r="BF269" s="68"/>
      <c r="BG269" s="68"/>
      <c r="BH269" s="68"/>
      <c r="BI269" s="533"/>
      <c r="BJ269" s="533"/>
      <c r="BK269" s="533"/>
      <c r="BL269" s="67"/>
      <c r="BM269" s="67"/>
      <c r="BO269" s="531"/>
      <c r="BP269" s="531"/>
      <c r="BQ269" s="531"/>
      <c r="BT269" s="63"/>
      <c r="BU269" s="64"/>
      <c r="CA269" s="531"/>
      <c r="CB269" s="531"/>
      <c r="CC269" s="531"/>
      <c r="CF269" s="63"/>
      <c r="CG269" s="64"/>
      <c r="CM269" s="531"/>
      <c r="CN269" s="531"/>
      <c r="CO269" s="531"/>
    </row>
    <row r="270" spans="18:93" ht="18" customHeight="1">
      <c r="R270" s="63"/>
      <c r="V270" s="170"/>
      <c r="W270" s="56"/>
      <c r="X270" s="56"/>
      <c r="Y270" s="56"/>
      <c r="AD270" s="63"/>
      <c r="AG270" s="56"/>
      <c r="AH270" s="56"/>
      <c r="AI270" s="56"/>
      <c r="AJ270" s="56"/>
      <c r="AK270" s="56"/>
      <c r="AO270" s="68"/>
      <c r="AP270" s="76"/>
      <c r="AQ270" s="67"/>
      <c r="AR270" s="68"/>
      <c r="AS270" s="69"/>
      <c r="AT270" s="69"/>
      <c r="AU270" s="69"/>
      <c r="AV270" s="69"/>
      <c r="AW270" s="69"/>
      <c r="AX270" s="68"/>
      <c r="AY270" s="69"/>
      <c r="AZ270" s="67"/>
      <c r="BA270" s="69"/>
      <c r="BB270" s="76"/>
      <c r="BC270" s="67"/>
      <c r="BD270" s="68"/>
      <c r="BE270" s="69"/>
      <c r="BF270" s="69"/>
      <c r="BG270" s="69"/>
      <c r="BH270" s="69"/>
      <c r="BI270" s="69"/>
      <c r="BJ270" s="68"/>
      <c r="BK270" s="69"/>
      <c r="BL270" s="67"/>
      <c r="BM270" s="67"/>
      <c r="BN270" s="56"/>
      <c r="BO270" s="56"/>
      <c r="BT270" s="63"/>
      <c r="BW270" s="56"/>
      <c r="BX270" s="56"/>
      <c r="BY270" s="56"/>
      <c r="BZ270" s="56"/>
      <c r="CA270" s="56"/>
      <c r="CF270" s="63"/>
      <c r="CI270" s="56"/>
      <c r="CJ270" s="56"/>
      <c r="CK270" s="56"/>
      <c r="CL270" s="56"/>
      <c r="CM270" s="56"/>
    </row>
    <row r="271" spans="18:93" ht="18" customHeight="1">
      <c r="R271" s="63"/>
      <c r="V271" s="170"/>
      <c r="W271" s="56"/>
      <c r="X271" s="56"/>
      <c r="Y271" s="56"/>
      <c r="AD271" s="63"/>
      <c r="AG271" s="56"/>
      <c r="AH271" s="56"/>
      <c r="AI271" s="56"/>
      <c r="AJ271" s="56"/>
      <c r="AK271" s="56"/>
      <c r="AO271" s="68"/>
      <c r="AP271" s="76"/>
      <c r="AQ271" s="67"/>
      <c r="AR271" s="68"/>
      <c r="AS271" s="69"/>
      <c r="AT271" s="69"/>
      <c r="AU271" s="69"/>
      <c r="AV271" s="69"/>
      <c r="AW271" s="69"/>
      <c r="AX271" s="68"/>
      <c r="AY271" s="69"/>
      <c r="AZ271" s="67"/>
      <c r="BA271" s="69"/>
      <c r="BB271" s="76"/>
      <c r="BC271" s="67"/>
      <c r="BD271" s="68"/>
      <c r="BE271" s="69"/>
      <c r="BF271" s="69"/>
      <c r="BG271" s="69"/>
      <c r="BH271" s="69"/>
      <c r="BI271" s="69"/>
      <c r="BJ271" s="68"/>
      <c r="BK271" s="69"/>
      <c r="BL271" s="67"/>
      <c r="BM271" s="67"/>
      <c r="BN271" s="56"/>
      <c r="BO271" s="56"/>
      <c r="BT271" s="63"/>
      <c r="BW271" s="56"/>
      <c r="BX271" s="56"/>
      <c r="BY271" s="56"/>
      <c r="BZ271" s="56"/>
      <c r="CA271" s="56"/>
      <c r="CF271" s="63"/>
      <c r="CI271" s="56"/>
      <c r="CJ271" s="56"/>
      <c r="CK271" s="56"/>
      <c r="CL271" s="56"/>
      <c r="CM271" s="56"/>
    </row>
    <row r="272" spans="18:93" ht="18" customHeight="1">
      <c r="R272" s="63"/>
      <c r="V272" s="170"/>
      <c r="W272" s="56"/>
      <c r="X272" s="56"/>
      <c r="Y272" s="56"/>
      <c r="AD272" s="63"/>
      <c r="AG272" s="56"/>
      <c r="AH272" s="56"/>
      <c r="AI272" s="56"/>
      <c r="AJ272" s="56"/>
      <c r="AK272" s="56"/>
      <c r="AO272" s="68"/>
      <c r="AP272" s="76"/>
      <c r="AQ272" s="67"/>
      <c r="AR272" s="68"/>
      <c r="AS272" s="69"/>
      <c r="AT272" s="69"/>
      <c r="AU272" s="69"/>
      <c r="AV272" s="69"/>
      <c r="AW272" s="69"/>
      <c r="AX272" s="68"/>
      <c r="AY272" s="69"/>
      <c r="AZ272" s="67"/>
      <c r="BA272" s="69"/>
      <c r="BB272" s="76"/>
      <c r="BC272" s="67"/>
      <c r="BD272" s="68"/>
      <c r="BE272" s="69"/>
      <c r="BF272" s="69"/>
      <c r="BG272" s="69"/>
      <c r="BH272" s="69"/>
      <c r="BI272" s="69"/>
      <c r="BJ272" s="68"/>
      <c r="BK272" s="69"/>
      <c r="BL272" s="67"/>
      <c r="BM272" s="67"/>
      <c r="BN272" s="56"/>
      <c r="BO272" s="56"/>
      <c r="BT272" s="63"/>
      <c r="BW272" s="56"/>
      <c r="BX272" s="56"/>
      <c r="BY272" s="56"/>
      <c r="BZ272" s="56"/>
      <c r="CA272" s="56"/>
      <c r="CF272" s="63"/>
      <c r="CI272" s="56"/>
      <c r="CJ272" s="56"/>
      <c r="CK272" s="56"/>
      <c r="CL272" s="56"/>
      <c r="CM272" s="56"/>
    </row>
    <row r="273" spans="18:93" ht="18" customHeight="1">
      <c r="R273" s="63"/>
      <c r="V273" s="170"/>
      <c r="W273" s="56"/>
      <c r="X273" s="56"/>
      <c r="Y273" s="56"/>
      <c r="AD273" s="63"/>
      <c r="AG273" s="56"/>
      <c r="AH273" s="56"/>
      <c r="AI273" s="56"/>
      <c r="AJ273" s="56"/>
      <c r="AK273" s="56"/>
      <c r="AO273" s="68"/>
      <c r="AP273" s="76"/>
      <c r="AQ273" s="67"/>
      <c r="AR273" s="68"/>
      <c r="AS273" s="69"/>
      <c r="AT273" s="69"/>
      <c r="AU273" s="69"/>
      <c r="AV273" s="69"/>
      <c r="AW273" s="69"/>
      <c r="AX273" s="68"/>
      <c r="AY273" s="69"/>
      <c r="AZ273" s="67"/>
      <c r="BA273" s="69"/>
      <c r="BB273" s="76"/>
      <c r="BC273" s="67"/>
      <c r="BD273" s="68"/>
      <c r="BE273" s="69"/>
      <c r="BF273" s="69"/>
      <c r="BG273" s="69"/>
      <c r="BH273" s="69"/>
      <c r="BI273" s="69"/>
      <c r="BJ273" s="68"/>
      <c r="BK273" s="69"/>
      <c r="BL273" s="67"/>
      <c r="BM273" s="67"/>
      <c r="BN273" s="56"/>
      <c r="BO273" s="56"/>
      <c r="BT273" s="63"/>
      <c r="BW273" s="56"/>
      <c r="BX273" s="56"/>
      <c r="BY273" s="56"/>
      <c r="BZ273" s="56"/>
      <c r="CA273" s="56"/>
      <c r="CF273" s="63"/>
      <c r="CI273" s="56"/>
      <c r="CJ273" s="56"/>
      <c r="CK273" s="56"/>
      <c r="CL273" s="56"/>
      <c r="CM273" s="56"/>
    </row>
    <row r="274" spans="18:93" ht="18" customHeight="1">
      <c r="AO274" s="68"/>
      <c r="AP274" s="67"/>
      <c r="AQ274" s="67"/>
      <c r="AR274" s="68"/>
      <c r="AS274" s="68"/>
      <c r="AT274" s="68"/>
      <c r="AU274" s="68"/>
      <c r="AV274" s="68"/>
      <c r="AW274" s="68"/>
      <c r="AX274" s="68"/>
      <c r="AY274" s="69"/>
      <c r="AZ274" s="67"/>
      <c r="BA274" s="68"/>
      <c r="BB274" s="67"/>
      <c r="BC274" s="67"/>
      <c r="BD274" s="68"/>
      <c r="BE274" s="68"/>
      <c r="BF274" s="68"/>
      <c r="BG274" s="68"/>
      <c r="BH274" s="68"/>
      <c r="BI274" s="68"/>
      <c r="BJ274" s="68"/>
      <c r="BK274" s="69"/>
      <c r="BL274" s="67"/>
      <c r="BM274" s="67"/>
    </row>
    <row r="275" spans="18:93" ht="18" customHeight="1">
      <c r="R275" s="63"/>
      <c r="S275" s="64"/>
      <c r="Y275" s="531"/>
      <c r="Z275" s="531"/>
      <c r="AA275" s="531"/>
      <c r="AD275" s="63"/>
      <c r="AE275" s="64"/>
      <c r="AK275" s="531"/>
      <c r="AL275" s="531"/>
      <c r="AM275" s="531"/>
      <c r="AO275" s="68"/>
      <c r="AP275" s="76"/>
      <c r="AQ275" s="77"/>
      <c r="AR275" s="68"/>
      <c r="AS275" s="68"/>
      <c r="AT275" s="68"/>
      <c r="AU275" s="68"/>
      <c r="AV275" s="68"/>
      <c r="AW275" s="533"/>
      <c r="AX275" s="533"/>
      <c r="AY275" s="533"/>
      <c r="AZ275" s="67"/>
      <c r="BA275" s="68"/>
      <c r="BB275" s="76"/>
      <c r="BC275" s="77"/>
      <c r="BD275" s="68"/>
      <c r="BE275" s="68"/>
      <c r="BF275" s="68"/>
      <c r="BG275" s="68"/>
      <c r="BH275" s="68"/>
      <c r="BI275" s="533"/>
      <c r="BJ275" s="533"/>
      <c r="BK275" s="533"/>
      <c r="BL275" s="67"/>
      <c r="BM275" s="67"/>
      <c r="BO275" s="531"/>
      <c r="BP275" s="531"/>
      <c r="BQ275" s="531"/>
      <c r="BT275" s="63"/>
      <c r="BU275" s="64"/>
      <c r="CA275" s="531"/>
      <c r="CB275" s="531"/>
      <c r="CC275" s="531"/>
      <c r="CF275" s="63"/>
      <c r="CG275" s="64"/>
      <c r="CM275" s="531"/>
      <c r="CN275" s="531"/>
      <c r="CO275" s="531"/>
    </row>
    <row r="276" spans="18:93" ht="18" customHeight="1">
      <c r="R276" s="63"/>
      <c r="V276" s="170"/>
      <c r="W276" s="56"/>
      <c r="X276" s="56"/>
      <c r="Y276" s="56"/>
      <c r="AD276" s="63"/>
      <c r="AG276" s="56"/>
      <c r="AH276" s="56"/>
      <c r="AI276" s="56"/>
      <c r="AJ276" s="56"/>
      <c r="AK276" s="56"/>
      <c r="AO276" s="68"/>
      <c r="AP276" s="76"/>
      <c r="AQ276" s="67"/>
      <c r="AR276" s="68"/>
      <c r="AS276" s="69"/>
      <c r="AT276" s="69"/>
      <c r="AU276" s="69"/>
      <c r="AV276" s="69"/>
      <c r="AW276" s="69"/>
      <c r="AX276" s="68"/>
      <c r="AY276" s="69"/>
      <c r="AZ276" s="67"/>
      <c r="BA276" s="69"/>
      <c r="BB276" s="76"/>
      <c r="BC276" s="67"/>
      <c r="BD276" s="68"/>
      <c r="BE276" s="69"/>
      <c r="BF276" s="69"/>
      <c r="BG276" s="69"/>
      <c r="BH276" s="69"/>
      <c r="BI276" s="69"/>
      <c r="BJ276" s="68"/>
      <c r="BK276" s="69"/>
      <c r="BL276" s="67"/>
      <c r="BM276" s="67"/>
      <c r="BN276" s="56"/>
      <c r="BO276" s="56"/>
      <c r="BT276" s="63"/>
      <c r="BW276" s="56"/>
      <c r="BX276" s="56"/>
      <c r="BY276" s="56"/>
      <c r="BZ276" s="56"/>
      <c r="CA276" s="56"/>
      <c r="CF276" s="63"/>
      <c r="CI276" s="56"/>
      <c r="CJ276" s="56"/>
      <c r="CK276" s="56"/>
      <c r="CL276" s="56"/>
      <c r="CM276" s="56"/>
    </row>
    <row r="277" spans="18:93" ht="18" customHeight="1">
      <c r="R277" s="63"/>
      <c r="V277" s="170"/>
      <c r="W277" s="56"/>
      <c r="X277" s="56"/>
      <c r="Y277" s="56"/>
      <c r="AD277" s="63"/>
      <c r="AG277" s="56"/>
      <c r="AH277" s="56"/>
      <c r="AI277" s="56"/>
      <c r="AJ277" s="56"/>
      <c r="AK277" s="56"/>
      <c r="AO277" s="68"/>
      <c r="AP277" s="76"/>
      <c r="AQ277" s="67"/>
      <c r="AR277" s="68"/>
      <c r="AS277" s="69"/>
      <c r="AT277" s="69"/>
      <c r="AU277" s="69"/>
      <c r="AV277" s="69"/>
      <c r="AW277" s="69"/>
      <c r="AX277" s="68"/>
      <c r="AY277" s="69"/>
      <c r="AZ277" s="67"/>
      <c r="BA277" s="69"/>
      <c r="BB277" s="76"/>
      <c r="BC277" s="67"/>
      <c r="BD277" s="68"/>
      <c r="BE277" s="69"/>
      <c r="BF277" s="69"/>
      <c r="BG277" s="69"/>
      <c r="BH277" s="69"/>
      <c r="BI277" s="69"/>
      <c r="BJ277" s="68"/>
      <c r="BK277" s="69"/>
      <c r="BL277" s="67"/>
      <c r="BM277" s="67"/>
      <c r="BN277" s="56"/>
      <c r="BO277" s="56"/>
      <c r="BT277" s="63"/>
      <c r="BW277" s="56"/>
      <c r="BX277" s="56"/>
      <c r="BY277" s="56"/>
      <c r="BZ277" s="56"/>
      <c r="CA277" s="56"/>
      <c r="CF277" s="63"/>
      <c r="CI277" s="56"/>
      <c r="CJ277" s="56"/>
      <c r="CK277" s="56"/>
      <c r="CL277" s="56"/>
      <c r="CM277" s="56"/>
    </row>
    <row r="278" spans="18:93" ht="18" customHeight="1">
      <c r="R278" s="63"/>
      <c r="V278" s="170"/>
      <c r="W278" s="56"/>
      <c r="X278" s="56"/>
      <c r="Y278" s="56"/>
      <c r="AD278" s="63"/>
      <c r="AG278" s="56"/>
      <c r="AH278" s="56"/>
      <c r="AI278" s="56"/>
      <c r="AJ278" s="56"/>
      <c r="AK278" s="56"/>
      <c r="AO278" s="68"/>
      <c r="AP278" s="76"/>
      <c r="AQ278" s="67"/>
      <c r="AR278" s="68"/>
      <c r="AS278" s="69"/>
      <c r="AT278" s="69"/>
      <c r="AU278" s="69"/>
      <c r="AV278" s="69"/>
      <c r="AW278" s="69"/>
      <c r="AX278" s="68"/>
      <c r="AY278" s="69"/>
      <c r="AZ278" s="67"/>
      <c r="BA278" s="69"/>
      <c r="BB278" s="76"/>
      <c r="BC278" s="67"/>
      <c r="BD278" s="68"/>
      <c r="BE278" s="69"/>
      <c r="BF278" s="69"/>
      <c r="BG278" s="69"/>
      <c r="BH278" s="69"/>
      <c r="BI278" s="69"/>
      <c r="BJ278" s="68"/>
      <c r="BK278" s="69"/>
      <c r="BL278" s="67"/>
      <c r="BM278" s="67"/>
      <c r="BN278" s="56"/>
      <c r="BO278" s="56"/>
      <c r="BT278" s="63"/>
      <c r="BW278" s="56"/>
      <c r="BX278" s="56"/>
      <c r="BY278" s="56"/>
      <c r="BZ278" s="56"/>
      <c r="CA278" s="56"/>
      <c r="CF278" s="63"/>
      <c r="CI278" s="56"/>
      <c r="CJ278" s="56"/>
      <c r="CK278" s="56"/>
      <c r="CL278" s="56"/>
      <c r="CM278" s="56"/>
    </row>
    <row r="279" spans="18:93" ht="18" customHeight="1">
      <c r="R279" s="63"/>
      <c r="V279" s="170"/>
      <c r="W279" s="56"/>
      <c r="X279" s="56"/>
      <c r="Y279" s="56"/>
      <c r="AD279" s="63"/>
      <c r="AG279" s="56"/>
      <c r="AH279" s="56"/>
      <c r="AI279" s="56"/>
      <c r="AJ279" s="56"/>
      <c r="AK279" s="56"/>
      <c r="AO279" s="68"/>
      <c r="AP279" s="76"/>
      <c r="AQ279" s="67"/>
      <c r="AR279" s="68"/>
      <c r="AS279" s="69"/>
      <c r="AT279" s="69"/>
      <c r="AU279" s="69"/>
      <c r="AV279" s="69"/>
      <c r="AW279" s="69"/>
      <c r="AX279" s="68"/>
      <c r="AY279" s="69"/>
      <c r="AZ279" s="67"/>
      <c r="BA279" s="69"/>
      <c r="BB279" s="76"/>
      <c r="BC279" s="67"/>
      <c r="BD279" s="68"/>
      <c r="BE279" s="69"/>
      <c r="BF279" s="69"/>
      <c r="BG279" s="69"/>
      <c r="BH279" s="69"/>
      <c r="BI279" s="69"/>
      <c r="BJ279" s="68"/>
      <c r="BK279" s="69"/>
      <c r="BL279" s="67"/>
      <c r="BM279" s="67"/>
      <c r="BN279" s="56"/>
      <c r="BO279" s="56"/>
      <c r="BT279" s="63"/>
      <c r="BW279" s="56"/>
      <c r="BX279" s="56"/>
      <c r="BY279" s="56"/>
      <c r="BZ279" s="56"/>
      <c r="CA279" s="56"/>
      <c r="CF279" s="63"/>
      <c r="CI279" s="56"/>
      <c r="CJ279" s="56"/>
      <c r="CK279" s="56"/>
      <c r="CL279" s="56"/>
      <c r="CM279" s="56"/>
    </row>
    <row r="280" spans="18:93" ht="18" customHeight="1">
      <c r="AO280" s="68"/>
      <c r="AP280" s="67"/>
      <c r="AQ280" s="67"/>
      <c r="AR280" s="68"/>
      <c r="AS280" s="68"/>
      <c r="AT280" s="68"/>
      <c r="AU280" s="68"/>
      <c r="AV280" s="68"/>
      <c r="AW280" s="68"/>
      <c r="AX280" s="68"/>
      <c r="AY280" s="69"/>
      <c r="AZ280" s="67"/>
      <c r="BA280" s="68"/>
      <c r="BB280" s="67"/>
      <c r="BC280" s="67"/>
      <c r="BD280" s="68"/>
      <c r="BE280" s="68"/>
      <c r="BF280" s="68"/>
      <c r="BG280" s="68"/>
      <c r="BH280" s="68"/>
      <c r="BI280" s="68"/>
      <c r="BJ280" s="68"/>
      <c r="BK280" s="69"/>
      <c r="BL280" s="67"/>
      <c r="BM280" s="67"/>
    </row>
    <row r="281" spans="18:93" ht="18" customHeight="1">
      <c r="R281" s="63"/>
      <c r="S281" s="64"/>
      <c r="Y281" s="531"/>
      <c r="Z281" s="531"/>
      <c r="AA281" s="531"/>
      <c r="AD281" s="63"/>
      <c r="AE281" s="64"/>
      <c r="AK281" s="531"/>
      <c r="AL281" s="531"/>
      <c r="AM281" s="531"/>
      <c r="AO281" s="68"/>
      <c r="AP281" s="76"/>
      <c r="AQ281" s="77"/>
      <c r="AR281" s="68"/>
      <c r="AS281" s="68"/>
      <c r="AT281" s="68"/>
      <c r="AU281" s="68"/>
      <c r="AV281" s="68"/>
      <c r="AW281" s="533"/>
      <c r="AX281" s="533"/>
      <c r="AY281" s="533"/>
      <c r="AZ281" s="67"/>
      <c r="BA281" s="68"/>
      <c r="BB281" s="76"/>
      <c r="BC281" s="77"/>
      <c r="BD281" s="68"/>
      <c r="BE281" s="68"/>
      <c r="BF281" s="68"/>
      <c r="BG281" s="68"/>
      <c r="BH281" s="68"/>
      <c r="BI281" s="533"/>
      <c r="BJ281" s="533"/>
      <c r="BK281" s="533"/>
      <c r="BL281" s="67"/>
      <c r="BM281" s="67"/>
      <c r="BO281" s="531"/>
      <c r="BP281" s="531"/>
      <c r="BQ281" s="531"/>
      <c r="BT281" s="63"/>
      <c r="BU281" s="64"/>
      <c r="CA281" s="531"/>
      <c r="CB281" s="531"/>
      <c r="CC281" s="531"/>
      <c r="CF281" s="63"/>
      <c r="CG281" s="64"/>
      <c r="CM281" s="531"/>
      <c r="CN281" s="531"/>
      <c r="CO281" s="531"/>
    </row>
    <row r="282" spans="18:93" ht="18" customHeight="1">
      <c r="R282" s="63"/>
      <c r="V282" s="170"/>
      <c r="W282" s="56"/>
      <c r="X282" s="56"/>
      <c r="Y282" s="56"/>
      <c r="AD282" s="63"/>
      <c r="AG282" s="56"/>
      <c r="AH282" s="56"/>
      <c r="AI282" s="56"/>
      <c r="AJ282" s="56"/>
      <c r="AK282" s="56"/>
      <c r="AO282" s="68"/>
      <c r="AP282" s="76"/>
      <c r="AQ282" s="67"/>
      <c r="AR282" s="68"/>
      <c r="AS282" s="69"/>
      <c r="AT282" s="69"/>
      <c r="AU282" s="69"/>
      <c r="AV282" s="69"/>
      <c r="AW282" s="69"/>
      <c r="AX282" s="68"/>
      <c r="AY282" s="69"/>
      <c r="AZ282" s="67"/>
      <c r="BA282" s="69"/>
      <c r="BB282" s="76"/>
      <c r="BC282" s="67"/>
      <c r="BD282" s="68"/>
      <c r="BE282" s="69"/>
      <c r="BF282" s="69"/>
      <c r="BG282" s="69"/>
      <c r="BH282" s="69"/>
      <c r="BI282" s="69"/>
      <c r="BJ282" s="68"/>
      <c r="BK282" s="69"/>
      <c r="BL282" s="67"/>
      <c r="BM282" s="67"/>
      <c r="BN282" s="56"/>
      <c r="BO282" s="56"/>
      <c r="BT282" s="63"/>
      <c r="BW282" s="56"/>
      <c r="BX282" s="56"/>
      <c r="BY282" s="56"/>
      <c r="BZ282" s="56"/>
      <c r="CA282" s="56"/>
      <c r="CF282" s="63"/>
      <c r="CI282" s="56"/>
      <c r="CJ282" s="56"/>
      <c r="CK282" s="56"/>
      <c r="CL282" s="56"/>
      <c r="CM282" s="56"/>
    </row>
    <row r="283" spans="18:93" ht="18" customHeight="1">
      <c r="R283" s="63"/>
      <c r="V283" s="170"/>
      <c r="W283" s="56"/>
      <c r="X283" s="56"/>
      <c r="Y283" s="56"/>
      <c r="AD283" s="63"/>
      <c r="AG283" s="56"/>
      <c r="AH283" s="56"/>
      <c r="AI283" s="56"/>
      <c r="AJ283" s="56"/>
      <c r="AK283" s="56"/>
      <c r="AO283" s="68"/>
      <c r="AP283" s="76"/>
      <c r="AQ283" s="67"/>
      <c r="AR283" s="68"/>
      <c r="AS283" s="69"/>
      <c r="AT283" s="69"/>
      <c r="AU283" s="69"/>
      <c r="AV283" s="69"/>
      <c r="AW283" s="69"/>
      <c r="AX283" s="68"/>
      <c r="AY283" s="69"/>
      <c r="AZ283" s="67"/>
      <c r="BA283" s="69"/>
      <c r="BB283" s="76"/>
      <c r="BC283" s="67"/>
      <c r="BD283" s="68"/>
      <c r="BE283" s="69"/>
      <c r="BF283" s="69"/>
      <c r="BG283" s="69"/>
      <c r="BH283" s="69"/>
      <c r="BI283" s="69"/>
      <c r="BJ283" s="68"/>
      <c r="BK283" s="69"/>
      <c r="BL283" s="67"/>
      <c r="BM283" s="67"/>
      <c r="BN283" s="56"/>
      <c r="BO283" s="56"/>
      <c r="BT283" s="63"/>
      <c r="BW283" s="56"/>
      <c r="BX283" s="56"/>
      <c r="BY283" s="56"/>
      <c r="BZ283" s="56"/>
      <c r="CA283" s="56"/>
      <c r="CF283" s="63"/>
      <c r="CI283" s="56"/>
      <c r="CJ283" s="56"/>
      <c r="CK283" s="56"/>
      <c r="CL283" s="56"/>
      <c r="CM283" s="56"/>
    </row>
    <row r="284" spans="18:93" ht="18" customHeight="1">
      <c r="R284" s="63"/>
      <c r="V284" s="170"/>
      <c r="W284" s="56"/>
      <c r="X284" s="56"/>
      <c r="Y284" s="56"/>
      <c r="AD284" s="63"/>
      <c r="AG284" s="56"/>
      <c r="AH284" s="56"/>
      <c r="AI284" s="56"/>
      <c r="AJ284" s="56"/>
      <c r="AK284" s="56"/>
      <c r="AO284" s="68"/>
      <c r="AP284" s="76"/>
      <c r="AQ284" s="67"/>
      <c r="AR284" s="68"/>
      <c r="AS284" s="69"/>
      <c r="AT284" s="69"/>
      <c r="AU284" s="69"/>
      <c r="AV284" s="69"/>
      <c r="AW284" s="69"/>
      <c r="AX284" s="68"/>
      <c r="AY284" s="69"/>
      <c r="AZ284" s="67"/>
      <c r="BA284" s="69"/>
      <c r="BB284" s="76"/>
      <c r="BC284" s="67"/>
      <c r="BD284" s="68"/>
      <c r="BE284" s="69"/>
      <c r="BF284" s="69"/>
      <c r="BG284" s="69"/>
      <c r="BH284" s="69"/>
      <c r="BI284" s="69"/>
      <c r="BJ284" s="68"/>
      <c r="BK284" s="69"/>
      <c r="BL284" s="67"/>
      <c r="BM284" s="67"/>
      <c r="BN284" s="56"/>
      <c r="BO284" s="56"/>
      <c r="BT284" s="63"/>
      <c r="BW284" s="56"/>
      <c r="BX284" s="56"/>
      <c r="BY284" s="56"/>
      <c r="BZ284" s="56"/>
      <c r="CA284" s="56"/>
      <c r="CF284" s="63"/>
      <c r="CI284" s="56"/>
      <c r="CJ284" s="56"/>
      <c r="CK284" s="56"/>
      <c r="CL284" s="56"/>
      <c r="CM284" s="56"/>
    </row>
    <row r="285" spans="18:93" ht="18" customHeight="1">
      <c r="R285" s="63"/>
      <c r="V285" s="170"/>
      <c r="W285" s="56"/>
      <c r="X285" s="56"/>
      <c r="Y285" s="56"/>
      <c r="AD285" s="63"/>
      <c r="AG285" s="56"/>
      <c r="AH285" s="56"/>
      <c r="AI285" s="56"/>
      <c r="AJ285" s="56"/>
      <c r="AK285" s="56"/>
      <c r="AO285" s="68"/>
      <c r="AP285" s="76"/>
      <c r="AQ285" s="67"/>
      <c r="AR285" s="68"/>
      <c r="AS285" s="69"/>
      <c r="AT285" s="69"/>
      <c r="AU285" s="69"/>
      <c r="AV285" s="69"/>
      <c r="AW285" s="69"/>
      <c r="AX285" s="68"/>
      <c r="AY285" s="69"/>
      <c r="AZ285" s="67"/>
      <c r="BA285" s="69"/>
      <c r="BB285" s="76"/>
      <c r="BC285" s="67"/>
      <c r="BD285" s="68"/>
      <c r="BE285" s="69"/>
      <c r="BF285" s="69"/>
      <c r="BG285" s="69"/>
      <c r="BH285" s="69"/>
      <c r="BI285" s="69"/>
      <c r="BJ285" s="68"/>
      <c r="BK285" s="69"/>
      <c r="BL285" s="67"/>
      <c r="BM285" s="67"/>
      <c r="BN285" s="56"/>
      <c r="BO285" s="56"/>
      <c r="BT285" s="63"/>
      <c r="BW285" s="56"/>
      <c r="BX285" s="56"/>
      <c r="BY285" s="56"/>
      <c r="BZ285" s="56"/>
      <c r="CA285" s="56"/>
      <c r="CF285" s="63"/>
      <c r="CI285" s="56"/>
      <c r="CJ285" s="56"/>
      <c r="CK285" s="56"/>
      <c r="CL285" s="56"/>
      <c r="CM285" s="56"/>
    </row>
    <row r="286" spans="18:93" ht="18" customHeight="1">
      <c r="AO286" s="68"/>
      <c r="AP286" s="67"/>
      <c r="AQ286" s="67"/>
      <c r="AR286" s="68"/>
      <c r="AS286" s="68"/>
      <c r="AT286" s="68"/>
      <c r="AU286" s="68"/>
      <c r="AV286" s="68"/>
      <c r="AW286" s="68"/>
      <c r="AX286" s="68"/>
      <c r="AY286" s="69"/>
      <c r="AZ286" s="67"/>
      <c r="BA286" s="68"/>
      <c r="BB286" s="67"/>
      <c r="BC286" s="67"/>
      <c r="BD286" s="68"/>
      <c r="BE286" s="68"/>
      <c r="BF286" s="68"/>
      <c r="BG286" s="68"/>
      <c r="BH286" s="68"/>
      <c r="BI286" s="68"/>
      <c r="BJ286" s="68"/>
      <c r="BK286" s="69"/>
      <c r="BL286" s="67"/>
      <c r="BM286" s="67"/>
    </row>
    <row r="287" spans="18:93" ht="18" customHeight="1">
      <c r="R287" s="63"/>
      <c r="S287" s="64"/>
      <c r="Y287" s="531"/>
      <c r="Z287" s="531"/>
      <c r="AA287" s="531"/>
      <c r="AD287" s="63"/>
      <c r="AE287" s="64"/>
      <c r="AK287" s="531"/>
      <c r="AL287" s="531"/>
      <c r="AM287" s="531"/>
      <c r="AO287" s="68"/>
      <c r="AP287" s="76"/>
      <c r="AQ287" s="77"/>
      <c r="AR287" s="68"/>
      <c r="AS287" s="68"/>
      <c r="AT287" s="68"/>
      <c r="AU287" s="68"/>
      <c r="AV287" s="68"/>
      <c r="AW287" s="533"/>
      <c r="AX287" s="533"/>
      <c r="AY287" s="533"/>
      <c r="AZ287" s="67"/>
      <c r="BA287" s="68"/>
      <c r="BB287" s="76"/>
      <c r="BC287" s="77"/>
      <c r="BD287" s="68"/>
      <c r="BE287" s="68"/>
      <c r="BF287" s="68"/>
      <c r="BG287" s="68"/>
      <c r="BH287" s="68"/>
      <c r="BI287" s="533"/>
      <c r="BJ287" s="533"/>
      <c r="BK287" s="533"/>
      <c r="BL287" s="67"/>
      <c r="BM287" s="67"/>
      <c r="BO287" s="531"/>
      <c r="BP287" s="531"/>
      <c r="BQ287" s="531"/>
      <c r="BT287" s="63"/>
      <c r="BU287" s="64"/>
      <c r="CA287" s="531"/>
      <c r="CB287" s="531"/>
      <c r="CC287" s="531"/>
      <c r="CF287" s="63"/>
      <c r="CG287" s="64"/>
      <c r="CM287" s="531"/>
      <c r="CN287" s="531"/>
      <c r="CO287" s="531"/>
    </row>
    <row r="288" spans="18:93" ht="18" customHeight="1">
      <c r="R288" s="63"/>
      <c r="V288" s="170"/>
      <c r="W288" s="56"/>
      <c r="X288" s="56"/>
      <c r="Y288" s="56"/>
      <c r="AD288" s="63"/>
      <c r="AG288" s="56"/>
      <c r="AH288" s="56"/>
      <c r="AI288" s="56"/>
      <c r="AJ288" s="56"/>
      <c r="AK288" s="56"/>
      <c r="AO288" s="68"/>
      <c r="AP288" s="76"/>
      <c r="AQ288" s="67"/>
      <c r="AR288" s="68"/>
      <c r="AS288" s="69"/>
      <c r="AT288" s="69"/>
      <c r="AU288" s="69"/>
      <c r="AV288" s="69"/>
      <c r="AW288" s="69"/>
      <c r="AX288" s="68"/>
      <c r="AY288" s="69"/>
      <c r="AZ288" s="67"/>
      <c r="BA288" s="69"/>
      <c r="BB288" s="76"/>
      <c r="BC288" s="67"/>
      <c r="BD288" s="68"/>
      <c r="BE288" s="69"/>
      <c r="BF288" s="69"/>
      <c r="BG288" s="69"/>
      <c r="BH288" s="69"/>
      <c r="BI288" s="69"/>
      <c r="BJ288" s="68"/>
      <c r="BK288" s="69"/>
      <c r="BL288" s="67"/>
      <c r="BM288" s="67"/>
      <c r="BN288" s="56"/>
      <c r="BO288" s="56"/>
      <c r="BT288" s="63"/>
      <c r="BW288" s="56"/>
      <c r="BX288" s="56"/>
      <c r="BY288" s="56"/>
      <c r="BZ288" s="56"/>
      <c r="CA288" s="56"/>
      <c r="CF288" s="63"/>
      <c r="CI288" s="56"/>
      <c r="CJ288" s="56"/>
      <c r="CK288" s="56"/>
      <c r="CL288" s="56"/>
      <c r="CM288" s="56"/>
    </row>
    <row r="289" spans="18:93" ht="18" customHeight="1">
      <c r="R289" s="63"/>
      <c r="V289" s="170"/>
      <c r="W289" s="56"/>
      <c r="X289" s="56"/>
      <c r="Y289" s="56"/>
      <c r="AD289" s="63"/>
      <c r="AG289" s="56"/>
      <c r="AH289" s="56"/>
      <c r="AI289" s="56"/>
      <c r="AJ289" s="56"/>
      <c r="AK289" s="56"/>
      <c r="AO289" s="68"/>
      <c r="AP289" s="76"/>
      <c r="AQ289" s="67"/>
      <c r="AR289" s="68"/>
      <c r="AS289" s="69"/>
      <c r="AT289" s="69"/>
      <c r="AU289" s="69"/>
      <c r="AV289" s="69"/>
      <c r="AW289" s="69"/>
      <c r="AX289" s="68"/>
      <c r="AY289" s="69"/>
      <c r="AZ289" s="67"/>
      <c r="BA289" s="69"/>
      <c r="BB289" s="76"/>
      <c r="BC289" s="67"/>
      <c r="BD289" s="68"/>
      <c r="BE289" s="69"/>
      <c r="BF289" s="69"/>
      <c r="BG289" s="69"/>
      <c r="BH289" s="69"/>
      <c r="BI289" s="69"/>
      <c r="BJ289" s="68"/>
      <c r="BK289" s="69"/>
      <c r="BL289" s="67"/>
      <c r="BM289" s="67"/>
      <c r="BN289" s="56"/>
      <c r="BO289" s="56"/>
      <c r="BT289" s="63"/>
      <c r="BW289" s="56"/>
      <c r="BX289" s="56"/>
      <c r="BY289" s="56"/>
      <c r="BZ289" s="56"/>
      <c r="CA289" s="56"/>
      <c r="CF289" s="63"/>
      <c r="CI289" s="56"/>
      <c r="CJ289" s="56"/>
      <c r="CK289" s="56"/>
      <c r="CL289" s="56"/>
      <c r="CM289" s="56"/>
    </row>
    <row r="290" spans="18:93" ht="18" customHeight="1">
      <c r="R290" s="63"/>
      <c r="V290" s="170"/>
      <c r="W290" s="56"/>
      <c r="X290" s="56"/>
      <c r="Y290" s="56"/>
      <c r="AD290" s="63"/>
      <c r="AG290" s="56"/>
      <c r="AH290" s="56"/>
      <c r="AI290" s="56"/>
      <c r="AJ290" s="56"/>
      <c r="AK290" s="56"/>
      <c r="AO290" s="68"/>
      <c r="AP290" s="76"/>
      <c r="AQ290" s="67"/>
      <c r="AR290" s="68"/>
      <c r="AS290" s="69"/>
      <c r="AT290" s="69"/>
      <c r="AU290" s="69"/>
      <c r="AV290" s="69"/>
      <c r="AW290" s="69"/>
      <c r="AX290" s="68"/>
      <c r="AY290" s="69"/>
      <c r="AZ290" s="67"/>
      <c r="BA290" s="69"/>
      <c r="BB290" s="76"/>
      <c r="BC290" s="67"/>
      <c r="BD290" s="68"/>
      <c r="BE290" s="69"/>
      <c r="BF290" s="69"/>
      <c r="BG290" s="69"/>
      <c r="BH290" s="69"/>
      <c r="BI290" s="69"/>
      <c r="BJ290" s="68"/>
      <c r="BK290" s="69"/>
      <c r="BL290" s="67"/>
      <c r="BM290" s="67"/>
      <c r="BN290" s="56"/>
      <c r="BO290" s="56"/>
      <c r="BT290" s="63"/>
      <c r="BW290" s="56"/>
      <c r="BX290" s="56"/>
      <c r="BY290" s="56"/>
      <c r="BZ290" s="56"/>
      <c r="CA290" s="56"/>
      <c r="CF290" s="63"/>
      <c r="CI290" s="56"/>
      <c r="CJ290" s="56"/>
      <c r="CK290" s="56"/>
      <c r="CL290" s="56"/>
      <c r="CM290" s="56"/>
    </row>
    <row r="291" spans="18:93" ht="18" customHeight="1">
      <c r="R291" s="63"/>
      <c r="V291" s="170"/>
      <c r="W291" s="56"/>
      <c r="X291" s="56"/>
      <c r="Y291" s="56"/>
      <c r="AD291" s="63"/>
      <c r="AG291" s="56"/>
      <c r="AH291" s="56"/>
      <c r="AI291" s="56"/>
      <c r="AJ291" s="56"/>
      <c r="AK291" s="56"/>
      <c r="AO291" s="68"/>
      <c r="AP291" s="76"/>
      <c r="AQ291" s="67"/>
      <c r="AR291" s="68"/>
      <c r="AS291" s="69"/>
      <c r="AT291" s="69"/>
      <c r="AU291" s="69"/>
      <c r="AV291" s="69"/>
      <c r="AW291" s="69"/>
      <c r="AX291" s="68"/>
      <c r="AY291" s="69"/>
      <c r="AZ291" s="67"/>
      <c r="BA291" s="69"/>
      <c r="BB291" s="76"/>
      <c r="BC291" s="67"/>
      <c r="BD291" s="68"/>
      <c r="BE291" s="69"/>
      <c r="BF291" s="69"/>
      <c r="BG291" s="69"/>
      <c r="BH291" s="69"/>
      <c r="BI291" s="69"/>
      <c r="BJ291" s="68"/>
      <c r="BK291" s="69"/>
      <c r="BL291" s="67"/>
      <c r="BM291" s="67"/>
      <c r="BN291" s="56"/>
      <c r="BO291" s="56"/>
      <c r="BT291" s="63"/>
      <c r="BW291" s="56"/>
      <c r="BX291" s="56"/>
      <c r="BY291" s="56"/>
      <c r="BZ291" s="56"/>
      <c r="CA291" s="56"/>
      <c r="CF291" s="63"/>
      <c r="CI291" s="56"/>
      <c r="CJ291" s="56"/>
      <c r="CK291" s="56"/>
      <c r="CL291" s="56"/>
      <c r="CM291" s="56"/>
    </row>
    <row r="292" spans="18:93" ht="18" customHeight="1">
      <c r="AO292" s="68"/>
      <c r="AP292" s="67"/>
      <c r="AQ292" s="67"/>
      <c r="AR292" s="68"/>
      <c r="AS292" s="68"/>
      <c r="AT292" s="68"/>
      <c r="AU292" s="68"/>
      <c r="AV292" s="68"/>
      <c r="AW292" s="68"/>
      <c r="AX292" s="68"/>
      <c r="AY292" s="69"/>
      <c r="AZ292" s="67"/>
      <c r="BA292" s="68"/>
      <c r="BB292" s="67"/>
      <c r="BC292" s="67"/>
      <c r="BD292" s="68"/>
      <c r="BE292" s="68"/>
      <c r="BF292" s="68"/>
      <c r="BG292" s="68"/>
      <c r="BH292" s="68"/>
      <c r="BI292" s="68"/>
      <c r="BJ292" s="68"/>
      <c r="BK292" s="69"/>
      <c r="BL292" s="67"/>
      <c r="BM292" s="67"/>
    </row>
    <row r="293" spans="18:93" ht="18" customHeight="1">
      <c r="R293" s="63"/>
      <c r="S293" s="64"/>
      <c r="Y293" s="531"/>
      <c r="Z293" s="531"/>
      <c r="AA293" s="531"/>
      <c r="AD293" s="63"/>
      <c r="AE293" s="64"/>
      <c r="AK293" s="531"/>
      <c r="AL293" s="531"/>
      <c r="AM293" s="531"/>
      <c r="AO293" s="68"/>
      <c r="AP293" s="76"/>
      <c r="AQ293" s="77"/>
      <c r="AR293" s="68"/>
      <c r="AS293" s="68"/>
      <c r="AT293" s="68"/>
      <c r="AU293" s="68"/>
      <c r="AV293" s="68"/>
      <c r="AW293" s="533"/>
      <c r="AX293" s="533"/>
      <c r="AY293" s="533"/>
      <c r="AZ293" s="67"/>
      <c r="BA293" s="68"/>
      <c r="BB293" s="76"/>
      <c r="BC293" s="77"/>
      <c r="BD293" s="68"/>
      <c r="BE293" s="68"/>
      <c r="BF293" s="68"/>
      <c r="BG293" s="68"/>
      <c r="BH293" s="68"/>
      <c r="BI293" s="533"/>
      <c r="BJ293" s="533"/>
      <c r="BK293" s="533"/>
      <c r="BL293" s="67"/>
      <c r="BM293" s="67"/>
      <c r="BO293" s="531"/>
      <c r="BP293" s="531"/>
      <c r="BQ293" s="531"/>
      <c r="BT293" s="63"/>
      <c r="BU293" s="64"/>
      <c r="CA293" s="531"/>
      <c r="CB293" s="531"/>
      <c r="CC293" s="531"/>
      <c r="CF293" s="63"/>
      <c r="CG293" s="64"/>
      <c r="CM293" s="531"/>
      <c r="CN293" s="531"/>
      <c r="CO293" s="531"/>
    </row>
    <row r="294" spans="18:93" ht="18" customHeight="1">
      <c r="R294" s="63"/>
      <c r="V294" s="170"/>
      <c r="W294" s="56"/>
      <c r="X294" s="56"/>
      <c r="Y294" s="56"/>
      <c r="AD294" s="63"/>
      <c r="AG294" s="56"/>
      <c r="AH294" s="56"/>
      <c r="AI294" s="56"/>
      <c r="AJ294" s="56"/>
      <c r="AK294" s="56"/>
      <c r="AO294" s="68"/>
      <c r="AP294" s="76"/>
      <c r="AQ294" s="67"/>
      <c r="AR294" s="68"/>
      <c r="AS294" s="69"/>
      <c r="AT294" s="69"/>
      <c r="AU294" s="69"/>
      <c r="AV294" s="69"/>
      <c r="AW294" s="69"/>
      <c r="AX294" s="68"/>
      <c r="AY294" s="69"/>
      <c r="AZ294" s="67"/>
      <c r="BA294" s="69"/>
      <c r="BB294" s="76"/>
      <c r="BC294" s="67"/>
      <c r="BD294" s="68"/>
      <c r="BE294" s="69"/>
      <c r="BF294" s="69"/>
      <c r="BG294" s="69"/>
      <c r="BH294" s="69"/>
      <c r="BI294" s="69"/>
      <c r="BJ294" s="68"/>
      <c r="BK294" s="69"/>
      <c r="BL294" s="67"/>
      <c r="BM294" s="67"/>
      <c r="BN294" s="56"/>
      <c r="BO294" s="56"/>
      <c r="BT294" s="63"/>
      <c r="BW294" s="56"/>
      <c r="BX294" s="56"/>
      <c r="BY294" s="56"/>
      <c r="BZ294" s="56"/>
      <c r="CA294" s="56"/>
      <c r="CF294" s="63"/>
      <c r="CI294" s="56"/>
      <c r="CJ294" s="56"/>
      <c r="CK294" s="56"/>
      <c r="CL294" s="56"/>
      <c r="CM294" s="56"/>
    </row>
    <row r="295" spans="18:93" ht="18" customHeight="1">
      <c r="R295" s="63"/>
      <c r="V295" s="170"/>
      <c r="W295" s="56"/>
      <c r="X295" s="56"/>
      <c r="Y295" s="56"/>
      <c r="AD295" s="63"/>
      <c r="AG295" s="56"/>
      <c r="AH295" s="56"/>
      <c r="AI295" s="56"/>
      <c r="AJ295" s="56"/>
      <c r="AK295" s="56"/>
      <c r="AO295" s="68"/>
      <c r="AP295" s="76"/>
      <c r="AQ295" s="67"/>
      <c r="AR295" s="68"/>
      <c r="AS295" s="69"/>
      <c r="AT295" s="69"/>
      <c r="AU295" s="69"/>
      <c r="AV295" s="69"/>
      <c r="AW295" s="69"/>
      <c r="AX295" s="68"/>
      <c r="AY295" s="69"/>
      <c r="AZ295" s="67"/>
      <c r="BA295" s="69"/>
      <c r="BB295" s="76"/>
      <c r="BC295" s="67"/>
      <c r="BD295" s="68"/>
      <c r="BE295" s="69"/>
      <c r="BF295" s="69"/>
      <c r="BG295" s="69"/>
      <c r="BH295" s="69"/>
      <c r="BI295" s="69"/>
      <c r="BJ295" s="68"/>
      <c r="BK295" s="69"/>
      <c r="BL295" s="67"/>
      <c r="BM295" s="67"/>
      <c r="BN295" s="56"/>
      <c r="BO295" s="56"/>
      <c r="BT295" s="63"/>
      <c r="BW295" s="56"/>
      <c r="BX295" s="56"/>
      <c r="BY295" s="56"/>
      <c r="BZ295" s="56"/>
      <c r="CA295" s="56"/>
      <c r="CF295" s="63"/>
      <c r="CI295" s="56"/>
      <c r="CJ295" s="56"/>
      <c r="CK295" s="56"/>
      <c r="CL295" s="56"/>
      <c r="CM295" s="56"/>
    </row>
    <row r="296" spans="18:93" ht="18" customHeight="1">
      <c r="R296" s="63"/>
      <c r="V296" s="170"/>
      <c r="W296" s="56"/>
      <c r="X296" s="56"/>
      <c r="Y296" s="56"/>
      <c r="AD296" s="63"/>
      <c r="AG296" s="56"/>
      <c r="AH296" s="56"/>
      <c r="AI296" s="56"/>
      <c r="AJ296" s="56"/>
      <c r="AK296" s="56"/>
      <c r="AO296" s="68"/>
      <c r="AP296" s="76"/>
      <c r="AQ296" s="67"/>
      <c r="AR296" s="68"/>
      <c r="AS296" s="69"/>
      <c r="AT296" s="69"/>
      <c r="AU296" s="69"/>
      <c r="AV296" s="69"/>
      <c r="AW296" s="69"/>
      <c r="AX296" s="68"/>
      <c r="AY296" s="69"/>
      <c r="AZ296" s="67"/>
      <c r="BA296" s="69"/>
      <c r="BB296" s="76"/>
      <c r="BC296" s="67"/>
      <c r="BD296" s="68"/>
      <c r="BE296" s="69"/>
      <c r="BF296" s="69"/>
      <c r="BG296" s="69"/>
      <c r="BH296" s="69"/>
      <c r="BI296" s="69"/>
      <c r="BJ296" s="68"/>
      <c r="BK296" s="69"/>
      <c r="BL296" s="67"/>
      <c r="BM296" s="67"/>
      <c r="BN296" s="56"/>
      <c r="BO296" s="56"/>
      <c r="BT296" s="63"/>
      <c r="BW296" s="56"/>
      <c r="BX296" s="56"/>
      <c r="BY296" s="56"/>
      <c r="BZ296" s="56"/>
      <c r="CA296" s="56"/>
      <c r="CF296" s="63"/>
      <c r="CI296" s="56"/>
      <c r="CJ296" s="56"/>
      <c r="CK296" s="56"/>
      <c r="CL296" s="56"/>
      <c r="CM296" s="56"/>
    </row>
    <row r="297" spans="18:93" ht="18" customHeight="1">
      <c r="R297" s="63"/>
      <c r="V297" s="170"/>
      <c r="W297" s="56"/>
      <c r="X297" s="56"/>
      <c r="Y297" s="56"/>
      <c r="AD297" s="63"/>
      <c r="AG297" s="56"/>
      <c r="AH297" s="56"/>
      <c r="AI297" s="56"/>
      <c r="AJ297" s="56"/>
      <c r="AK297" s="56"/>
      <c r="AO297" s="68"/>
      <c r="AP297" s="76"/>
      <c r="AQ297" s="67"/>
      <c r="AR297" s="68"/>
      <c r="AS297" s="69"/>
      <c r="AT297" s="69"/>
      <c r="AU297" s="69"/>
      <c r="AV297" s="69"/>
      <c r="AW297" s="69"/>
      <c r="AX297" s="68"/>
      <c r="AY297" s="69"/>
      <c r="AZ297" s="67"/>
      <c r="BA297" s="69"/>
      <c r="BB297" s="76"/>
      <c r="BC297" s="67"/>
      <c r="BD297" s="68"/>
      <c r="BE297" s="69"/>
      <c r="BF297" s="69"/>
      <c r="BG297" s="69"/>
      <c r="BH297" s="69"/>
      <c r="BI297" s="69"/>
      <c r="BJ297" s="68"/>
      <c r="BK297" s="69"/>
      <c r="BL297" s="67"/>
      <c r="BM297" s="67"/>
      <c r="BN297" s="56"/>
      <c r="BO297" s="56"/>
      <c r="BT297" s="63"/>
      <c r="BW297" s="56"/>
      <c r="BX297" s="56"/>
      <c r="BY297" s="56"/>
      <c r="BZ297" s="56"/>
      <c r="CA297" s="56"/>
      <c r="CF297" s="63"/>
      <c r="CI297" s="56"/>
      <c r="CJ297" s="56"/>
      <c r="CK297" s="56"/>
      <c r="CL297" s="56"/>
      <c r="CM297" s="56"/>
    </row>
    <row r="298" spans="18:93" ht="18" customHeight="1">
      <c r="AO298" s="68"/>
      <c r="AP298" s="67"/>
      <c r="AQ298" s="67"/>
      <c r="AR298" s="68"/>
      <c r="AS298" s="68"/>
      <c r="AT298" s="68"/>
      <c r="AU298" s="68"/>
      <c r="AV298" s="68"/>
      <c r="AW298" s="68"/>
      <c r="AX298" s="68"/>
      <c r="AY298" s="69"/>
      <c r="AZ298" s="67"/>
      <c r="BA298" s="68"/>
      <c r="BB298" s="67"/>
      <c r="BC298" s="67"/>
      <c r="BD298" s="68"/>
      <c r="BE298" s="68"/>
      <c r="BF298" s="68"/>
      <c r="BG298" s="68"/>
      <c r="BH298" s="68"/>
      <c r="BI298" s="68"/>
      <c r="BJ298" s="68"/>
      <c r="BK298" s="69"/>
      <c r="BL298" s="67"/>
      <c r="BM298" s="67"/>
    </row>
    <row r="299" spans="18:93" ht="18" customHeight="1">
      <c r="R299" s="63"/>
      <c r="S299" s="64"/>
      <c r="Y299" s="531"/>
      <c r="Z299" s="531"/>
      <c r="AA299" s="531"/>
      <c r="AD299" s="63"/>
      <c r="AE299" s="64"/>
      <c r="AK299" s="531"/>
      <c r="AL299" s="531"/>
      <c r="AM299" s="531"/>
      <c r="AO299" s="68"/>
      <c r="AP299" s="76"/>
      <c r="AQ299" s="77"/>
      <c r="AR299" s="68"/>
      <c r="AS299" s="68"/>
      <c r="AT299" s="68"/>
      <c r="AU299" s="68"/>
      <c r="AV299" s="68"/>
      <c r="AW299" s="533"/>
      <c r="AX299" s="533"/>
      <c r="AY299" s="533"/>
      <c r="AZ299" s="67"/>
      <c r="BA299" s="68"/>
      <c r="BB299" s="76"/>
      <c r="BC299" s="77"/>
      <c r="BD299" s="68"/>
      <c r="BE299" s="68"/>
      <c r="BF299" s="68"/>
      <c r="BG299" s="68"/>
      <c r="BH299" s="68"/>
      <c r="BI299" s="533"/>
      <c r="BJ299" s="533"/>
      <c r="BK299" s="533"/>
      <c r="BL299" s="67"/>
      <c r="BM299" s="67"/>
      <c r="BO299" s="531"/>
      <c r="BP299" s="531"/>
      <c r="BQ299" s="531"/>
      <c r="BT299" s="63"/>
      <c r="BU299" s="64"/>
      <c r="CA299" s="531"/>
      <c r="CB299" s="531"/>
      <c r="CC299" s="531"/>
      <c r="CF299" s="63"/>
      <c r="CG299" s="64"/>
      <c r="CM299" s="531"/>
      <c r="CN299" s="531"/>
      <c r="CO299" s="531"/>
    </row>
    <row r="300" spans="18:93" ht="18" customHeight="1">
      <c r="R300" s="63"/>
      <c r="V300" s="170"/>
      <c r="W300" s="56"/>
      <c r="X300" s="56"/>
      <c r="Y300" s="56"/>
      <c r="AD300" s="63"/>
      <c r="AG300" s="56"/>
      <c r="AH300" s="56"/>
      <c r="AI300" s="56"/>
      <c r="AJ300" s="56"/>
      <c r="AK300" s="56"/>
      <c r="AO300" s="68"/>
      <c r="AP300" s="76"/>
      <c r="AQ300" s="67"/>
      <c r="AR300" s="68"/>
      <c r="AS300" s="69"/>
      <c r="AT300" s="69"/>
      <c r="AU300" s="69"/>
      <c r="AV300" s="69"/>
      <c r="AW300" s="69"/>
      <c r="AX300" s="68"/>
      <c r="AY300" s="69"/>
      <c r="AZ300" s="67"/>
      <c r="BA300" s="69"/>
      <c r="BB300" s="76"/>
      <c r="BC300" s="67"/>
      <c r="BD300" s="68"/>
      <c r="BE300" s="69"/>
      <c r="BF300" s="69"/>
      <c r="BG300" s="69"/>
      <c r="BH300" s="69"/>
      <c r="BI300" s="69"/>
      <c r="BJ300" s="68"/>
      <c r="BK300" s="69"/>
      <c r="BL300" s="67"/>
      <c r="BM300" s="67"/>
      <c r="BN300" s="56"/>
      <c r="BO300" s="56"/>
      <c r="BT300" s="63"/>
      <c r="BW300" s="56"/>
      <c r="BX300" s="56"/>
      <c r="BY300" s="56"/>
      <c r="BZ300" s="56"/>
      <c r="CA300" s="56"/>
      <c r="CF300" s="63"/>
      <c r="CI300" s="56"/>
      <c r="CJ300" s="56"/>
      <c r="CK300" s="56"/>
      <c r="CL300" s="56"/>
      <c r="CM300" s="56"/>
    </row>
    <row r="301" spans="18:93" ht="18" customHeight="1">
      <c r="R301" s="63"/>
      <c r="V301" s="170"/>
      <c r="W301" s="56"/>
      <c r="X301" s="56"/>
      <c r="Y301" s="56"/>
      <c r="AD301" s="63"/>
      <c r="AG301" s="56"/>
      <c r="AH301" s="56"/>
      <c r="AI301" s="56"/>
      <c r="AJ301" s="56"/>
      <c r="AK301" s="56"/>
      <c r="AO301" s="68"/>
      <c r="AP301" s="76"/>
      <c r="AQ301" s="67"/>
      <c r="AR301" s="68"/>
      <c r="AS301" s="69"/>
      <c r="AT301" s="69"/>
      <c r="AU301" s="69"/>
      <c r="AV301" s="69"/>
      <c r="AW301" s="69"/>
      <c r="AX301" s="68"/>
      <c r="AY301" s="69"/>
      <c r="AZ301" s="67"/>
      <c r="BA301" s="69"/>
      <c r="BB301" s="76"/>
      <c r="BC301" s="67"/>
      <c r="BD301" s="68"/>
      <c r="BE301" s="69"/>
      <c r="BF301" s="69"/>
      <c r="BG301" s="69"/>
      <c r="BH301" s="69"/>
      <c r="BI301" s="69"/>
      <c r="BJ301" s="68"/>
      <c r="BK301" s="69"/>
      <c r="BL301" s="67"/>
      <c r="BM301" s="67"/>
      <c r="BN301" s="56"/>
      <c r="BO301" s="56"/>
      <c r="BT301" s="63"/>
      <c r="BW301" s="56"/>
      <c r="BX301" s="56"/>
      <c r="BY301" s="56"/>
      <c r="BZ301" s="56"/>
      <c r="CA301" s="56"/>
      <c r="CF301" s="63"/>
      <c r="CI301" s="56"/>
      <c r="CJ301" s="56"/>
      <c r="CK301" s="56"/>
      <c r="CL301" s="56"/>
      <c r="CM301" s="56"/>
    </row>
    <row r="302" spans="18:93" ht="18" customHeight="1">
      <c r="R302" s="63"/>
      <c r="V302" s="170"/>
      <c r="W302" s="56"/>
      <c r="X302" s="56"/>
      <c r="Y302" s="56"/>
      <c r="AD302" s="63"/>
      <c r="AG302" s="56"/>
      <c r="AH302" s="56"/>
      <c r="AI302" s="56"/>
      <c r="AJ302" s="56"/>
      <c r="AK302" s="56"/>
      <c r="AO302" s="68"/>
      <c r="AP302" s="76"/>
      <c r="AQ302" s="67"/>
      <c r="AR302" s="68"/>
      <c r="AS302" s="69"/>
      <c r="AT302" s="69"/>
      <c r="AU302" s="69"/>
      <c r="AV302" s="69"/>
      <c r="AW302" s="69"/>
      <c r="AX302" s="68"/>
      <c r="AY302" s="69"/>
      <c r="AZ302" s="67"/>
      <c r="BA302" s="69"/>
      <c r="BB302" s="76"/>
      <c r="BC302" s="67"/>
      <c r="BD302" s="68"/>
      <c r="BE302" s="69"/>
      <c r="BF302" s="69"/>
      <c r="BG302" s="69"/>
      <c r="BH302" s="69"/>
      <c r="BI302" s="69"/>
      <c r="BJ302" s="68"/>
      <c r="BK302" s="69"/>
      <c r="BL302" s="67"/>
      <c r="BM302" s="67"/>
      <c r="BN302" s="56"/>
      <c r="BO302" s="56"/>
      <c r="BT302" s="63"/>
      <c r="BW302" s="56"/>
      <c r="BX302" s="56"/>
      <c r="BY302" s="56"/>
      <c r="BZ302" s="56"/>
      <c r="CA302" s="56"/>
      <c r="CF302" s="63"/>
      <c r="CI302" s="56"/>
      <c r="CJ302" s="56"/>
      <c r="CK302" s="56"/>
      <c r="CL302" s="56"/>
      <c r="CM302" s="56"/>
    </row>
    <row r="303" spans="18:93" ht="18" customHeight="1">
      <c r="R303" s="63"/>
      <c r="V303" s="170"/>
      <c r="W303" s="56"/>
      <c r="X303" s="56"/>
      <c r="Y303" s="56"/>
      <c r="AD303" s="63"/>
      <c r="AG303" s="56"/>
      <c r="AH303" s="56"/>
      <c r="AI303" s="56"/>
      <c r="AJ303" s="56"/>
      <c r="AK303" s="56"/>
      <c r="AO303" s="68"/>
      <c r="AP303" s="76"/>
      <c r="AQ303" s="67"/>
      <c r="AR303" s="68"/>
      <c r="AS303" s="69"/>
      <c r="AT303" s="69"/>
      <c r="AU303" s="69"/>
      <c r="AV303" s="69"/>
      <c r="AW303" s="69"/>
      <c r="AX303" s="68"/>
      <c r="AY303" s="69"/>
      <c r="AZ303" s="67"/>
      <c r="BA303" s="69"/>
      <c r="BB303" s="76"/>
      <c r="BC303" s="67"/>
      <c r="BD303" s="68"/>
      <c r="BE303" s="69"/>
      <c r="BF303" s="69"/>
      <c r="BG303" s="69"/>
      <c r="BH303" s="69"/>
      <c r="BI303" s="69"/>
      <c r="BJ303" s="68"/>
      <c r="BK303" s="69"/>
      <c r="BL303" s="67"/>
      <c r="BM303" s="67"/>
      <c r="BN303" s="56"/>
      <c r="BO303" s="56"/>
      <c r="BT303" s="63"/>
      <c r="BW303" s="56"/>
      <c r="BX303" s="56"/>
      <c r="BY303" s="56"/>
      <c r="BZ303" s="56"/>
      <c r="CA303" s="56"/>
      <c r="CF303" s="63"/>
      <c r="CI303" s="56"/>
      <c r="CJ303" s="56"/>
      <c r="CK303" s="56"/>
      <c r="CL303" s="56"/>
      <c r="CM303" s="56"/>
    </row>
    <row r="304" spans="18:93" ht="18" customHeight="1">
      <c r="AO304" s="68"/>
      <c r="AP304" s="67"/>
      <c r="AQ304" s="67"/>
      <c r="AR304" s="68"/>
      <c r="AS304" s="68"/>
      <c r="AT304" s="68"/>
      <c r="AU304" s="68"/>
      <c r="AV304" s="68"/>
      <c r="AW304" s="68"/>
      <c r="AX304" s="68"/>
      <c r="AY304" s="69"/>
      <c r="AZ304" s="67"/>
      <c r="BA304" s="68"/>
      <c r="BB304" s="67"/>
      <c r="BC304" s="67"/>
      <c r="BD304" s="68"/>
      <c r="BE304" s="68"/>
      <c r="BF304" s="68"/>
      <c r="BG304" s="68"/>
      <c r="BH304" s="68"/>
      <c r="BI304" s="68"/>
      <c r="BJ304" s="68"/>
      <c r="BK304" s="69"/>
      <c r="BL304" s="67"/>
      <c r="BM304" s="67"/>
    </row>
    <row r="305" spans="18:93" ht="18" customHeight="1">
      <c r="R305" s="63"/>
      <c r="S305" s="64"/>
      <c r="Y305" s="531"/>
      <c r="Z305" s="531"/>
      <c r="AA305" s="531"/>
      <c r="AD305" s="63"/>
      <c r="AE305" s="64"/>
      <c r="AK305" s="531"/>
      <c r="AL305" s="531"/>
      <c r="AM305" s="531"/>
      <c r="AO305" s="68"/>
      <c r="AP305" s="76"/>
      <c r="AQ305" s="77"/>
      <c r="AR305" s="68"/>
      <c r="AS305" s="68"/>
      <c r="AT305" s="68"/>
      <c r="AU305" s="68"/>
      <c r="AV305" s="68"/>
      <c r="AW305" s="533"/>
      <c r="AX305" s="533"/>
      <c r="AY305" s="533"/>
      <c r="AZ305" s="67"/>
      <c r="BA305" s="68"/>
      <c r="BB305" s="76"/>
      <c r="BC305" s="77"/>
      <c r="BD305" s="68"/>
      <c r="BE305" s="68"/>
      <c r="BF305" s="68"/>
      <c r="BG305" s="68"/>
      <c r="BH305" s="68"/>
      <c r="BI305" s="533"/>
      <c r="BJ305" s="533"/>
      <c r="BK305" s="533"/>
      <c r="BL305" s="67"/>
      <c r="BM305" s="67"/>
      <c r="BO305" s="531"/>
      <c r="BP305" s="531"/>
      <c r="BQ305" s="531"/>
      <c r="BT305" s="63"/>
      <c r="BU305" s="64"/>
      <c r="CA305" s="531"/>
      <c r="CB305" s="531"/>
      <c r="CC305" s="531"/>
      <c r="CF305" s="63"/>
      <c r="CG305" s="64"/>
      <c r="CM305" s="531"/>
      <c r="CN305" s="531"/>
      <c r="CO305" s="531"/>
    </row>
    <row r="306" spans="18:93" ht="18" customHeight="1">
      <c r="R306" s="63"/>
      <c r="V306" s="170"/>
      <c r="W306" s="56"/>
      <c r="X306" s="56"/>
      <c r="Y306" s="56"/>
      <c r="AD306" s="63"/>
      <c r="AG306" s="56"/>
      <c r="AH306" s="56"/>
      <c r="AI306" s="56"/>
      <c r="AJ306" s="56"/>
      <c r="AK306" s="56"/>
      <c r="AO306" s="68"/>
      <c r="AP306" s="76"/>
      <c r="AQ306" s="67"/>
      <c r="AR306" s="68"/>
      <c r="AS306" s="69"/>
      <c r="AT306" s="69"/>
      <c r="AU306" s="69"/>
      <c r="AV306" s="69"/>
      <c r="AW306" s="69"/>
      <c r="AX306" s="68"/>
      <c r="AY306" s="69"/>
      <c r="AZ306" s="67"/>
      <c r="BA306" s="69"/>
      <c r="BB306" s="76"/>
      <c r="BC306" s="67"/>
      <c r="BD306" s="68"/>
      <c r="BE306" s="69"/>
      <c r="BF306" s="69"/>
      <c r="BG306" s="69"/>
      <c r="BH306" s="69"/>
      <c r="BI306" s="69"/>
      <c r="BJ306" s="68"/>
      <c r="BK306" s="69"/>
      <c r="BL306" s="67"/>
      <c r="BM306" s="67"/>
      <c r="BN306" s="56"/>
      <c r="BO306" s="56"/>
      <c r="BT306" s="63"/>
      <c r="BW306" s="56"/>
      <c r="BX306" s="56"/>
      <c r="BY306" s="56"/>
      <c r="BZ306" s="56"/>
      <c r="CA306" s="56"/>
      <c r="CF306" s="63"/>
      <c r="CI306" s="56"/>
      <c r="CJ306" s="56"/>
      <c r="CK306" s="56"/>
      <c r="CL306" s="56"/>
      <c r="CM306" s="56"/>
    </row>
    <row r="307" spans="18:93" ht="18" customHeight="1">
      <c r="R307" s="63"/>
      <c r="V307" s="170"/>
      <c r="W307" s="56"/>
      <c r="X307" s="56"/>
      <c r="Y307" s="56"/>
      <c r="AD307" s="63"/>
      <c r="AG307" s="56"/>
      <c r="AH307" s="56"/>
      <c r="AI307" s="56"/>
      <c r="AJ307" s="56"/>
      <c r="AK307" s="56"/>
      <c r="AO307" s="68"/>
      <c r="AP307" s="76"/>
      <c r="AQ307" s="67"/>
      <c r="AR307" s="68"/>
      <c r="AS307" s="69"/>
      <c r="AT307" s="69"/>
      <c r="AU307" s="69"/>
      <c r="AV307" s="69"/>
      <c r="AW307" s="69"/>
      <c r="AX307" s="68"/>
      <c r="AY307" s="69"/>
      <c r="AZ307" s="67"/>
      <c r="BA307" s="69"/>
      <c r="BB307" s="76"/>
      <c r="BC307" s="67"/>
      <c r="BD307" s="68"/>
      <c r="BE307" s="69"/>
      <c r="BF307" s="69"/>
      <c r="BG307" s="69"/>
      <c r="BH307" s="69"/>
      <c r="BI307" s="69"/>
      <c r="BJ307" s="68"/>
      <c r="BK307" s="69"/>
      <c r="BL307" s="67"/>
      <c r="BM307" s="67"/>
      <c r="BN307" s="56"/>
      <c r="BO307" s="56"/>
      <c r="BT307" s="63"/>
      <c r="BW307" s="56"/>
      <c r="BX307" s="56"/>
      <c r="BY307" s="56"/>
      <c r="BZ307" s="56"/>
      <c r="CA307" s="56"/>
      <c r="CF307" s="63"/>
      <c r="CI307" s="56"/>
      <c r="CJ307" s="56"/>
      <c r="CK307" s="56"/>
      <c r="CL307" s="56"/>
      <c r="CM307" s="56"/>
    </row>
    <row r="308" spans="18:93" ht="18" customHeight="1">
      <c r="R308" s="63"/>
      <c r="V308" s="170"/>
      <c r="W308" s="56"/>
      <c r="X308" s="56"/>
      <c r="Y308" s="56"/>
      <c r="AD308" s="63"/>
      <c r="AG308" s="56"/>
      <c r="AH308" s="56"/>
      <c r="AI308" s="56"/>
      <c r="AJ308" s="56"/>
      <c r="AK308" s="56"/>
      <c r="AO308" s="68"/>
      <c r="AP308" s="76"/>
      <c r="AQ308" s="67"/>
      <c r="AR308" s="68"/>
      <c r="AS308" s="69"/>
      <c r="AT308" s="69"/>
      <c r="AU308" s="69"/>
      <c r="AV308" s="69"/>
      <c r="AW308" s="69"/>
      <c r="AX308" s="68"/>
      <c r="AY308" s="69"/>
      <c r="AZ308" s="67"/>
      <c r="BA308" s="69"/>
      <c r="BB308" s="76"/>
      <c r="BC308" s="67"/>
      <c r="BD308" s="68"/>
      <c r="BE308" s="69"/>
      <c r="BF308" s="69"/>
      <c r="BG308" s="69"/>
      <c r="BH308" s="69"/>
      <c r="BI308" s="69"/>
      <c r="BJ308" s="68"/>
      <c r="BK308" s="69"/>
      <c r="BL308" s="67"/>
      <c r="BM308" s="67"/>
      <c r="BN308" s="56"/>
      <c r="BO308" s="56"/>
      <c r="BT308" s="63"/>
      <c r="BW308" s="56"/>
      <c r="BX308" s="56"/>
      <c r="BY308" s="56"/>
      <c r="BZ308" s="56"/>
      <c r="CA308" s="56"/>
      <c r="CF308" s="63"/>
      <c r="CI308" s="56"/>
      <c r="CJ308" s="56"/>
      <c r="CK308" s="56"/>
      <c r="CL308" s="56"/>
      <c r="CM308" s="56"/>
    </row>
    <row r="309" spans="18:93" ht="18" customHeight="1">
      <c r="R309" s="63"/>
      <c r="V309" s="170"/>
      <c r="W309" s="56"/>
      <c r="X309" s="56"/>
      <c r="Y309" s="56"/>
      <c r="AD309" s="63"/>
      <c r="AG309" s="56"/>
      <c r="AH309" s="56"/>
      <c r="AI309" s="56"/>
      <c r="AJ309" s="56"/>
      <c r="AK309" s="56"/>
      <c r="AO309" s="68"/>
      <c r="AP309" s="76"/>
      <c r="AQ309" s="67"/>
      <c r="AR309" s="68"/>
      <c r="AS309" s="69"/>
      <c r="AT309" s="69"/>
      <c r="AU309" s="69"/>
      <c r="AV309" s="69"/>
      <c r="AW309" s="69"/>
      <c r="AX309" s="68"/>
      <c r="AY309" s="69"/>
      <c r="AZ309" s="67"/>
      <c r="BA309" s="69"/>
      <c r="BB309" s="76"/>
      <c r="BC309" s="67"/>
      <c r="BD309" s="68"/>
      <c r="BE309" s="69"/>
      <c r="BF309" s="69"/>
      <c r="BG309" s="69"/>
      <c r="BH309" s="69"/>
      <c r="BI309" s="69"/>
      <c r="BJ309" s="68"/>
      <c r="BK309" s="69"/>
      <c r="BL309" s="67"/>
      <c r="BM309" s="67"/>
      <c r="BN309" s="56"/>
      <c r="BO309" s="56"/>
      <c r="BT309" s="63"/>
      <c r="BW309" s="56"/>
      <c r="BX309" s="56"/>
      <c r="BY309" s="56"/>
      <c r="BZ309" s="56"/>
      <c r="CA309" s="56"/>
      <c r="CF309" s="63"/>
      <c r="CI309" s="56"/>
      <c r="CJ309" s="56"/>
      <c r="CK309" s="56"/>
      <c r="CL309" s="56"/>
      <c r="CM309" s="56"/>
    </row>
    <row r="310" spans="18:93" ht="18" customHeight="1">
      <c r="AO310" s="68"/>
      <c r="AP310" s="67"/>
      <c r="AQ310" s="67"/>
      <c r="AR310" s="68"/>
      <c r="AS310" s="68"/>
      <c r="AT310" s="68"/>
      <c r="AU310" s="68"/>
      <c r="AV310" s="68"/>
      <c r="AW310" s="68"/>
      <c r="AX310" s="68"/>
      <c r="AY310" s="69"/>
      <c r="AZ310" s="67"/>
      <c r="BA310" s="68"/>
      <c r="BB310" s="67"/>
      <c r="BC310" s="67"/>
      <c r="BD310" s="68"/>
      <c r="BE310" s="68"/>
      <c r="BF310" s="68"/>
      <c r="BG310" s="68"/>
      <c r="BH310" s="68"/>
      <c r="BI310" s="68"/>
      <c r="BJ310" s="68"/>
      <c r="BK310" s="69"/>
      <c r="BL310" s="67"/>
      <c r="BM310" s="67"/>
    </row>
    <row r="311" spans="18:93" ht="18" customHeight="1">
      <c r="R311" s="63"/>
      <c r="S311" s="64"/>
      <c r="Y311" s="531"/>
      <c r="Z311" s="531"/>
      <c r="AA311" s="531"/>
      <c r="AD311" s="63"/>
      <c r="AE311" s="64"/>
      <c r="AK311" s="531"/>
      <c r="AL311" s="531"/>
      <c r="AM311" s="531"/>
      <c r="AO311" s="68"/>
      <c r="AP311" s="76"/>
      <c r="AQ311" s="77"/>
      <c r="AR311" s="68"/>
      <c r="AS311" s="68"/>
      <c r="AT311" s="68"/>
      <c r="AU311" s="68"/>
      <c r="AV311" s="68"/>
      <c r="AW311" s="533"/>
      <c r="AX311" s="533"/>
      <c r="AY311" s="533"/>
      <c r="AZ311" s="67"/>
      <c r="BA311" s="68"/>
      <c r="BB311" s="76"/>
      <c r="BC311" s="77"/>
      <c r="BD311" s="68"/>
      <c r="BE311" s="68"/>
      <c r="BF311" s="68"/>
      <c r="BG311" s="68"/>
      <c r="BH311" s="68"/>
      <c r="BI311" s="533"/>
      <c r="BJ311" s="533"/>
      <c r="BK311" s="533"/>
      <c r="BL311" s="67"/>
      <c r="BM311" s="67"/>
      <c r="BO311" s="531"/>
      <c r="BP311" s="531"/>
      <c r="BQ311" s="531"/>
      <c r="BT311" s="63"/>
      <c r="BU311" s="64"/>
      <c r="CA311" s="531"/>
      <c r="CB311" s="531"/>
      <c r="CC311" s="531"/>
      <c r="CF311" s="63"/>
      <c r="CG311" s="64"/>
      <c r="CM311" s="531"/>
      <c r="CN311" s="531"/>
      <c r="CO311" s="531"/>
    </row>
    <row r="312" spans="18:93" ht="18" customHeight="1">
      <c r="R312" s="63"/>
      <c r="V312" s="170"/>
      <c r="W312" s="56"/>
      <c r="X312" s="56"/>
      <c r="Y312" s="56"/>
      <c r="AD312" s="63"/>
      <c r="AG312" s="56"/>
      <c r="AH312" s="56"/>
      <c r="AI312" s="56"/>
      <c r="AJ312" s="56"/>
      <c r="AK312" s="56"/>
      <c r="AO312" s="68"/>
      <c r="AP312" s="76"/>
      <c r="AQ312" s="67"/>
      <c r="AR312" s="68"/>
      <c r="AS312" s="69"/>
      <c r="AT312" s="69"/>
      <c r="AU312" s="69"/>
      <c r="AV312" s="69"/>
      <c r="AW312" s="69"/>
      <c r="AX312" s="68"/>
      <c r="AY312" s="69"/>
      <c r="AZ312" s="67"/>
      <c r="BA312" s="69"/>
      <c r="BB312" s="76"/>
      <c r="BC312" s="67"/>
      <c r="BD312" s="68"/>
      <c r="BE312" s="69"/>
      <c r="BF312" s="69"/>
      <c r="BG312" s="69"/>
      <c r="BH312" s="69"/>
      <c r="BI312" s="69"/>
      <c r="BJ312" s="68"/>
      <c r="BK312" s="69"/>
      <c r="BL312" s="67"/>
      <c r="BM312" s="67"/>
      <c r="BN312" s="56"/>
      <c r="BO312" s="56"/>
      <c r="BT312" s="63"/>
      <c r="BW312" s="56"/>
      <c r="BX312" s="56"/>
      <c r="BY312" s="56"/>
      <c r="BZ312" s="56"/>
      <c r="CA312" s="56"/>
      <c r="CF312" s="63"/>
      <c r="CI312" s="56"/>
      <c r="CJ312" s="56"/>
      <c r="CK312" s="56"/>
      <c r="CL312" s="56"/>
      <c r="CM312" s="56"/>
    </row>
    <row r="313" spans="18:93" ht="18" customHeight="1">
      <c r="R313" s="63"/>
      <c r="V313" s="170"/>
      <c r="W313" s="56"/>
      <c r="X313" s="56"/>
      <c r="Y313" s="56"/>
      <c r="AD313" s="63"/>
      <c r="AG313" s="56"/>
      <c r="AH313" s="56"/>
      <c r="AI313" s="56"/>
      <c r="AJ313" s="56"/>
      <c r="AK313" s="56"/>
      <c r="AO313" s="68"/>
      <c r="AP313" s="76"/>
      <c r="AQ313" s="67"/>
      <c r="AR313" s="68"/>
      <c r="AS313" s="69"/>
      <c r="AT313" s="69"/>
      <c r="AU313" s="69"/>
      <c r="AV313" s="69"/>
      <c r="AW313" s="69"/>
      <c r="AX313" s="68"/>
      <c r="AY313" s="69"/>
      <c r="AZ313" s="67"/>
      <c r="BA313" s="69"/>
      <c r="BB313" s="76"/>
      <c r="BC313" s="67"/>
      <c r="BD313" s="68"/>
      <c r="BE313" s="69"/>
      <c r="BF313" s="69"/>
      <c r="BG313" s="69"/>
      <c r="BH313" s="69"/>
      <c r="BI313" s="69"/>
      <c r="BJ313" s="68"/>
      <c r="BK313" s="69"/>
      <c r="BL313" s="67"/>
      <c r="BM313" s="67"/>
      <c r="BN313" s="56"/>
      <c r="BO313" s="56"/>
      <c r="BT313" s="63"/>
      <c r="BW313" s="56"/>
      <c r="BX313" s="56"/>
      <c r="BY313" s="56"/>
      <c r="BZ313" s="56"/>
      <c r="CA313" s="56"/>
      <c r="CF313" s="63"/>
      <c r="CI313" s="56"/>
      <c r="CJ313" s="56"/>
      <c r="CK313" s="56"/>
      <c r="CL313" s="56"/>
      <c r="CM313" s="56"/>
    </row>
    <row r="314" spans="18:93" ht="18" customHeight="1">
      <c r="R314" s="63"/>
      <c r="V314" s="170"/>
      <c r="W314" s="56"/>
      <c r="X314" s="56"/>
      <c r="Y314" s="56"/>
      <c r="AD314" s="63"/>
      <c r="AG314" s="56"/>
      <c r="AH314" s="56"/>
      <c r="AI314" s="56"/>
      <c r="AJ314" s="56"/>
      <c r="AK314" s="56"/>
      <c r="AO314" s="68"/>
      <c r="AP314" s="76"/>
      <c r="AQ314" s="67"/>
      <c r="AR314" s="68"/>
      <c r="AS314" s="69"/>
      <c r="AT314" s="69"/>
      <c r="AU314" s="69"/>
      <c r="AV314" s="69"/>
      <c r="AW314" s="69"/>
      <c r="AX314" s="68"/>
      <c r="AY314" s="69"/>
      <c r="AZ314" s="67"/>
      <c r="BA314" s="69"/>
      <c r="BB314" s="76"/>
      <c r="BC314" s="67"/>
      <c r="BD314" s="68"/>
      <c r="BE314" s="69"/>
      <c r="BF314" s="69"/>
      <c r="BG314" s="69"/>
      <c r="BH314" s="69"/>
      <c r="BI314" s="69"/>
      <c r="BJ314" s="68"/>
      <c r="BK314" s="69"/>
      <c r="BL314" s="67"/>
      <c r="BM314" s="67"/>
      <c r="BN314" s="56"/>
      <c r="BO314" s="56"/>
      <c r="BT314" s="63"/>
      <c r="BW314" s="56"/>
      <c r="BX314" s="56"/>
      <c r="BY314" s="56"/>
      <c r="BZ314" s="56"/>
      <c r="CA314" s="56"/>
      <c r="CF314" s="63"/>
      <c r="CI314" s="56"/>
      <c r="CJ314" s="56"/>
      <c r="CK314" s="56"/>
      <c r="CL314" s="56"/>
      <c r="CM314" s="56"/>
    </row>
    <row r="315" spans="18:93" ht="18" customHeight="1">
      <c r="R315" s="63"/>
      <c r="V315" s="170"/>
      <c r="W315" s="56"/>
      <c r="X315" s="56"/>
      <c r="Y315" s="56"/>
      <c r="AD315" s="63"/>
      <c r="AG315" s="56"/>
      <c r="AH315" s="56"/>
      <c r="AI315" s="56"/>
      <c r="AJ315" s="56"/>
      <c r="AK315" s="56"/>
      <c r="AO315" s="68"/>
      <c r="AP315" s="76"/>
      <c r="AQ315" s="67"/>
      <c r="AR315" s="68"/>
      <c r="AS315" s="69"/>
      <c r="AT315" s="69"/>
      <c r="AU315" s="69"/>
      <c r="AV315" s="69"/>
      <c r="AW315" s="69"/>
      <c r="AX315" s="68"/>
      <c r="AY315" s="69"/>
      <c r="AZ315" s="67"/>
      <c r="BA315" s="69"/>
      <c r="BB315" s="76"/>
      <c r="BC315" s="67"/>
      <c r="BD315" s="68"/>
      <c r="BE315" s="69"/>
      <c r="BF315" s="69"/>
      <c r="BG315" s="69"/>
      <c r="BH315" s="69"/>
      <c r="BI315" s="69"/>
      <c r="BJ315" s="68"/>
      <c r="BK315" s="69"/>
      <c r="BL315" s="67"/>
      <c r="BM315" s="67"/>
      <c r="BN315" s="56"/>
      <c r="BO315" s="56"/>
      <c r="BT315" s="63"/>
      <c r="BW315" s="56"/>
      <c r="BX315" s="56"/>
      <c r="BY315" s="56"/>
      <c r="BZ315" s="56"/>
      <c r="CA315" s="56"/>
      <c r="CF315" s="63"/>
      <c r="CI315" s="56"/>
      <c r="CJ315" s="56"/>
      <c r="CK315" s="56"/>
      <c r="CL315" s="56"/>
      <c r="CM315" s="56"/>
    </row>
    <row r="316" spans="18:93" ht="18" customHeight="1">
      <c r="AO316" s="68"/>
      <c r="AP316" s="67"/>
      <c r="AQ316" s="67"/>
      <c r="AR316" s="68"/>
      <c r="AS316" s="68"/>
      <c r="AT316" s="68"/>
      <c r="AU316" s="68"/>
      <c r="AV316" s="68"/>
      <c r="AW316" s="68"/>
      <c r="AX316" s="68"/>
      <c r="AY316" s="69"/>
      <c r="AZ316" s="67"/>
      <c r="BA316" s="68"/>
      <c r="BB316" s="67"/>
      <c r="BC316" s="67"/>
      <c r="BD316" s="68"/>
      <c r="BE316" s="68"/>
      <c r="BF316" s="68"/>
      <c r="BG316" s="68"/>
      <c r="BH316" s="68"/>
      <c r="BI316" s="68"/>
      <c r="BJ316" s="68"/>
      <c r="BK316" s="69"/>
      <c r="BL316" s="67"/>
      <c r="BM316" s="67"/>
    </row>
    <row r="317" spans="18:93" ht="18" customHeight="1">
      <c r="R317" s="63"/>
      <c r="S317" s="64"/>
      <c r="Y317" s="531"/>
      <c r="Z317" s="531"/>
      <c r="AA317" s="531"/>
      <c r="AD317" s="63"/>
      <c r="AE317" s="64"/>
      <c r="AK317" s="531"/>
      <c r="AL317" s="531"/>
      <c r="AM317" s="531"/>
      <c r="AO317" s="68"/>
      <c r="AP317" s="76"/>
      <c r="AQ317" s="77"/>
      <c r="AR317" s="68"/>
      <c r="AS317" s="68"/>
      <c r="AT317" s="68"/>
      <c r="AU317" s="68"/>
      <c r="AV317" s="68"/>
      <c r="AW317" s="533"/>
      <c r="AX317" s="533"/>
      <c r="AY317" s="533"/>
      <c r="AZ317" s="67"/>
      <c r="BA317" s="68"/>
      <c r="BB317" s="76"/>
      <c r="BC317" s="77"/>
      <c r="BD317" s="68"/>
      <c r="BE317" s="68"/>
      <c r="BF317" s="68"/>
      <c r="BG317" s="68"/>
      <c r="BH317" s="68"/>
      <c r="BI317" s="533"/>
      <c r="BJ317" s="533"/>
      <c r="BK317" s="533"/>
      <c r="BL317" s="67"/>
      <c r="BM317" s="67"/>
      <c r="BO317" s="531"/>
      <c r="BP317" s="531"/>
      <c r="BQ317" s="531"/>
      <c r="BT317" s="63"/>
      <c r="BU317" s="64"/>
      <c r="CA317" s="531"/>
      <c r="CB317" s="531"/>
      <c r="CC317" s="531"/>
      <c r="CF317" s="63"/>
      <c r="CG317" s="64"/>
      <c r="CM317" s="531"/>
      <c r="CN317" s="531"/>
      <c r="CO317" s="531"/>
    </row>
    <row r="318" spans="18:93" ht="18" customHeight="1">
      <c r="R318" s="63"/>
      <c r="V318" s="170"/>
      <c r="W318" s="56"/>
      <c r="X318" s="56"/>
      <c r="Y318" s="56"/>
      <c r="AD318" s="63"/>
      <c r="AG318" s="56"/>
      <c r="AH318" s="56"/>
      <c r="AI318" s="56"/>
      <c r="AJ318" s="56"/>
      <c r="AK318" s="56"/>
      <c r="AO318" s="68"/>
      <c r="AP318" s="76"/>
      <c r="AQ318" s="67"/>
      <c r="AR318" s="68"/>
      <c r="AS318" s="69"/>
      <c r="AT318" s="69"/>
      <c r="AU318" s="69"/>
      <c r="AV318" s="69"/>
      <c r="AW318" s="69"/>
      <c r="AX318" s="68"/>
      <c r="AY318" s="69"/>
      <c r="AZ318" s="67"/>
      <c r="BA318" s="69"/>
      <c r="BB318" s="76"/>
      <c r="BC318" s="67"/>
      <c r="BD318" s="68"/>
      <c r="BE318" s="69"/>
      <c r="BF318" s="69"/>
      <c r="BG318" s="69"/>
      <c r="BH318" s="69"/>
      <c r="BI318" s="69"/>
      <c r="BJ318" s="68"/>
      <c r="BK318" s="69"/>
      <c r="BL318" s="67"/>
      <c r="BM318" s="67"/>
      <c r="BN318" s="56"/>
      <c r="BO318" s="56"/>
      <c r="BT318" s="63"/>
      <c r="BW318" s="56"/>
      <c r="BX318" s="56"/>
      <c r="BY318" s="56"/>
      <c r="BZ318" s="56"/>
      <c r="CA318" s="56"/>
      <c r="CF318" s="63"/>
      <c r="CI318" s="56"/>
      <c r="CJ318" s="56"/>
      <c r="CK318" s="56"/>
      <c r="CL318" s="56"/>
      <c r="CM318" s="56"/>
    </row>
    <row r="319" spans="18:93" ht="18" customHeight="1">
      <c r="R319" s="63"/>
      <c r="V319" s="170"/>
      <c r="W319" s="56"/>
      <c r="X319" s="56"/>
      <c r="Y319" s="56"/>
      <c r="AD319" s="63"/>
      <c r="AG319" s="56"/>
      <c r="AH319" s="56"/>
      <c r="AI319" s="56"/>
      <c r="AJ319" s="56"/>
      <c r="AK319" s="56"/>
      <c r="AO319" s="68"/>
      <c r="AP319" s="76"/>
      <c r="AQ319" s="67"/>
      <c r="AR319" s="68"/>
      <c r="AS319" s="69"/>
      <c r="AT319" s="69"/>
      <c r="AU319" s="69"/>
      <c r="AV319" s="69"/>
      <c r="AW319" s="69"/>
      <c r="AX319" s="68"/>
      <c r="AY319" s="69"/>
      <c r="AZ319" s="67"/>
      <c r="BA319" s="69"/>
      <c r="BB319" s="76"/>
      <c r="BC319" s="67"/>
      <c r="BD319" s="68"/>
      <c r="BE319" s="69"/>
      <c r="BF319" s="69"/>
      <c r="BG319" s="69"/>
      <c r="BH319" s="69"/>
      <c r="BI319" s="69"/>
      <c r="BJ319" s="68"/>
      <c r="BK319" s="69"/>
      <c r="BL319" s="67"/>
      <c r="BM319" s="67"/>
      <c r="BN319" s="56"/>
      <c r="BO319" s="56"/>
      <c r="BT319" s="63"/>
      <c r="BW319" s="56"/>
      <c r="BX319" s="56"/>
      <c r="BY319" s="56"/>
      <c r="BZ319" s="56"/>
      <c r="CA319" s="56"/>
      <c r="CF319" s="63"/>
      <c r="CI319" s="56"/>
      <c r="CJ319" s="56"/>
      <c r="CK319" s="56"/>
      <c r="CL319" s="56"/>
      <c r="CM319" s="56"/>
    </row>
    <row r="320" spans="18:93" ht="18" customHeight="1">
      <c r="R320" s="63"/>
      <c r="V320" s="170"/>
      <c r="W320" s="56"/>
      <c r="X320" s="56"/>
      <c r="Y320" s="56"/>
      <c r="AD320" s="63"/>
      <c r="AG320" s="56"/>
      <c r="AH320" s="56"/>
      <c r="AI320" s="56"/>
      <c r="AJ320" s="56"/>
      <c r="AK320" s="56"/>
      <c r="AO320" s="68"/>
      <c r="AP320" s="76"/>
      <c r="AQ320" s="67"/>
      <c r="AR320" s="68"/>
      <c r="AS320" s="69"/>
      <c r="AT320" s="69"/>
      <c r="AU320" s="69"/>
      <c r="AV320" s="69"/>
      <c r="AW320" s="69"/>
      <c r="AX320" s="68"/>
      <c r="AY320" s="69"/>
      <c r="AZ320" s="67"/>
      <c r="BA320" s="69"/>
      <c r="BB320" s="76"/>
      <c r="BC320" s="67"/>
      <c r="BD320" s="68"/>
      <c r="BE320" s="69"/>
      <c r="BF320" s="69"/>
      <c r="BG320" s="69"/>
      <c r="BH320" s="69"/>
      <c r="BI320" s="69"/>
      <c r="BJ320" s="68"/>
      <c r="BK320" s="69"/>
      <c r="BL320" s="67"/>
      <c r="BM320" s="67"/>
      <c r="BN320" s="56"/>
      <c r="BO320" s="56"/>
      <c r="BT320" s="63"/>
      <c r="BW320" s="56"/>
      <c r="BX320" s="56"/>
      <c r="BY320" s="56"/>
      <c r="BZ320" s="56"/>
      <c r="CA320" s="56"/>
      <c r="CF320" s="63"/>
      <c r="CI320" s="56"/>
      <c r="CJ320" s="56"/>
      <c r="CK320" s="56"/>
      <c r="CL320" s="56"/>
      <c r="CM320" s="56"/>
    </row>
    <row r="321" spans="18:93" ht="18" customHeight="1">
      <c r="R321" s="63"/>
      <c r="V321" s="170"/>
      <c r="W321" s="56"/>
      <c r="X321" s="56"/>
      <c r="Y321" s="56"/>
      <c r="AD321" s="63"/>
      <c r="AG321" s="56"/>
      <c r="AH321" s="56"/>
      <c r="AI321" s="56"/>
      <c r="AJ321" s="56"/>
      <c r="AK321" s="56"/>
      <c r="AO321" s="68"/>
      <c r="AP321" s="76"/>
      <c r="AQ321" s="67"/>
      <c r="AR321" s="68"/>
      <c r="AS321" s="69"/>
      <c r="AT321" s="69"/>
      <c r="AU321" s="69"/>
      <c r="AV321" s="69"/>
      <c r="AW321" s="69"/>
      <c r="AX321" s="68"/>
      <c r="AY321" s="69"/>
      <c r="AZ321" s="67"/>
      <c r="BA321" s="69"/>
      <c r="BB321" s="76"/>
      <c r="BC321" s="67"/>
      <c r="BD321" s="68"/>
      <c r="BE321" s="69"/>
      <c r="BF321" s="69"/>
      <c r="BG321" s="69"/>
      <c r="BH321" s="69"/>
      <c r="BI321" s="69"/>
      <c r="BJ321" s="68"/>
      <c r="BK321" s="69"/>
      <c r="BL321" s="67"/>
      <c r="BM321" s="67"/>
      <c r="BN321" s="56"/>
      <c r="BO321" s="56"/>
      <c r="BT321" s="63"/>
      <c r="BW321" s="56"/>
      <c r="BX321" s="56"/>
      <c r="BY321" s="56"/>
      <c r="BZ321" s="56"/>
      <c r="CA321" s="56"/>
      <c r="CF321" s="63"/>
      <c r="CI321" s="56"/>
      <c r="CJ321" s="56"/>
      <c r="CK321" s="56"/>
      <c r="CL321" s="56"/>
      <c r="CM321" s="56"/>
    </row>
    <row r="322" spans="18:93" ht="18" customHeight="1">
      <c r="AO322" s="68"/>
      <c r="AP322" s="67"/>
      <c r="AQ322" s="67"/>
      <c r="AR322" s="68"/>
      <c r="AS322" s="68"/>
      <c r="AT322" s="68"/>
      <c r="AU322" s="68"/>
      <c r="AV322" s="68"/>
      <c r="AW322" s="68"/>
      <c r="AX322" s="68"/>
      <c r="AY322" s="69"/>
      <c r="AZ322" s="67"/>
      <c r="BA322" s="68"/>
      <c r="BB322" s="67"/>
      <c r="BC322" s="67"/>
      <c r="BD322" s="68"/>
      <c r="BE322" s="68"/>
      <c r="BF322" s="68"/>
      <c r="BG322" s="68"/>
      <c r="BH322" s="68"/>
      <c r="BI322" s="68"/>
      <c r="BJ322" s="68"/>
      <c r="BK322" s="69"/>
      <c r="BL322" s="67"/>
      <c r="BM322" s="67"/>
    </row>
    <row r="323" spans="18:93" ht="18" customHeight="1">
      <c r="R323" s="63"/>
      <c r="S323" s="64"/>
      <c r="Y323" s="531"/>
      <c r="Z323" s="531"/>
      <c r="AA323" s="531"/>
      <c r="AD323" s="63"/>
      <c r="AE323" s="64"/>
      <c r="AK323" s="531"/>
      <c r="AL323" s="531"/>
      <c r="AM323" s="531"/>
      <c r="AO323" s="68"/>
      <c r="AP323" s="76"/>
      <c r="AQ323" s="77"/>
      <c r="AR323" s="68"/>
      <c r="AS323" s="68"/>
      <c r="AT323" s="68"/>
      <c r="AU323" s="68"/>
      <c r="AV323" s="68"/>
      <c r="AW323" s="533"/>
      <c r="AX323" s="533"/>
      <c r="AY323" s="533"/>
      <c r="AZ323" s="67"/>
      <c r="BA323" s="68"/>
      <c r="BB323" s="76"/>
      <c r="BC323" s="77"/>
      <c r="BD323" s="68"/>
      <c r="BE323" s="68"/>
      <c r="BF323" s="68"/>
      <c r="BG323" s="68"/>
      <c r="BH323" s="68"/>
      <c r="BI323" s="533"/>
      <c r="BJ323" s="533"/>
      <c r="BK323" s="533"/>
      <c r="BL323" s="67"/>
      <c r="BM323" s="67"/>
      <c r="BO323" s="531"/>
      <c r="BP323" s="531"/>
      <c r="BQ323" s="531"/>
      <c r="BT323" s="63"/>
      <c r="BU323" s="64"/>
      <c r="CA323" s="531"/>
      <c r="CB323" s="531"/>
      <c r="CC323" s="531"/>
      <c r="CF323" s="63"/>
      <c r="CG323" s="64"/>
      <c r="CM323" s="531"/>
      <c r="CN323" s="531"/>
      <c r="CO323" s="531"/>
    </row>
    <row r="324" spans="18:93" ht="18" customHeight="1">
      <c r="R324" s="63"/>
      <c r="V324" s="170"/>
      <c r="W324" s="56"/>
      <c r="X324" s="56"/>
      <c r="Y324" s="56"/>
      <c r="AD324" s="63"/>
      <c r="AG324" s="56"/>
      <c r="AH324" s="56"/>
      <c r="AI324" s="56"/>
      <c r="AJ324" s="56"/>
      <c r="AK324" s="56"/>
      <c r="AO324" s="68"/>
      <c r="AP324" s="76"/>
      <c r="AQ324" s="67"/>
      <c r="AR324" s="68"/>
      <c r="AS324" s="69"/>
      <c r="AT324" s="69"/>
      <c r="AU324" s="69"/>
      <c r="AV324" s="69"/>
      <c r="AW324" s="69"/>
      <c r="AX324" s="68"/>
      <c r="AY324" s="69"/>
      <c r="AZ324" s="67"/>
      <c r="BA324" s="69"/>
      <c r="BB324" s="76"/>
      <c r="BC324" s="67"/>
      <c r="BD324" s="68"/>
      <c r="BE324" s="69"/>
      <c r="BF324" s="69"/>
      <c r="BG324" s="69"/>
      <c r="BH324" s="69"/>
      <c r="BI324" s="69"/>
      <c r="BJ324" s="68"/>
      <c r="BK324" s="69"/>
      <c r="BL324" s="67"/>
      <c r="BM324" s="67"/>
      <c r="BN324" s="56"/>
      <c r="BO324" s="56"/>
      <c r="BT324" s="63"/>
      <c r="BW324" s="56"/>
      <c r="BX324" s="56"/>
      <c r="BY324" s="56"/>
      <c r="BZ324" s="56"/>
      <c r="CA324" s="56"/>
      <c r="CF324" s="63"/>
      <c r="CI324" s="56"/>
      <c r="CJ324" s="56"/>
      <c r="CK324" s="56"/>
      <c r="CL324" s="56"/>
      <c r="CM324" s="56"/>
    </row>
    <row r="325" spans="18:93" ht="18" customHeight="1">
      <c r="R325" s="63"/>
      <c r="V325" s="170"/>
      <c r="W325" s="56"/>
      <c r="X325" s="56"/>
      <c r="Y325" s="56"/>
      <c r="AD325" s="63"/>
      <c r="AG325" s="56"/>
      <c r="AH325" s="56"/>
      <c r="AI325" s="56"/>
      <c r="AJ325" s="56"/>
      <c r="AK325" s="56"/>
      <c r="AO325" s="68"/>
      <c r="AP325" s="76"/>
      <c r="AQ325" s="67"/>
      <c r="AR325" s="68"/>
      <c r="AS325" s="69"/>
      <c r="AT325" s="69"/>
      <c r="AU325" s="69"/>
      <c r="AV325" s="69"/>
      <c r="AW325" s="69"/>
      <c r="AX325" s="68"/>
      <c r="AY325" s="69"/>
      <c r="AZ325" s="67"/>
      <c r="BA325" s="69"/>
      <c r="BB325" s="76"/>
      <c r="BC325" s="67"/>
      <c r="BD325" s="68"/>
      <c r="BE325" s="69"/>
      <c r="BF325" s="69"/>
      <c r="BG325" s="69"/>
      <c r="BH325" s="69"/>
      <c r="BI325" s="69"/>
      <c r="BJ325" s="68"/>
      <c r="BK325" s="69"/>
      <c r="BL325" s="67"/>
      <c r="BM325" s="67"/>
      <c r="BN325" s="56"/>
      <c r="BO325" s="56"/>
      <c r="BT325" s="63"/>
      <c r="BW325" s="56"/>
      <c r="BX325" s="56"/>
      <c r="BY325" s="56"/>
      <c r="BZ325" s="56"/>
      <c r="CA325" s="56"/>
      <c r="CF325" s="63"/>
      <c r="CI325" s="56"/>
      <c r="CJ325" s="56"/>
      <c r="CK325" s="56"/>
      <c r="CL325" s="56"/>
      <c r="CM325" s="56"/>
    </row>
    <row r="326" spans="18:93" ht="18" customHeight="1">
      <c r="R326" s="63"/>
      <c r="V326" s="170"/>
      <c r="W326" s="56"/>
      <c r="X326" s="56"/>
      <c r="Y326" s="56"/>
      <c r="AD326" s="63"/>
      <c r="AG326" s="56"/>
      <c r="AH326" s="56"/>
      <c r="AI326" s="56"/>
      <c r="AJ326" s="56"/>
      <c r="AK326" s="56"/>
      <c r="AO326" s="68"/>
      <c r="AP326" s="76"/>
      <c r="AQ326" s="67"/>
      <c r="AR326" s="68"/>
      <c r="AS326" s="69"/>
      <c r="AT326" s="69"/>
      <c r="AU326" s="69"/>
      <c r="AV326" s="69"/>
      <c r="AW326" s="69"/>
      <c r="AX326" s="68"/>
      <c r="AY326" s="69"/>
      <c r="AZ326" s="67"/>
      <c r="BA326" s="69"/>
      <c r="BB326" s="76"/>
      <c r="BC326" s="67"/>
      <c r="BD326" s="68"/>
      <c r="BE326" s="69"/>
      <c r="BF326" s="69"/>
      <c r="BG326" s="69"/>
      <c r="BH326" s="69"/>
      <c r="BI326" s="69"/>
      <c r="BJ326" s="68"/>
      <c r="BK326" s="69"/>
      <c r="BL326" s="67"/>
      <c r="BM326" s="67"/>
      <c r="BN326" s="56"/>
      <c r="BO326" s="56"/>
      <c r="BT326" s="63"/>
      <c r="BW326" s="56"/>
      <c r="BX326" s="56"/>
      <c r="BY326" s="56"/>
      <c r="BZ326" s="56"/>
      <c r="CA326" s="56"/>
      <c r="CF326" s="63"/>
      <c r="CI326" s="56"/>
      <c r="CJ326" s="56"/>
      <c r="CK326" s="56"/>
      <c r="CL326" s="56"/>
      <c r="CM326" s="56"/>
    </row>
    <row r="327" spans="18:93" ht="18" customHeight="1">
      <c r="R327" s="63"/>
      <c r="V327" s="170"/>
      <c r="W327" s="56"/>
      <c r="X327" s="56"/>
      <c r="Y327" s="56"/>
      <c r="AD327" s="63"/>
      <c r="AG327" s="56"/>
      <c r="AH327" s="56"/>
      <c r="AI327" s="56"/>
      <c r="AJ327" s="56"/>
      <c r="AK327" s="56"/>
      <c r="AO327" s="68"/>
      <c r="AP327" s="76"/>
      <c r="AQ327" s="67"/>
      <c r="AR327" s="68"/>
      <c r="AS327" s="69"/>
      <c r="AT327" s="69"/>
      <c r="AU327" s="69"/>
      <c r="AV327" s="69"/>
      <c r="AW327" s="69"/>
      <c r="AX327" s="68"/>
      <c r="AY327" s="69"/>
      <c r="AZ327" s="67"/>
      <c r="BA327" s="69"/>
      <c r="BB327" s="76"/>
      <c r="BC327" s="67"/>
      <c r="BD327" s="68"/>
      <c r="BE327" s="69"/>
      <c r="BF327" s="69"/>
      <c r="BG327" s="69"/>
      <c r="BH327" s="69"/>
      <c r="BI327" s="69"/>
      <c r="BJ327" s="68"/>
      <c r="BK327" s="69"/>
      <c r="BL327" s="67"/>
      <c r="BM327" s="67"/>
      <c r="BN327" s="56"/>
      <c r="BO327" s="56"/>
      <c r="BT327" s="63"/>
      <c r="BW327" s="56"/>
      <c r="BX327" s="56"/>
      <c r="BY327" s="56"/>
      <c r="BZ327" s="56"/>
      <c r="CA327" s="56"/>
      <c r="CF327" s="63"/>
      <c r="CI327" s="56"/>
      <c r="CJ327" s="56"/>
      <c r="CK327" s="56"/>
      <c r="CL327" s="56"/>
      <c r="CM327" s="56"/>
    </row>
    <row r="328" spans="18:93" ht="18" customHeight="1">
      <c r="AO328" s="68"/>
      <c r="AP328" s="67"/>
      <c r="AQ328" s="67"/>
      <c r="AR328" s="68"/>
      <c r="AS328" s="68"/>
      <c r="AT328" s="68"/>
      <c r="AU328" s="68"/>
      <c r="AV328" s="68"/>
      <c r="AW328" s="68"/>
      <c r="AX328" s="68"/>
      <c r="AY328" s="69"/>
      <c r="AZ328" s="67"/>
      <c r="BA328" s="68"/>
      <c r="BB328" s="67"/>
      <c r="BC328" s="67"/>
      <c r="BD328" s="68"/>
      <c r="BE328" s="68"/>
      <c r="BF328" s="68"/>
      <c r="BG328" s="68"/>
      <c r="BH328" s="68"/>
      <c r="BI328" s="68"/>
      <c r="BJ328" s="68"/>
      <c r="BK328" s="69"/>
      <c r="BL328" s="67"/>
      <c r="BM328" s="67"/>
    </row>
    <row r="329" spans="18:93" ht="18" customHeight="1">
      <c r="R329" s="63"/>
      <c r="S329" s="64"/>
      <c r="Y329" s="531"/>
      <c r="Z329" s="531"/>
      <c r="AA329" s="531"/>
      <c r="AD329" s="63"/>
      <c r="AE329" s="64"/>
      <c r="AK329" s="531"/>
      <c r="AL329" s="531"/>
      <c r="AM329" s="531"/>
      <c r="AO329" s="68"/>
      <c r="AP329" s="76"/>
      <c r="AQ329" s="77"/>
      <c r="AR329" s="68"/>
      <c r="AS329" s="68"/>
      <c r="AT329" s="68"/>
      <c r="AU329" s="68"/>
      <c r="AV329" s="68"/>
      <c r="AW329" s="533"/>
      <c r="AX329" s="533"/>
      <c r="AY329" s="533"/>
      <c r="AZ329" s="67"/>
      <c r="BA329" s="68"/>
      <c r="BB329" s="76"/>
      <c r="BC329" s="77"/>
      <c r="BD329" s="68"/>
      <c r="BE329" s="68"/>
      <c r="BF329" s="68"/>
      <c r="BG329" s="68"/>
      <c r="BH329" s="68"/>
      <c r="BI329" s="533"/>
      <c r="BJ329" s="533"/>
      <c r="BK329" s="533"/>
      <c r="BL329" s="67"/>
      <c r="BM329" s="67"/>
      <c r="BO329" s="531"/>
      <c r="BP329" s="531"/>
      <c r="BQ329" s="531"/>
      <c r="BT329" s="63"/>
      <c r="BU329" s="64"/>
      <c r="CA329" s="531"/>
      <c r="CB329" s="531"/>
      <c r="CC329" s="531"/>
      <c r="CF329" s="63"/>
      <c r="CG329" s="64"/>
      <c r="CM329" s="531"/>
      <c r="CN329" s="531"/>
      <c r="CO329" s="531"/>
    </row>
    <row r="330" spans="18:93" ht="18" customHeight="1">
      <c r="R330" s="63"/>
      <c r="V330" s="170"/>
      <c r="W330" s="56"/>
      <c r="X330" s="56"/>
      <c r="Y330" s="56"/>
      <c r="AD330" s="63"/>
      <c r="AG330" s="56"/>
      <c r="AH330" s="56"/>
      <c r="AI330" s="56"/>
      <c r="AJ330" s="56"/>
      <c r="AK330" s="56"/>
      <c r="AO330" s="68"/>
      <c r="AP330" s="76"/>
      <c r="AQ330" s="67"/>
      <c r="AR330" s="68"/>
      <c r="AS330" s="69"/>
      <c r="AT330" s="69"/>
      <c r="AU330" s="69"/>
      <c r="AV330" s="69"/>
      <c r="AW330" s="69"/>
      <c r="AX330" s="68"/>
      <c r="AY330" s="69"/>
      <c r="AZ330" s="67"/>
      <c r="BA330" s="69"/>
      <c r="BB330" s="76"/>
      <c r="BC330" s="67"/>
      <c r="BD330" s="68"/>
      <c r="BE330" s="69"/>
      <c r="BF330" s="69"/>
      <c r="BG330" s="69"/>
      <c r="BH330" s="69"/>
      <c r="BI330" s="69"/>
      <c r="BJ330" s="68"/>
      <c r="BK330" s="69"/>
      <c r="BL330" s="67"/>
      <c r="BM330" s="67"/>
      <c r="BN330" s="56"/>
      <c r="BO330" s="56"/>
      <c r="BT330" s="63"/>
      <c r="BW330" s="56"/>
      <c r="BX330" s="56"/>
      <c r="BY330" s="56"/>
      <c r="BZ330" s="56"/>
      <c r="CA330" s="56"/>
      <c r="CF330" s="63"/>
      <c r="CI330" s="56"/>
      <c r="CJ330" s="56"/>
      <c r="CK330" s="56"/>
      <c r="CL330" s="56"/>
      <c r="CM330" s="56"/>
    </row>
    <row r="331" spans="18:93" ht="18" customHeight="1">
      <c r="R331" s="63"/>
      <c r="V331" s="170"/>
      <c r="W331" s="56"/>
      <c r="X331" s="56"/>
      <c r="Y331" s="56"/>
      <c r="AD331" s="63"/>
      <c r="AG331" s="56"/>
      <c r="AH331" s="56"/>
      <c r="AI331" s="56"/>
      <c r="AJ331" s="56"/>
      <c r="AK331" s="56"/>
      <c r="AO331" s="68"/>
      <c r="AP331" s="76"/>
      <c r="AQ331" s="67"/>
      <c r="AR331" s="68"/>
      <c r="AS331" s="69"/>
      <c r="AT331" s="69"/>
      <c r="AU331" s="69"/>
      <c r="AV331" s="69"/>
      <c r="AW331" s="69"/>
      <c r="AX331" s="68"/>
      <c r="AY331" s="69"/>
      <c r="AZ331" s="67"/>
      <c r="BA331" s="69"/>
      <c r="BB331" s="76"/>
      <c r="BC331" s="67"/>
      <c r="BD331" s="68"/>
      <c r="BE331" s="69"/>
      <c r="BF331" s="69"/>
      <c r="BG331" s="69"/>
      <c r="BH331" s="69"/>
      <c r="BI331" s="69"/>
      <c r="BJ331" s="68"/>
      <c r="BK331" s="69"/>
      <c r="BL331" s="67"/>
      <c r="BM331" s="67"/>
      <c r="BN331" s="56"/>
      <c r="BO331" s="56"/>
      <c r="BT331" s="63"/>
      <c r="BW331" s="56"/>
      <c r="BX331" s="56"/>
      <c r="BY331" s="56"/>
      <c r="BZ331" s="56"/>
      <c r="CA331" s="56"/>
      <c r="CF331" s="63"/>
      <c r="CI331" s="56"/>
      <c r="CJ331" s="56"/>
      <c r="CK331" s="56"/>
      <c r="CL331" s="56"/>
      <c r="CM331" s="56"/>
    </row>
    <row r="332" spans="18:93" ht="18" customHeight="1">
      <c r="R332" s="63"/>
      <c r="V332" s="170"/>
      <c r="W332" s="56"/>
      <c r="X332" s="56"/>
      <c r="Y332" s="56"/>
      <c r="AD332" s="63"/>
      <c r="AG332" s="56"/>
      <c r="AH332" s="56"/>
      <c r="AI332" s="56"/>
      <c r="AJ332" s="56"/>
      <c r="AK332" s="56"/>
      <c r="AO332" s="68"/>
      <c r="AP332" s="76"/>
      <c r="AQ332" s="67"/>
      <c r="AR332" s="68"/>
      <c r="AS332" s="69"/>
      <c r="AT332" s="69"/>
      <c r="AU332" s="69"/>
      <c r="AV332" s="69"/>
      <c r="AW332" s="69"/>
      <c r="AX332" s="68"/>
      <c r="AY332" s="69"/>
      <c r="AZ332" s="67"/>
      <c r="BA332" s="69"/>
      <c r="BB332" s="76"/>
      <c r="BC332" s="67"/>
      <c r="BD332" s="68"/>
      <c r="BE332" s="69"/>
      <c r="BF332" s="69"/>
      <c r="BG332" s="69"/>
      <c r="BH332" s="69"/>
      <c r="BI332" s="69"/>
      <c r="BJ332" s="68"/>
      <c r="BK332" s="69"/>
      <c r="BL332" s="67"/>
      <c r="BM332" s="67"/>
      <c r="BN332" s="56"/>
      <c r="BO332" s="56"/>
      <c r="BT332" s="63"/>
      <c r="BW332" s="56"/>
      <c r="BX332" s="56"/>
      <c r="BY332" s="56"/>
      <c r="BZ332" s="56"/>
      <c r="CA332" s="56"/>
      <c r="CF332" s="63"/>
      <c r="CI332" s="56"/>
      <c r="CJ332" s="56"/>
      <c r="CK332" s="56"/>
      <c r="CL332" s="56"/>
      <c r="CM332" s="56"/>
    </row>
    <row r="333" spans="18:93" ht="18" customHeight="1">
      <c r="R333" s="63"/>
      <c r="V333" s="170"/>
      <c r="W333" s="56"/>
      <c r="X333" s="56"/>
      <c r="Y333" s="56"/>
      <c r="AD333" s="63"/>
      <c r="AG333" s="56"/>
      <c r="AH333" s="56"/>
      <c r="AI333" s="56"/>
      <c r="AJ333" s="56"/>
      <c r="AK333" s="56"/>
      <c r="AO333" s="68"/>
      <c r="AP333" s="76"/>
      <c r="AQ333" s="67"/>
      <c r="AR333" s="68"/>
      <c r="AS333" s="69"/>
      <c r="AT333" s="69"/>
      <c r="AU333" s="69"/>
      <c r="AV333" s="69"/>
      <c r="AW333" s="69"/>
      <c r="AX333" s="68"/>
      <c r="AY333" s="69"/>
      <c r="AZ333" s="67"/>
      <c r="BA333" s="69"/>
      <c r="BB333" s="76"/>
      <c r="BC333" s="67"/>
      <c r="BD333" s="68"/>
      <c r="BE333" s="69"/>
      <c r="BF333" s="69"/>
      <c r="BG333" s="69"/>
      <c r="BH333" s="69"/>
      <c r="BI333" s="69"/>
      <c r="BJ333" s="68"/>
      <c r="BK333" s="69"/>
      <c r="BL333" s="67"/>
      <c r="BM333" s="67"/>
      <c r="BN333" s="56"/>
      <c r="BO333" s="56"/>
      <c r="BT333" s="63"/>
      <c r="BW333" s="56"/>
      <c r="BX333" s="56"/>
      <c r="BY333" s="56"/>
      <c r="BZ333" s="56"/>
      <c r="CA333" s="56"/>
      <c r="CF333" s="63"/>
      <c r="CI333" s="56"/>
      <c r="CJ333" s="56"/>
      <c r="CK333" s="56"/>
      <c r="CL333" s="56"/>
      <c r="CM333" s="56"/>
    </row>
    <row r="334" spans="18:93" ht="18" customHeight="1">
      <c r="AO334" s="68"/>
      <c r="AP334" s="67"/>
      <c r="AQ334" s="67"/>
      <c r="AR334" s="68"/>
      <c r="AS334" s="68"/>
      <c r="AT334" s="68"/>
      <c r="AU334" s="68"/>
      <c r="AV334" s="68"/>
      <c r="AW334" s="68"/>
      <c r="AX334" s="68"/>
      <c r="AY334" s="69"/>
      <c r="AZ334" s="67"/>
      <c r="BA334" s="68"/>
      <c r="BB334" s="67"/>
      <c r="BC334" s="67"/>
      <c r="BD334" s="68"/>
      <c r="BE334" s="68"/>
      <c r="BF334" s="68"/>
      <c r="BG334" s="68"/>
      <c r="BH334" s="68"/>
      <c r="BI334" s="68"/>
      <c r="BJ334" s="68"/>
      <c r="BK334" s="69"/>
      <c r="BL334" s="67"/>
      <c r="BM334" s="67"/>
    </row>
    <row r="335" spans="18:93" ht="18" customHeight="1">
      <c r="R335" s="63"/>
      <c r="S335" s="64"/>
      <c r="Y335" s="531"/>
      <c r="Z335" s="531"/>
      <c r="AA335" s="531"/>
      <c r="AD335" s="63"/>
      <c r="AE335" s="64"/>
      <c r="AK335" s="531"/>
      <c r="AL335" s="531"/>
      <c r="AM335" s="531"/>
      <c r="AO335" s="68"/>
      <c r="AP335" s="76"/>
      <c r="AQ335" s="77"/>
      <c r="AR335" s="68"/>
      <c r="AS335" s="68"/>
      <c r="AT335" s="68"/>
      <c r="AU335" s="68"/>
      <c r="AV335" s="68"/>
      <c r="AW335" s="533"/>
      <c r="AX335" s="533"/>
      <c r="AY335" s="533"/>
      <c r="AZ335" s="67"/>
      <c r="BA335" s="68"/>
      <c r="BB335" s="76"/>
      <c r="BC335" s="77"/>
      <c r="BD335" s="68"/>
      <c r="BE335" s="68"/>
      <c r="BF335" s="68"/>
      <c r="BG335" s="68"/>
      <c r="BH335" s="68"/>
      <c r="BI335" s="533"/>
      <c r="BJ335" s="533"/>
      <c r="BK335" s="533"/>
      <c r="BL335" s="67"/>
      <c r="BM335" s="67"/>
      <c r="BO335" s="531"/>
      <c r="BP335" s="531"/>
      <c r="BQ335" s="531"/>
      <c r="BT335" s="63"/>
      <c r="BU335" s="64"/>
      <c r="CA335" s="531"/>
      <c r="CB335" s="531"/>
      <c r="CC335" s="531"/>
      <c r="CF335" s="63"/>
      <c r="CG335" s="64"/>
      <c r="CM335" s="531"/>
      <c r="CN335" s="531"/>
      <c r="CO335" s="531"/>
    </row>
    <row r="336" spans="18:93" ht="18" customHeight="1">
      <c r="R336" s="63"/>
      <c r="V336" s="170"/>
      <c r="W336" s="56"/>
      <c r="X336" s="56"/>
      <c r="Y336" s="56"/>
      <c r="AD336" s="63"/>
      <c r="AG336" s="56"/>
      <c r="AH336" s="56"/>
      <c r="AI336" s="56"/>
      <c r="AJ336" s="56"/>
      <c r="AK336" s="56"/>
      <c r="AO336" s="68"/>
      <c r="AP336" s="76"/>
      <c r="AQ336" s="67"/>
      <c r="AR336" s="68"/>
      <c r="AS336" s="69"/>
      <c r="AT336" s="69"/>
      <c r="AU336" s="69"/>
      <c r="AV336" s="69"/>
      <c r="AW336" s="69"/>
      <c r="AX336" s="68"/>
      <c r="AY336" s="69"/>
      <c r="AZ336" s="67"/>
      <c r="BA336" s="69"/>
      <c r="BB336" s="76"/>
      <c r="BC336" s="67"/>
      <c r="BD336" s="68"/>
      <c r="BE336" s="69"/>
      <c r="BF336" s="69"/>
      <c r="BG336" s="69"/>
      <c r="BH336" s="69"/>
      <c r="BI336" s="69"/>
      <c r="BJ336" s="68"/>
      <c r="BK336" s="69"/>
      <c r="BL336" s="67"/>
      <c r="BM336" s="67"/>
      <c r="BN336" s="56"/>
      <c r="BO336" s="56"/>
      <c r="BT336" s="63"/>
      <c r="BW336" s="56"/>
      <c r="BX336" s="56"/>
      <c r="BY336" s="56"/>
      <c r="BZ336" s="56"/>
      <c r="CA336" s="56"/>
      <c r="CF336" s="63"/>
      <c r="CI336" s="56"/>
      <c r="CJ336" s="56"/>
      <c r="CK336" s="56"/>
      <c r="CL336" s="56"/>
      <c r="CM336" s="56"/>
    </row>
    <row r="337" spans="18:93" ht="18" customHeight="1">
      <c r="R337" s="63"/>
      <c r="V337" s="170"/>
      <c r="W337" s="56"/>
      <c r="X337" s="56"/>
      <c r="Y337" s="56"/>
      <c r="AD337" s="63"/>
      <c r="AG337" s="56"/>
      <c r="AH337" s="56"/>
      <c r="AI337" s="56"/>
      <c r="AJ337" s="56"/>
      <c r="AK337" s="56"/>
      <c r="AO337" s="68"/>
      <c r="AP337" s="76"/>
      <c r="AQ337" s="67"/>
      <c r="AR337" s="68"/>
      <c r="AS337" s="69"/>
      <c r="AT337" s="69"/>
      <c r="AU337" s="69"/>
      <c r="AV337" s="69"/>
      <c r="AW337" s="69"/>
      <c r="AX337" s="68"/>
      <c r="AY337" s="69"/>
      <c r="AZ337" s="67"/>
      <c r="BA337" s="69"/>
      <c r="BB337" s="76"/>
      <c r="BC337" s="67"/>
      <c r="BD337" s="68"/>
      <c r="BE337" s="69"/>
      <c r="BF337" s="69"/>
      <c r="BG337" s="69"/>
      <c r="BH337" s="69"/>
      <c r="BI337" s="69"/>
      <c r="BJ337" s="68"/>
      <c r="BK337" s="69"/>
      <c r="BL337" s="67"/>
      <c r="BM337" s="67"/>
      <c r="BN337" s="56"/>
      <c r="BO337" s="56"/>
      <c r="BT337" s="63"/>
      <c r="BW337" s="56"/>
      <c r="BX337" s="56"/>
      <c r="BY337" s="56"/>
      <c r="BZ337" s="56"/>
      <c r="CA337" s="56"/>
      <c r="CF337" s="63"/>
      <c r="CI337" s="56"/>
      <c r="CJ337" s="56"/>
      <c r="CK337" s="56"/>
      <c r="CL337" s="56"/>
      <c r="CM337" s="56"/>
    </row>
    <row r="338" spans="18:93" ht="18" customHeight="1">
      <c r="R338" s="63"/>
      <c r="V338" s="170"/>
      <c r="W338" s="56"/>
      <c r="X338" s="56"/>
      <c r="Y338" s="56"/>
      <c r="AD338" s="63"/>
      <c r="AG338" s="56"/>
      <c r="AH338" s="56"/>
      <c r="AI338" s="56"/>
      <c r="AJ338" s="56"/>
      <c r="AK338" s="56"/>
      <c r="AO338" s="68"/>
      <c r="AP338" s="76"/>
      <c r="AQ338" s="67"/>
      <c r="AR338" s="68"/>
      <c r="AS338" s="69"/>
      <c r="AT338" s="69"/>
      <c r="AU338" s="69"/>
      <c r="AV338" s="69"/>
      <c r="AW338" s="69"/>
      <c r="AX338" s="68"/>
      <c r="AY338" s="69"/>
      <c r="AZ338" s="67"/>
      <c r="BA338" s="69"/>
      <c r="BB338" s="76"/>
      <c r="BC338" s="67"/>
      <c r="BD338" s="68"/>
      <c r="BE338" s="69"/>
      <c r="BF338" s="69"/>
      <c r="BG338" s="69"/>
      <c r="BH338" s="69"/>
      <c r="BI338" s="69"/>
      <c r="BJ338" s="68"/>
      <c r="BK338" s="69"/>
      <c r="BL338" s="67"/>
      <c r="BM338" s="67"/>
      <c r="BN338" s="56"/>
      <c r="BO338" s="56"/>
      <c r="BT338" s="63"/>
      <c r="BW338" s="56"/>
      <c r="BX338" s="56"/>
      <c r="BY338" s="56"/>
      <c r="BZ338" s="56"/>
      <c r="CA338" s="56"/>
      <c r="CF338" s="63"/>
      <c r="CI338" s="56"/>
      <c r="CJ338" s="56"/>
      <c r="CK338" s="56"/>
      <c r="CL338" s="56"/>
      <c r="CM338" s="56"/>
    </row>
    <row r="339" spans="18:93" ht="18" customHeight="1">
      <c r="R339" s="63"/>
      <c r="V339" s="170"/>
      <c r="W339" s="56"/>
      <c r="X339" s="56"/>
      <c r="Y339" s="56"/>
      <c r="AD339" s="63"/>
      <c r="AG339" s="56"/>
      <c r="AH339" s="56"/>
      <c r="AI339" s="56"/>
      <c r="AJ339" s="56"/>
      <c r="AK339" s="56"/>
      <c r="AO339" s="68"/>
      <c r="AP339" s="76"/>
      <c r="AQ339" s="67"/>
      <c r="AR339" s="68"/>
      <c r="AS339" s="69"/>
      <c r="AT339" s="69"/>
      <c r="AU339" s="69"/>
      <c r="AV339" s="69"/>
      <c r="AW339" s="69"/>
      <c r="AX339" s="68"/>
      <c r="AY339" s="69"/>
      <c r="AZ339" s="67"/>
      <c r="BA339" s="69"/>
      <c r="BB339" s="76"/>
      <c r="BC339" s="67"/>
      <c r="BD339" s="68"/>
      <c r="BE339" s="69"/>
      <c r="BF339" s="69"/>
      <c r="BG339" s="69"/>
      <c r="BH339" s="69"/>
      <c r="BI339" s="69"/>
      <c r="BJ339" s="68"/>
      <c r="BK339" s="69"/>
      <c r="BL339" s="67"/>
      <c r="BM339" s="67"/>
      <c r="BN339" s="56"/>
      <c r="BO339" s="56"/>
      <c r="BT339" s="63"/>
      <c r="BW339" s="56"/>
      <c r="BX339" s="56"/>
      <c r="BY339" s="56"/>
      <c r="BZ339" s="56"/>
      <c r="CA339" s="56"/>
      <c r="CF339" s="63"/>
      <c r="CI339" s="56"/>
      <c r="CJ339" s="56"/>
      <c r="CK339" s="56"/>
      <c r="CL339" s="56"/>
      <c r="CM339" s="56"/>
    </row>
    <row r="340" spans="18:93" ht="18" customHeight="1">
      <c r="AO340" s="68"/>
      <c r="AP340" s="67"/>
      <c r="AQ340" s="67"/>
      <c r="AR340" s="68"/>
      <c r="AS340" s="68"/>
      <c r="AT340" s="68"/>
      <c r="AU340" s="68"/>
      <c r="AV340" s="68"/>
      <c r="AW340" s="68"/>
      <c r="AX340" s="68"/>
      <c r="AY340" s="69"/>
      <c r="AZ340" s="67"/>
      <c r="BA340" s="68"/>
      <c r="BB340" s="67"/>
      <c r="BC340" s="67"/>
      <c r="BD340" s="68"/>
      <c r="BE340" s="68"/>
      <c r="BF340" s="68"/>
      <c r="BG340" s="68"/>
      <c r="BH340" s="68"/>
      <c r="BI340" s="68"/>
      <c r="BJ340" s="68"/>
      <c r="BK340" s="69"/>
      <c r="BL340" s="67"/>
      <c r="BM340" s="67"/>
    </row>
    <row r="341" spans="18:93" ht="18" customHeight="1">
      <c r="R341" s="63"/>
      <c r="S341" s="64"/>
      <c r="Y341" s="531"/>
      <c r="Z341" s="531"/>
      <c r="AA341" s="531"/>
      <c r="AD341" s="63"/>
      <c r="AE341" s="64"/>
      <c r="AK341" s="531"/>
      <c r="AL341" s="531"/>
      <c r="AM341" s="531"/>
      <c r="AO341" s="68"/>
      <c r="AP341" s="76"/>
      <c r="AQ341" s="77"/>
      <c r="AR341" s="68"/>
      <c r="AS341" s="68"/>
      <c r="AT341" s="68"/>
      <c r="AU341" s="68"/>
      <c r="AV341" s="68"/>
      <c r="AW341" s="533"/>
      <c r="AX341" s="533"/>
      <c r="AY341" s="533"/>
      <c r="AZ341" s="67"/>
      <c r="BA341" s="68"/>
      <c r="BB341" s="76"/>
      <c r="BC341" s="77"/>
      <c r="BD341" s="68"/>
      <c r="BE341" s="68"/>
      <c r="BF341" s="68"/>
      <c r="BG341" s="68"/>
      <c r="BH341" s="68"/>
      <c r="BI341" s="533"/>
      <c r="BJ341" s="533"/>
      <c r="BK341" s="533"/>
      <c r="BL341" s="67"/>
      <c r="BM341" s="67"/>
      <c r="BO341" s="531"/>
      <c r="BP341" s="531"/>
      <c r="BQ341" s="531"/>
      <c r="BT341" s="63"/>
      <c r="BU341" s="64"/>
      <c r="CA341" s="531"/>
      <c r="CB341" s="531"/>
      <c r="CC341" s="531"/>
      <c r="CF341" s="63"/>
      <c r="CG341" s="64"/>
      <c r="CM341" s="531"/>
      <c r="CN341" s="531"/>
      <c r="CO341" s="531"/>
    </row>
    <row r="342" spans="18:93" ht="18" customHeight="1">
      <c r="R342" s="63"/>
      <c r="V342" s="170"/>
      <c r="W342" s="56"/>
      <c r="X342" s="56"/>
      <c r="Y342" s="56"/>
      <c r="AD342" s="63"/>
      <c r="AG342" s="56"/>
      <c r="AH342" s="56"/>
      <c r="AI342" s="56"/>
      <c r="AJ342" s="56"/>
      <c r="AK342" s="56"/>
      <c r="AO342" s="68"/>
      <c r="AP342" s="76"/>
      <c r="AQ342" s="67"/>
      <c r="AR342" s="68"/>
      <c r="AS342" s="69"/>
      <c r="AT342" s="69"/>
      <c r="AU342" s="69"/>
      <c r="AV342" s="69"/>
      <c r="AW342" s="69"/>
      <c r="AX342" s="68"/>
      <c r="AY342" s="69"/>
      <c r="AZ342" s="67"/>
      <c r="BA342" s="69"/>
      <c r="BB342" s="76"/>
      <c r="BC342" s="67"/>
      <c r="BD342" s="68"/>
      <c r="BE342" s="69"/>
      <c r="BF342" s="69"/>
      <c r="BG342" s="69"/>
      <c r="BH342" s="69"/>
      <c r="BI342" s="69"/>
      <c r="BJ342" s="68"/>
      <c r="BK342" s="69"/>
      <c r="BL342" s="67"/>
      <c r="BM342" s="67"/>
      <c r="BN342" s="56"/>
      <c r="BO342" s="56"/>
      <c r="BT342" s="63"/>
      <c r="BW342" s="56"/>
      <c r="BX342" s="56"/>
      <c r="BY342" s="56"/>
      <c r="BZ342" s="56"/>
      <c r="CA342" s="56"/>
      <c r="CF342" s="63"/>
      <c r="CI342" s="56"/>
      <c r="CJ342" s="56"/>
      <c r="CK342" s="56"/>
      <c r="CL342" s="56"/>
      <c r="CM342" s="56"/>
    </row>
    <row r="343" spans="18:93" ht="18" customHeight="1">
      <c r="R343" s="63"/>
      <c r="V343" s="170"/>
      <c r="W343" s="56"/>
      <c r="X343" s="56"/>
      <c r="Y343" s="56"/>
      <c r="AD343" s="63"/>
      <c r="AG343" s="56"/>
      <c r="AH343" s="56"/>
      <c r="AI343" s="56"/>
      <c r="AJ343" s="56"/>
      <c r="AK343" s="56"/>
      <c r="AO343" s="68"/>
      <c r="AP343" s="76"/>
      <c r="AQ343" s="67"/>
      <c r="AR343" s="68"/>
      <c r="AS343" s="69"/>
      <c r="AT343" s="69"/>
      <c r="AU343" s="69"/>
      <c r="AV343" s="69"/>
      <c r="AW343" s="69"/>
      <c r="AX343" s="68"/>
      <c r="AY343" s="69"/>
      <c r="AZ343" s="67"/>
      <c r="BA343" s="69"/>
      <c r="BB343" s="76"/>
      <c r="BC343" s="67"/>
      <c r="BD343" s="68"/>
      <c r="BE343" s="69"/>
      <c r="BF343" s="69"/>
      <c r="BG343" s="69"/>
      <c r="BH343" s="69"/>
      <c r="BI343" s="69"/>
      <c r="BJ343" s="68"/>
      <c r="BK343" s="69"/>
      <c r="BL343" s="67"/>
      <c r="BM343" s="67"/>
      <c r="BN343" s="56"/>
      <c r="BO343" s="56"/>
      <c r="BT343" s="63"/>
      <c r="BW343" s="56"/>
      <c r="BX343" s="56"/>
      <c r="BY343" s="56"/>
      <c r="BZ343" s="56"/>
      <c r="CA343" s="56"/>
      <c r="CF343" s="63"/>
      <c r="CI343" s="56"/>
      <c r="CJ343" s="56"/>
      <c r="CK343" s="56"/>
      <c r="CL343" s="56"/>
      <c r="CM343" s="56"/>
    </row>
    <row r="344" spans="18:93" ht="18" customHeight="1">
      <c r="R344" s="63"/>
      <c r="V344" s="170"/>
      <c r="W344" s="56"/>
      <c r="X344" s="56"/>
      <c r="Y344" s="56"/>
      <c r="AD344" s="63"/>
      <c r="AG344" s="56"/>
      <c r="AH344" s="56"/>
      <c r="AI344" s="56"/>
      <c r="AJ344" s="56"/>
      <c r="AK344" s="56"/>
      <c r="AO344" s="68"/>
      <c r="AP344" s="76"/>
      <c r="AQ344" s="67"/>
      <c r="AR344" s="68"/>
      <c r="AS344" s="69"/>
      <c r="AT344" s="69"/>
      <c r="AU344" s="69"/>
      <c r="AV344" s="69"/>
      <c r="AW344" s="69"/>
      <c r="AX344" s="68"/>
      <c r="AY344" s="69"/>
      <c r="AZ344" s="67"/>
      <c r="BA344" s="69"/>
      <c r="BB344" s="76"/>
      <c r="BC344" s="67"/>
      <c r="BD344" s="68"/>
      <c r="BE344" s="69"/>
      <c r="BF344" s="69"/>
      <c r="BG344" s="69"/>
      <c r="BH344" s="69"/>
      <c r="BI344" s="69"/>
      <c r="BJ344" s="68"/>
      <c r="BK344" s="69"/>
      <c r="BL344" s="67"/>
      <c r="BM344" s="67"/>
      <c r="BN344" s="56"/>
      <c r="BO344" s="56"/>
      <c r="BT344" s="63"/>
      <c r="BW344" s="56"/>
      <c r="BX344" s="56"/>
      <c r="BY344" s="56"/>
      <c r="BZ344" s="56"/>
      <c r="CA344" s="56"/>
      <c r="CF344" s="63"/>
      <c r="CI344" s="56"/>
      <c r="CJ344" s="56"/>
      <c r="CK344" s="56"/>
      <c r="CL344" s="56"/>
      <c r="CM344" s="56"/>
    </row>
    <row r="345" spans="18:93" ht="18" customHeight="1">
      <c r="R345" s="63"/>
      <c r="V345" s="170"/>
      <c r="W345" s="56"/>
      <c r="X345" s="56"/>
      <c r="Y345" s="56"/>
      <c r="AD345" s="63"/>
      <c r="AG345" s="56"/>
      <c r="AH345" s="56"/>
      <c r="AI345" s="56"/>
      <c r="AJ345" s="56"/>
      <c r="AK345" s="56"/>
      <c r="AO345" s="68"/>
      <c r="AP345" s="76"/>
      <c r="AQ345" s="67"/>
      <c r="AR345" s="68"/>
      <c r="AS345" s="69"/>
      <c r="AT345" s="69"/>
      <c r="AU345" s="69"/>
      <c r="AV345" s="69"/>
      <c r="AW345" s="69"/>
      <c r="AX345" s="68"/>
      <c r="AY345" s="69"/>
      <c r="AZ345" s="67"/>
      <c r="BA345" s="69"/>
      <c r="BB345" s="76"/>
      <c r="BC345" s="67"/>
      <c r="BD345" s="68"/>
      <c r="BE345" s="69"/>
      <c r="BF345" s="69"/>
      <c r="BG345" s="69"/>
      <c r="BH345" s="69"/>
      <c r="BI345" s="69"/>
      <c r="BJ345" s="68"/>
      <c r="BK345" s="69"/>
      <c r="BL345" s="67"/>
      <c r="BM345" s="67"/>
      <c r="BN345" s="56"/>
      <c r="BO345" s="56"/>
      <c r="BT345" s="63"/>
      <c r="BW345" s="56"/>
      <c r="BX345" s="56"/>
      <c r="BY345" s="56"/>
      <c r="BZ345" s="56"/>
      <c r="CA345" s="56"/>
      <c r="CF345" s="63"/>
      <c r="CI345" s="56"/>
      <c r="CJ345" s="56"/>
      <c r="CK345" s="56"/>
      <c r="CL345" s="56"/>
      <c r="CM345" s="56"/>
    </row>
    <row r="346" spans="18:93" ht="18" customHeight="1">
      <c r="AO346" s="68"/>
      <c r="AP346" s="67"/>
      <c r="AQ346" s="67"/>
      <c r="AR346" s="68"/>
      <c r="AS346" s="68"/>
      <c r="AT346" s="68"/>
      <c r="AU346" s="68"/>
      <c r="AV346" s="68"/>
      <c r="AW346" s="68"/>
      <c r="AX346" s="68"/>
      <c r="AY346" s="69"/>
      <c r="AZ346" s="67"/>
      <c r="BA346" s="68"/>
      <c r="BB346" s="67"/>
      <c r="BC346" s="67"/>
      <c r="BD346" s="68"/>
      <c r="BE346" s="68"/>
      <c r="BF346" s="68"/>
      <c r="BG346" s="68"/>
      <c r="BH346" s="68"/>
      <c r="BI346" s="68"/>
      <c r="BJ346" s="68"/>
      <c r="BK346" s="69"/>
      <c r="BL346" s="67"/>
      <c r="BM346" s="67"/>
    </row>
    <row r="347" spans="18:93" ht="18" customHeight="1">
      <c r="R347" s="63"/>
      <c r="S347" s="64"/>
      <c r="Y347" s="531"/>
      <c r="Z347" s="531"/>
      <c r="AA347" s="531"/>
      <c r="AD347" s="63"/>
      <c r="AE347" s="64"/>
      <c r="AK347" s="531"/>
      <c r="AL347" s="531"/>
      <c r="AM347" s="531"/>
      <c r="AO347" s="68"/>
      <c r="AP347" s="76"/>
      <c r="AQ347" s="77"/>
      <c r="AR347" s="68"/>
      <c r="AS347" s="68"/>
      <c r="AT347" s="68"/>
      <c r="AU347" s="68"/>
      <c r="AV347" s="68"/>
      <c r="AW347" s="533"/>
      <c r="AX347" s="533"/>
      <c r="AY347" s="533"/>
      <c r="AZ347" s="67"/>
      <c r="BA347" s="68"/>
      <c r="BB347" s="76"/>
      <c r="BC347" s="77"/>
      <c r="BD347" s="68"/>
      <c r="BE347" s="68"/>
      <c r="BF347" s="68"/>
      <c r="BG347" s="68"/>
      <c r="BH347" s="68"/>
      <c r="BI347" s="533"/>
      <c r="BJ347" s="533"/>
      <c r="BK347" s="533"/>
      <c r="BL347" s="67"/>
      <c r="BM347" s="67"/>
      <c r="BO347" s="531"/>
      <c r="BP347" s="531"/>
      <c r="BQ347" s="531"/>
      <c r="BT347" s="63"/>
      <c r="BU347" s="64"/>
      <c r="CA347" s="531"/>
      <c r="CB347" s="531"/>
      <c r="CC347" s="531"/>
      <c r="CF347" s="63"/>
      <c r="CG347" s="64"/>
      <c r="CM347" s="531"/>
      <c r="CN347" s="531"/>
      <c r="CO347" s="531"/>
    </row>
    <row r="348" spans="18:93" ht="18" customHeight="1">
      <c r="R348" s="63"/>
      <c r="V348" s="170"/>
      <c r="W348" s="56"/>
      <c r="X348" s="56"/>
      <c r="Y348" s="56"/>
      <c r="AD348" s="63"/>
      <c r="AG348" s="56"/>
      <c r="AH348" s="56"/>
      <c r="AI348" s="56"/>
      <c r="AJ348" s="56"/>
      <c r="AK348" s="56"/>
      <c r="AO348" s="68"/>
      <c r="AP348" s="76"/>
      <c r="AQ348" s="67"/>
      <c r="AR348" s="68"/>
      <c r="AS348" s="69"/>
      <c r="AT348" s="69"/>
      <c r="AU348" s="69"/>
      <c r="AV348" s="69"/>
      <c r="AW348" s="69"/>
      <c r="AX348" s="68"/>
      <c r="AY348" s="69"/>
      <c r="AZ348" s="67"/>
      <c r="BA348" s="69"/>
      <c r="BB348" s="76"/>
      <c r="BC348" s="67"/>
      <c r="BD348" s="68"/>
      <c r="BE348" s="69"/>
      <c r="BF348" s="69"/>
      <c r="BG348" s="69"/>
      <c r="BH348" s="69"/>
      <c r="BI348" s="69"/>
      <c r="BJ348" s="68"/>
      <c r="BK348" s="69"/>
      <c r="BL348" s="67"/>
      <c r="BM348" s="67"/>
      <c r="BN348" s="56"/>
      <c r="BO348" s="56"/>
      <c r="BT348" s="63"/>
      <c r="BW348" s="56"/>
      <c r="BX348" s="56"/>
      <c r="BY348" s="56"/>
      <c r="BZ348" s="56"/>
      <c r="CA348" s="56"/>
      <c r="CF348" s="63"/>
      <c r="CI348" s="56"/>
      <c r="CJ348" s="56"/>
      <c r="CK348" s="56"/>
      <c r="CL348" s="56"/>
      <c r="CM348" s="56"/>
    </row>
    <row r="349" spans="18:93" ht="18" customHeight="1">
      <c r="R349" s="63"/>
      <c r="V349" s="170"/>
      <c r="W349" s="56"/>
      <c r="X349" s="56"/>
      <c r="Y349" s="56"/>
      <c r="AD349" s="63"/>
      <c r="AG349" s="56"/>
      <c r="AH349" s="56"/>
      <c r="AI349" s="56"/>
      <c r="AJ349" s="56"/>
      <c r="AK349" s="56"/>
      <c r="AO349" s="68"/>
      <c r="AP349" s="76"/>
      <c r="AQ349" s="67"/>
      <c r="AR349" s="68"/>
      <c r="AS349" s="69"/>
      <c r="AT349" s="69"/>
      <c r="AU349" s="69"/>
      <c r="AV349" s="69"/>
      <c r="AW349" s="69"/>
      <c r="AX349" s="68"/>
      <c r="AY349" s="69"/>
      <c r="AZ349" s="67"/>
      <c r="BA349" s="69"/>
      <c r="BB349" s="76"/>
      <c r="BC349" s="67"/>
      <c r="BD349" s="68"/>
      <c r="BE349" s="69"/>
      <c r="BF349" s="69"/>
      <c r="BG349" s="69"/>
      <c r="BH349" s="69"/>
      <c r="BI349" s="69"/>
      <c r="BJ349" s="68"/>
      <c r="BK349" s="69"/>
      <c r="BL349" s="67"/>
      <c r="BM349" s="67"/>
      <c r="BN349" s="56"/>
      <c r="BO349" s="56"/>
      <c r="BT349" s="63"/>
      <c r="BW349" s="56"/>
      <c r="BX349" s="56"/>
      <c r="BY349" s="56"/>
      <c r="BZ349" s="56"/>
      <c r="CA349" s="56"/>
      <c r="CF349" s="63"/>
      <c r="CI349" s="56"/>
      <c r="CJ349" s="56"/>
      <c r="CK349" s="56"/>
      <c r="CL349" s="56"/>
      <c r="CM349" s="56"/>
    </row>
    <row r="350" spans="18:93" ht="18" customHeight="1">
      <c r="R350" s="63"/>
      <c r="V350" s="170"/>
      <c r="W350" s="56"/>
      <c r="X350" s="56"/>
      <c r="Y350" s="56"/>
      <c r="AD350" s="63"/>
      <c r="AG350" s="56"/>
      <c r="AH350" s="56"/>
      <c r="AI350" s="56"/>
      <c r="AJ350" s="56"/>
      <c r="AK350" s="56"/>
      <c r="AO350" s="68"/>
      <c r="AP350" s="76"/>
      <c r="AQ350" s="67"/>
      <c r="AR350" s="68"/>
      <c r="AS350" s="69"/>
      <c r="AT350" s="69"/>
      <c r="AU350" s="69"/>
      <c r="AV350" s="69"/>
      <c r="AW350" s="69"/>
      <c r="AX350" s="68"/>
      <c r="AY350" s="69"/>
      <c r="AZ350" s="67"/>
      <c r="BA350" s="69"/>
      <c r="BB350" s="76"/>
      <c r="BC350" s="67"/>
      <c r="BD350" s="68"/>
      <c r="BE350" s="69"/>
      <c r="BF350" s="69"/>
      <c r="BG350" s="69"/>
      <c r="BH350" s="69"/>
      <c r="BI350" s="69"/>
      <c r="BJ350" s="68"/>
      <c r="BK350" s="69"/>
      <c r="BL350" s="67"/>
      <c r="BM350" s="67"/>
      <c r="BN350" s="56"/>
      <c r="BO350" s="56"/>
      <c r="BT350" s="63"/>
      <c r="BW350" s="56"/>
      <c r="BX350" s="56"/>
      <c r="BY350" s="56"/>
      <c r="BZ350" s="56"/>
      <c r="CA350" s="56"/>
      <c r="CF350" s="63"/>
      <c r="CI350" s="56"/>
      <c r="CJ350" s="56"/>
      <c r="CK350" s="56"/>
      <c r="CL350" s="56"/>
      <c r="CM350" s="56"/>
    </row>
    <row r="351" spans="18:93" ht="18" customHeight="1">
      <c r="R351" s="63"/>
      <c r="V351" s="170"/>
      <c r="W351" s="56"/>
      <c r="X351" s="56"/>
      <c r="Y351" s="56"/>
      <c r="AD351" s="63"/>
      <c r="AG351" s="56"/>
      <c r="AH351" s="56"/>
      <c r="AI351" s="56"/>
      <c r="AJ351" s="56"/>
      <c r="AK351" s="56"/>
      <c r="AO351" s="68"/>
      <c r="AP351" s="76"/>
      <c r="AQ351" s="67"/>
      <c r="AR351" s="68"/>
      <c r="AS351" s="69"/>
      <c r="AT351" s="69"/>
      <c r="AU351" s="69"/>
      <c r="AV351" s="69"/>
      <c r="AW351" s="69"/>
      <c r="AX351" s="68"/>
      <c r="AY351" s="69"/>
      <c r="AZ351" s="67"/>
      <c r="BA351" s="69"/>
      <c r="BB351" s="76"/>
      <c r="BC351" s="67"/>
      <c r="BD351" s="68"/>
      <c r="BE351" s="69"/>
      <c r="BF351" s="69"/>
      <c r="BG351" s="69"/>
      <c r="BH351" s="69"/>
      <c r="BI351" s="69"/>
      <c r="BJ351" s="68"/>
      <c r="BK351" s="69"/>
      <c r="BL351" s="67"/>
      <c r="BM351" s="67"/>
      <c r="BN351" s="56"/>
      <c r="BO351" s="56"/>
      <c r="BT351" s="63"/>
      <c r="BW351" s="56"/>
      <c r="BX351" s="56"/>
      <c r="BY351" s="56"/>
      <c r="BZ351" s="56"/>
      <c r="CA351" s="56"/>
      <c r="CF351" s="63"/>
      <c r="CI351" s="56"/>
      <c r="CJ351" s="56"/>
      <c r="CK351" s="56"/>
      <c r="CL351" s="56"/>
      <c r="CM351" s="56"/>
    </row>
    <row r="352" spans="18:93" ht="18" customHeight="1">
      <c r="AO352" s="68"/>
      <c r="AP352" s="67"/>
      <c r="AQ352" s="67"/>
      <c r="AR352" s="68"/>
      <c r="AS352" s="68"/>
      <c r="AT352" s="68"/>
      <c r="AU352" s="68"/>
      <c r="AV352" s="68"/>
      <c r="AW352" s="68"/>
      <c r="AX352" s="68"/>
      <c r="AY352" s="69"/>
      <c r="AZ352" s="67"/>
      <c r="BA352" s="68"/>
      <c r="BB352" s="67"/>
      <c r="BC352" s="67"/>
      <c r="BD352" s="68"/>
      <c r="BE352" s="68"/>
      <c r="BF352" s="68"/>
      <c r="BG352" s="68"/>
      <c r="BH352" s="68"/>
      <c r="BI352" s="68"/>
      <c r="BJ352" s="68"/>
      <c r="BK352" s="69"/>
      <c r="BL352" s="67"/>
      <c r="BM352" s="67"/>
    </row>
    <row r="353" spans="18:93" ht="18" customHeight="1">
      <c r="R353" s="63"/>
      <c r="S353" s="64"/>
      <c r="Y353" s="531"/>
      <c r="Z353" s="531"/>
      <c r="AA353" s="531"/>
      <c r="AD353" s="63"/>
      <c r="AE353" s="64"/>
      <c r="AK353" s="531"/>
      <c r="AL353" s="531"/>
      <c r="AM353" s="531"/>
      <c r="AO353" s="68"/>
      <c r="AP353" s="76"/>
      <c r="AQ353" s="77"/>
      <c r="AR353" s="68"/>
      <c r="AS353" s="68"/>
      <c r="AT353" s="68"/>
      <c r="AU353" s="68"/>
      <c r="AV353" s="68"/>
      <c r="AW353" s="533"/>
      <c r="AX353" s="533"/>
      <c r="AY353" s="533"/>
      <c r="AZ353" s="67"/>
      <c r="BA353" s="68"/>
      <c r="BB353" s="76"/>
      <c r="BC353" s="77"/>
      <c r="BD353" s="68"/>
      <c r="BE353" s="68"/>
      <c r="BF353" s="68"/>
      <c r="BG353" s="68"/>
      <c r="BH353" s="68"/>
      <c r="BI353" s="533"/>
      <c r="BJ353" s="533"/>
      <c r="BK353" s="533"/>
      <c r="BL353" s="67"/>
      <c r="BM353" s="67"/>
      <c r="BO353" s="531"/>
      <c r="BP353" s="531"/>
      <c r="BQ353" s="531"/>
      <c r="BT353" s="63"/>
      <c r="BU353" s="64"/>
      <c r="CA353" s="531"/>
      <c r="CB353" s="531"/>
      <c r="CC353" s="531"/>
      <c r="CF353" s="63"/>
      <c r="CG353" s="64"/>
      <c r="CM353" s="531"/>
      <c r="CN353" s="531"/>
      <c r="CO353" s="531"/>
    </row>
    <row r="354" spans="18:93" ht="18" customHeight="1">
      <c r="R354" s="63"/>
      <c r="V354" s="170"/>
      <c r="W354" s="56"/>
      <c r="X354" s="56"/>
      <c r="Y354" s="56"/>
      <c r="AD354" s="63"/>
      <c r="AG354" s="56"/>
      <c r="AH354" s="56"/>
      <c r="AI354" s="56"/>
      <c r="AJ354" s="56"/>
      <c r="AK354" s="56"/>
      <c r="AO354" s="68"/>
      <c r="AP354" s="76"/>
      <c r="AQ354" s="67"/>
      <c r="AR354" s="68"/>
      <c r="AS354" s="69"/>
      <c r="AT354" s="69"/>
      <c r="AU354" s="69"/>
      <c r="AV354" s="69"/>
      <c r="AW354" s="69"/>
      <c r="AX354" s="68"/>
      <c r="AY354" s="69"/>
      <c r="AZ354" s="67"/>
      <c r="BA354" s="69"/>
      <c r="BB354" s="76"/>
      <c r="BC354" s="67"/>
      <c r="BD354" s="68"/>
      <c r="BE354" s="69"/>
      <c r="BF354" s="69"/>
      <c r="BG354" s="69"/>
      <c r="BH354" s="69"/>
      <c r="BI354" s="69"/>
      <c r="BJ354" s="68"/>
      <c r="BK354" s="69"/>
      <c r="BL354" s="67"/>
      <c r="BM354" s="67"/>
      <c r="BN354" s="56"/>
      <c r="BO354" s="56"/>
      <c r="BT354" s="63"/>
      <c r="BW354" s="56"/>
      <c r="BX354" s="56"/>
      <c r="BY354" s="56"/>
      <c r="BZ354" s="56"/>
      <c r="CA354" s="56"/>
      <c r="CF354" s="63"/>
      <c r="CI354" s="56"/>
      <c r="CJ354" s="56"/>
      <c r="CK354" s="56"/>
      <c r="CL354" s="56"/>
      <c r="CM354" s="56"/>
    </row>
    <row r="355" spans="18:93" ht="18" customHeight="1">
      <c r="R355" s="63"/>
      <c r="V355" s="170"/>
      <c r="W355" s="56"/>
      <c r="X355" s="56"/>
      <c r="Y355" s="56"/>
      <c r="AD355" s="63"/>
      <c r="AG355" s="56"/>
      <c r="AH355" s="56"/>
      <c r="AI355" s="56"/>
      <c r="AJ355" s="56"/>
      <c r="AK355" s="56"/>
      <c r="AO355" s="68"/>
      <c r="AP355" s="76"/>
      <c r="AQ355" s="67"/>
      <c r="AR355" s="68"/>
      <c r="AS355" s="69"/>
      <c r="AT355" s="69"/>
      <c r="AU355" s="69"/>
      <c r="AV355" s="69"/>
      <c r="AW355" s="69"/>
      <c r="AX355" s="68"/>
      <c r="AY355" s="69"/>
      <c r="AZ355" s="67"/>
      <c r="BA355" s="69"/>
      <c r="BB355" s="76"/>
      <c r="BC355" s="67"/>
      <c r="BD355" s="68"/>
      <c r="BE355" s="69"/>
      <c r="BF355" s="69"/>
      <c r="BG355" s="69"/>
      <c r="BH355" s="69"/>
      <c r="BI355" s="69"/>
      <c r="BJ355" s="68"/>
      <c r="BK355" s="69"/>
      <c r="BL355" s="67"/>
      <c r="BM355" s="67"/>
      <c r="BN355" s="56"/>
      <c r="BO355" s="56"/>
      <c r="BT355" s="63"/>
      <c r="BW355" s="56"/>
      <c r="BX355" s="56"/>
      <c r="BY355" s="56"/>
      <c r="BZ355" s="56"/>
      <c r="CA355" s="56"/>
      <c r="CF355" s="63"/>
      <c r="CI355" s="56"/>
      <c r="CJ355" s="56"/>
      <c r="CK355" s="56"/>
      <c r="CL355" s="56"/>
      <c r="CM355" s="56"/>
    </row>
    <row r="356" spans="18:93" ht="18" customHeight="1">
      <c r="R356" s="63"/>
      <c r="V356" s="170"/>
      <c r="W356" s="56"/>
      <c r="X356" s="56"/>
      <c r="Y356" s="56"/>
      <c r="AD356" s="63"/>
      <c r="AG356" s="56"/>
      <c r="AH356" s="56"/>
      <c r="AI356" s="56"/>
      <c r="AJ356" s="56"/>
      <c r="AK356" s="56"/>
      <c r="AO356" s="68"/>
      <c r="AP356" s="76"/>
      <c r="AQ356" s="67"/>
      <c r="AR356" s="68"/>
      <c r="AS356" s="69"/>
      <c r="AT356" s="69"/>
      <c r="AU356" s="69"/>
      <c r="AV356" s="69"/>
      <c r="AW356" s="69"/>
      <c r="AX356" s="68"/>
      <c r="AY356" s="69"/>
      <c r="AZ356" s="67"/>
      <c r="BA356" s="69"/>
      <c r="BB356" s="76"/>
      <c r="BC356" s="67"/>
      <c r="BD356" s="68"/>
      <c r="BE356" s="69"/>
      <c r="BF356" s="69"/>
      <c r="BG356" s="69"/>
      <c r="BH356" s="69"/>
      <c r="BI356" s="69"/>
      <c r="BJ356" s="68"/>
      <c r="BK356" s="69"/>
      <c r="BL356" s="67"/>
      <c r="BM356" s="67"/>
      <c r="BN356" s="56"/>
      <c r="BO356" s="56"/>
      <c r="BT356" s="63"/>
      <c r="BW356" s="56"/>
      <c r="BX356" s="56"/>
      <c r="BY356" s="56"/>
      <c r="BZ356" s="56"/>
      <c r="CA356" s="56"/>
      <c r="CF356" s="63"/>
      <c r="CI356" s="56"/>
      <c r="CJ356" s="56"/>
      <c r="CK356" s="56"/>
      <c r="CL356" s="56"/>
      <c r="CM356" s="56"/>
    </row>
    <row r="357" spans="18:93" ht="18" customHeight="1">
      <c r="R357" s="63"/>
      <c r="V357" s="170"/>
      <c r="W357" s="56"/>
      <c r="X357" s="56"/>
      <c r="Y357" s="56"/>
      <c r="AD357" s="63"/>
      <c r="AG357" s="56"/>
      <c r="AH357" s="56"/>
      <c r="AI357" s="56"/>
      <c r="AJ357" s="56"/>
      <c r="AK357" s="56"/>
      <c r="AO357" s="68"/>
      <c r="AP357" s="76"/>
      <c r="AQ357" s="67"/>
      <c r="AR357" s="68"/>
      <c r="AS357" s="69"/>
      <c r="AT357" s="69"/>
      <c r="AU357" s="69"/>
      <c r="AV357" s="69"/>
      <c r="AW357" s="69"/>
      <c r="AX357" s="68"/>
      <c r="AY357" s="69"/>
      <c r="AZ357" s="67"/>
      <c r="BA357" s="69"/>
      <c r="BB357" s="76"/>
      <c r="BC357" s="67"/>
      <c r="BD357" s="68"/>
      <c r="BE357" s="69"/>
      <c r="BF357" s="69"/>
      <c r="BG357" s="69"/>
      <c r="BH357" s="69"/>
      <c r="BI357" s="69"/>
      <c r="BJ357" s="68"/>
      <c r="BK357" s="69"/>
      <c r="BL357" s="67"/>
      <c r="BM357" s="67"/>
      <c r="BN357" s="56"/>
      <c r="BO357" s="56"/>
      <c r="BT357" s="63"/>
      <c r="BW357" s="56"/>
      <c r="BX357" s="56"/>
      <c r="BY357" s="56"/>
      <c r="BZ357" s="56"/>
      <c r="CA357" s="56"/>
      <c r="CF357" s="63"/>
      <c r="CI357" s="56"/>
      <c r="CJ357" s="56"/>
      <c r="CK357" s="56"/>
      <c r="CL357" s="56"/>
      <c r="CM357" s="56"/>
    </row>
    <row r="358" spans="18:93" ht="18" customHeight="1">
      <c r="AO358" s="68"/>
      <c r="AP358" s="67"/>
      <c r="AQ358" s="67"/>
      <c r="AR358" s="68"/>
      <c r="AS358" s="68"/>
      <c r="AT358" s="68"/>
      <c r="AU358" s="68"/>
      <c r="AV358" s="68"/>
      <c r="AW358" s="68"/>
      <c r="AX358" s="68"/>
      <c r="AY358" s="69"/>
      <c r="AZ358" s="67"/>
      <c r="BA358" s="68"/>
      <c r="BB358" s="67"/>
      <c r="BC358" s="67"/>
      <c r="BD358" s="68"/>
      <c r="BE358" s="68"/>
      <c r="BF358" s="68"/>
      <c r="BG358" s="68"/>
      <c r="BH358" s="68"/>
      <c r="BI358" s="68"/>
      <c r="BJ358" s="68"/>
      <c r="BK358" s="69"/>
      <c r="BL358" s="67"/>
      <c r="BM358" s="67"/>
    </row>
    <row r="359" spans="18:93" ht="18" customHeight="1">
      <c r="R359" s="63"/>
      <c r="S359" s="64"/>
      <c r="Y359" s="531"/>
      <c r="Z359" s="531"/>
      <c r="AA359" s="531"/>
      <c r="AD359" s="63"/>
      <c r="AE359" s="64"/>
      <c r="AK359" s="531"/>
      <c r="AL359" s="531"/>
      <c r="AM359" s="531"/>
      <c r="AO359" s="68"/>
      <c r="AP359" s="76"/>
      <c r="AQ359" s="77"/>
      <c r="AR359" s="68"/>
      <c r="AS359" s="68"/>
      <c r="AT359" s="68"/>
      <c r="AU359" s="68"/>
      <c r="AV359" s="68"/>
      <c r="AW359" s="533"/>
      <c r="AX359" s="533"/>
      <c r="AY359" s="533"/>
      <c r="AZ359" s="67"/>
      <c r="BA359" s="68"/>
      <c r="BB359" s="76"/>
      <c r="BC359" s="77"/>
      <c r="BD359" s="68"/>
      <c r="BE359" s="68"/>
      <c r="BF359" s="68"/>
      <c r="BG359" s="68"/>
      <c r="BH359" s="68"/>
      <c r="BI359" s="533"/>
      <c r="BJ359" s="533"/>
      <c r="BK359" s="533"/>
      <c r="BL359" s="67"/>
      <c r="BM359" s="67"/>
      <c r="BO359" s="531"/>
      <c r="BP359" s="531"/>
      <c r="BQ359" s="531"/>
      <c r="BT359" s="63"/>
      <c r="BU359" s="64"/>
      <c r="CA359" s="531"/>
      <c r="CB359" s="531"/>
      <c r="CC359" s="531"/>
      <c r="CF359" s="63"/>
      <c r="CG359" s="64"/>
      <c r="CM359" s="531"/>
      <c r="CN359" s="531"/>
      <c r="CO359" s="531"/>
    </row>
    <row r="360" spans="18:93" ht="18" customHeight="1">
      <c r="R360" s="63"/>
      <c r="V360" s="170"/>
      <c r="W360" s="56"/>
      <c r="X360" s="56"/>
      <c r="Y360" s="56"/>
      <c r="AD360" s="63"/>
      <c r="AG360" s="56"/>
      <c r="AH360" s="56"/>
      <c r="AI360" s="56"/>
      <c r="AJ360" s="56"/>
      <c r="AK360" s="56"/>
      <c r="AO360" s="68"/>
      <c r="AP360" s="76"/>
      <c r="AQ360" s="67"/>
      <c r="AR360" s="68"/>
      <c r="AS360" s="69"/>
      <c r="AT360" s="69"/>
      <c r="AU360" s="69"/>
      <c r="AV360" s="69"/>
      <c r="AW360" s="69"/>
      <c r="AX360" s="68"/>
      <c r="AY360" s="69"/>
      <c r="AZ360" s="67"/>
      <c r="BA360" s="69"/>
      <c r="BB360" s="76"/>
      <c r="BC360" s="67"/>
      <c r="BD360" s="68"/>
      <c r="BE360" s="69"/>
      <c r="BF360" s="69"/>
      <c r="BG360" s="69"/>
      <c r="BH360" s="69"/>
      <c r="BI360" s="69"/>
      <c r="BJ360" s="68"/>
      <c r="BK360" s="69"/>
      <c r="BL360" s="67"/>
      <c r="BM360" s="67"/>
      <c r="BN360" s="56"/>
      <c r="BO360" s="56"/>
      <c r="BT360" s="63"/>
      <c r="BW360" s="56"/>
      <c r="BX360" s="56"/>
      <c r="BY360" s="56"/>
      <c r="BZ360" s="56"/>
      <c r="CA360" s="56"/>
      <c r="CF360" s="63"/>
      <c r="CI360" s="56"/>
      <c r="CJ360" s="56"/>
      <c r="CK360" s="56"/>
      <c r="CL360" s="56"/>
      <c r="CM360" s="56"/>
    </row>
    <row r="361" spans="18:93" ht="18" customHeight="1">
      <c r="R361" s="63"/>
      <c r="V361" s="170"/>
      <c r="W361" s="56"/>
      <c r="X361" s="56"/>
      <c r="Y361" s="56"/>
      <c r="AD361" s="63"/>
      <c r="AG361" s="56"/>
      <c r="AH361" s="56"/>
      <c r="AI361" s="56"/>
      <c r="AJ361" s="56"/>
      <c r="AK361" s="56"/>
      <c r="AO361" s="68"/>
      <c r="AP361" s="76"/>
      <c r="AQ361" s="67"/>
      <c r="AR361" s="68"/>
      <c r="AS361" s="69"/>
      <c r="AT361" s="69"/>
      <c r="AU361" s="69"/>
      <c r="AV361" s="69"/>
      <c r="AW361" s="69"/>
      <c r="AX361" s="68"/>
      <c r="AY361" s="69"/>
      <c r="AZ361" s="67"/>
      <c r="BA361" s="69"/>
      <c r="BB361" s="76"/>
      <c r="BC361" s="67"/>
      <c r="BD361" s="68"/>
      <c r="BE361" s="69"/>
      <c r="BF361" s="69"/>
      <c r="BG361" s="69"/>
      <c r="BH361" s="69"/>
      <c r="BI361" s="69"/>
      <c r="BJ361" s="68"/>
      <c r="BK361" s="69"/>
      <c r="BL361" s="67"/>
      <c r="BM361" s="67"/>
      <c r="BN361" s="56"/>
      <c r="BO361" s="56"/>
      <c r="BT361" s="63"/>
      <c r="BW361" s="56"/>
      <c r="BX361" s="56"/>
      <c r="BY361" s="56"/>
      <c r="BZ361" s="56"/>
      <c r="CA361" s="56"/>
      <c r="CF361" s="63"/>
      <c r="CI361" s="56"/>
      <c r="CJ361" s="56"/>
      <c r="CK361" s="56"/>
      <c r="CL361" s="56"/>
      <c r="CM361" s="56"/>
    </row>
    <row r="362" spans="18:93" ht="18" customHeight="1">
      <c r="R362" s="63"/>
      <c r="V362" s="170"/>
      <c r="W362" s="56"/>
      <c r="X362" s="56"/>
      <c r="Y362" s="56"/>
      <c r="AD362" s="63"/>
      <c r="AG362" s="56"/>
      <c r="AH362" s="56"/>
      <c r="AI362" s="56"/>
      <c r="AJ362" s="56"/>
      <c r="AK362" s="56"/>
      <c r="AO362" s="68"/>
      <c r="AP362" s="76"/>
      <c r="AQ362" s="67"/>
      <c r="AR362" s="68"/>
      <c r="AS362" s="69"/>
      <c r="AT362" s="69"/>
      <c r="AU362" s="69"/>
      <c r="AV362" s="69"/>
      <c r="AW362" s="69"/>
      <c r="AX362" s="68"/>
      <c r="AY362" s="69"/>
      <c r="AZ362" s="67"/>
      <c r="BA362" s="69"/>
      <c r="BB362" s="76"/>
      <c r="BC362" s="67"/>
      <c r="BD362" s="68"/>
      <c r="BE362" s="69"/>
      <c r="BF362" s="69"/>
      <c r="BG362" s="69"/>
      <c r="BH362" s="69"/>
      <c r="BI362" s="69"/>
      <c r="BJ362" s="68"/>
      <c r="BK362" s="69"/>
      <c r="BL362" s="67"/>
      <c r="BM362" s="67"/>
      <c r="BN362" s="56"/>
      <c r="BO362" s="56"/>
      <c r="BT362" s="63"/>
      <c r="BW362" s="56"/>
      <c r="BX362" s="56"/>
      <c r="BY362" s="56"/>
      <c r="BZ362" s="56"/>
      <c r="CA362" s="56"/>
      <c r="CF362" s="63"/>
      <c r="CI362" s="56"/>
      <c r="CJ362" s="56"/>
      <c r="CK362" s="56"/>
      <c r="CL362" s="56"/>
      <c r="CM362" s="56"/>
    </row>
    <row r="363" spans="18:93" ht="18" customHeight="1">
      <c r="R363" s="63"/>
      <c r="V363" s="170"/>
      <c r="W363" s="56"/>
      <c r="X363" s="56"/>
      <c r="Y363" s="56"/>
      <c r="AD363" s="63"/>
      <c r="AG363" s="56"/>
      <c r="AH363" s="56"/>
      <c r="AI363" s="56"/>
      <c r="AJ363" s="56"/>
      <c r="AK363" s="56"/>
      <c r="AO363" s="68"/>
      <c r="AP363" s="76"/>
      <c r="AQ363" s="67"/>
      <c r="AR363" s="68"/>
      <c r="AS363" s="69"/>
      <c r="AT363" s="69"/>
      <c r="AU363" s="69"/>
      <c r="AV363" s="69"/>
      <c r="AW363" s="69"/>
      <c r="AX363" s="68"/>
      <c r="AY363" s="69"/>
      <c r="AZ363" s="67"/>
      <c r="BA363" s="69"/>
      <c r="BB363" s="76"/>
      <c r="BC363" s="67"/>
      <c r="BD363" s="68"/>
      <c r="BE363" s="69"/>
      <c r="BF363" s="69"/>
      <c r="BG363" s="69"/>
      <c r="BH363" s="69"/>
      <c r="BI363" s="69"/>
      <c r="BJ363" s="68"/>
      <c r="BK363" s="69"/>
      <c r="BL363" s="67"/>
      <c r="BM363" s="67"/>
      <c r="BN363" s="56"/>
      <c r="BO363" s="56"/>
      <c r="BT363" s="63"/>
      <c r="BW363" s="56"/>
      <c r="BX363" s="56"/>
      <c r="BY363" s="56"/>
      <c r="BZ363" s="56"/>
      <c r="CA363" s="56"/>
      <c r="CF363" s="63"/>
      <c r="CI363" s="56"/>
      <c r="CJ363" s="56"/>
      <c r="CK363" s="56"/>
      <c r="CL363" s="56"/>
      <c r="CM363" s="56"/>
    </row>
    <row r="364" spans="18:93" ht="18" customHeight="1">
      <c r="AO364" s="68"/>
      <c r="AP364" s="67"/>
      <c r="AQ364" s="67"/>
      <c r="AR364" s="68"/>
      <c r="AS364" s="68"/>
      <c r="AT364" s="68"/>
      <c r="AU364" s="68"/>
      <c r="AV364" s="68"/>
      <c r="AW364" s="68"/>
      <c r="AX364" s="68"/>
      <c r="AY364" s="69"/>
      <c r="AZ364" s="67"/>
      <c r="BA364" s="68"/>
      <c r="BB364" s="67"/>
      <c r="BC364" s="67"/>
      <c r="BD364" s="68"/>
      <c r="BE364" s="68"/>
      <c r="BF364" s="68"/>
      <c r="BG364" s="68"/>
      <c r="BH364" s="68"/>
      <c r="BI364" s="68"/>
      <c r="BJ364" s="68"/>
      <c r="BK364" s="69"/>
      <c r="BL364" s="67"/>
      <c r="BM364" s="67"/>
    </row>
    <row r="365" spans="18:93" ht="18" customHeight="1">
      <c r="R365" s="63"/>
      <c r="S365" s="64"/>
      <c r="Y365" s="531"/>
      <c r="Z365" s="531"/>
      <c r="AA365" s="531"/>
      <c r="AD365" s="63"/>
      <c r="AE365" s="64"/>
      <c r="AK365" s="531"/>
      <c r="AL365" s="531"/>
      <c r="AM365" s="531"/>
      <c r="AO365" s="68"/>
      <c r="AP365" s="76"/>
      <c r="AQ365" s="77"/>
      <c r="AR365" s="68"/>
      <c r="AS365" s="68"/>
      <c r="AT365" s="68"/>
      <c r="AU365" s="68"/>
      <c r="AV365" s="68"/>
      <c r="AW365" s="533"/>
      <c r="AX365" s="533"/>
      <c r="AY365" s="533"/>
      <c r="AZ365" s="67"/>
      <c r="BA365" s="68"/>
      <c r="BB365" s="76"/>
      <c r="BC365" s="77"/>
      <c r="BD365" s="68"/>
      <c r="BE365" s="68"/>
      <c r="BF365" s="68"/>
      <c r="BG365" s="68"/>
      <c r="BH365" s="68"/>
      <c r="BI365" s="533"/>
      <c r="BJ365" s="533"/>
      <c r="BK365" s="533"/>
      <c r="BL365" s="67"/>
      <c r="BM365" s="67"/>
      <c r="BO365" s="531"/>
      <c r="BP365" s="531"/>
      <c r="BQ365" s="531"/>
      <c r="BT365" s="63"/>
      <c r="BU365" s="64"/>
      <c r="CA365" s="531"/>
      <c r="CB365" s="531"/>
      <c r="CC365" s="531"/>
      <c r="CF365" s="63"/>
      <c r="CG365" s="64"/>
      <c r="CM365" s="531"/>
      <c r="CN365" s="531"/>
      <c r="CO365" s="531"/>
    </row>
    <row r="366" spans="18:93" ht="18" customHeight="1">
      <c r="R366" s="63"/>
      <c r="V366" s="170"/>
      <c r="W366" s="56"/>
      <c r="X366" s="56"/>
      <c r="Y366" s="56"/>
      <c r="AD366" s="63"/>
      <c r="AG366" s="56"/>
      <c r="AH366" s="56"/>
      <c r="AI366" s="56"/>
      <c r="AJ366" s="56"/>
      <c r="AK366" s="56"/>
      <c r="AO366" s="68"/>
      <c r="AP366" s="76"/>
      <c r="AQ366" s="67"/>
      <c r="AR366" s="68"/>
      <c r="AS366" s="69"/>
      <c r="AT366" s="69"/>
      <c r="AU366" s="69"/>
      <c r="AV366" s="69"/>
      <c r="AW366" s="69"/>
      <c r="AX366" s="68"/>
      <c r="AY366" s="69"/>
      <c r="AZ366" s="67"/>
      <c r="BA366" s="69"/>
      <c r="BB366" s="76"/>
      <c r="BC366" s="67"/>
      <c r="BD366" s="68"/>
      <c r="BE366" s="69"/>
      <c r="BF366" s="69"/>
      <c r="BG366" s="69"/>
      <c r="BH366" s="69"/>
      <c r="BI366" s="69"/>
      <c r="BJ366" s="68"/>
      <c r="BK366" s="69"/>
      <c r="BL366" s="67"/>
      <c r="BM366" s="67"/>
      <c r="BN366" s="56"/>
      <c r="BO366" s="56"/>
      <c r="BT366" s="63"/>
      <c r="BW366" s="56"/>
      <c r="BX366" s="56"/>
      <c r="BY366" s="56"/>
      <c r="BZ366" s="56"/>
      <c r="CA366" s="56"/>
      <c r="CF366" s="63"/>
      <c r="CI366" s="56"/>
      <c r="CJ366" s="56"/>
      <c r="CK366" s="56"/>
      <c r="CL366" s="56"/>
      <c r="CM366" s="56"/>
    </row>
    <row r="367" spans="18:93" ht="18" customHeight="1">
      <c r="R367" s="63"/>
      <c r="V367" s="170"/>
      <c r="W367" s="56"/>
      <c r="X367" s="56"/>
      <c r="Y367" s="56"/>
      <c r="AD367" s="63"/>
      <c r="AG367" s="56"/>
      <c r="AH367" s="56"/>
      <c r="AI367" s="56"/>
      <c r="AJ367" s="56"/>
      <c r="AK367" s="56"/>
      <c r="AO367" s="68"/>
      <c r="AP367" s="76"/>
      <c r="AQ367" s="67"/>
      <c r="AR367" s="68"/>
      <c r="AS367" s="69"/>
      <c r="AT367" s="69"/>
      <c r="AU367" s="69"/>
      <c r="AV367" s="69"/>
      <c r="AW367" s="69"/>
      <c r="AX367" s="68"/>
      <c r="AY367" s="69"/>
      <c r="AZ367" s="67"/>
      <c r="BA367" s="69"/>
      <c r="BB367" s="76"/>
      <c r="BC367" s="67"/>
      <c r="BD367" s="68"/>
      <c r="BE367" s="69"/>
      <c r="BF367" s="69"/>
      <c r="BG367" s="69"/>
      <c r="BH367" s="69"/>
      <c r="BI367" s="69"/>
      <c r="BJ367" s="68"/>
      <c r="BK367" s="69"/>
      <c r="BL367" s="67"/>
      <c r="BM367" s="67"/>
      <c r="BN367" s="56"/>
      <c r="BO367" s="56"/>
      <c r="BT367" s="63"/>
      <c r="BW367" s="56"/>
      <c r="BX367" s="56"/>
      <c r="BY367" s="56"/>
      <c r="BZ367" s="56"/>
      <c r="CA367" s="56"/>
      <c r="CF367" s="63"/>
      <c r="CI367" s="56"/>
      <c r="CJ367" s="56"/>
      <c r="CK367" s="56"/>
      <c r="CL367" s="56"/>
      <c r="CM367" s="56"/>
    </row>
    <row r="368" spans="18:93" ht="18" customHeight="1">
      <c r="R368" s="63"/>
      <c r="V368" s="170"/>
      <c r="W368" s="56"/>
      <c r="X368" s="56"/>
      <c r="Y368" s="56"/>
      <c r="AD368" s="63"/>
      <c r="AG368" s="56"/>
      <c r="AH368" s="56"/>
      <c r="AI368" s="56"/>
      <c r="AJ368" s="56"/>
      <c r="AK368" s="56"/>
      <c r="AO368" s="68"/>
      <c r="AP368" s="76"/>
      <c r="AQ368" s="67"/>
      <c r="AR368" s="68"/>
      <c r="AS368" s="69"/>
      <c r="AT368" s="69"/>
      <c r="AU368" s="69"/>
      <c r="AV368" s="69"/>
      <c r="AW368" s="69"/>
      <c r="AX368" s="68"/>
      <c r="AY368" s="69"/>
      <c r="AZ368" s="67"/>
      <c r="BA368" s="69"/>
      <c r="BB368" s="76"/>
      <c r="BC368" s="67"/>
      <c r="BD368" s="68"/>
      <c r="BE368" s="69"/>
      <c r="BF368" s="69"/>
      <c r="BG368" s="69"/>
      <c r="BH368" s="69"/>
      <c r="BI368" s="69"/>
      <c r="BJ368" s="68"/>
      <c r="BK368" s="69"/>
      <c r="BL368" s="67"/>
      <c r="BM368" s="67"/>
      <c r="BN368" s="56"/>
      <c r="BO368" s="56"/>
      <c r="BT368" s="63"/>
      <c r="BW368" s="56"/>
      <c r="BX368" s="56"/>
      <c r="BY368" s="56"/>
      <c r="BZ368" s="56"/>
      <c r="CA368" s="56"/>
      <c r="CF368" s="63"/>
      <c r="CI368" s="56"/>
      <c r="CJ368" s="56"/>
      <c r="CK368" s="56"/>
      <c r="CL368" s="56"/>
      <c r="CM368" s="56"/>
    </row>
    <row r="369" spans="18:93" ht="18" customHeight="1">
      <c r="R369" s="63"/>
      <c r="V369" s="170"/>
      <c r="W369" s="56"/>
      <c r="X369" s="56"/>
      <c r="Y369" s="56"/>
      <c r="AD369" s="63"/>
      <c r="AG369" s="56"/>
      <c r="AH369" s="56"/>
      <c r="AI369" s="56"/>
      <c r="AJ369" s="56"/>
      <c r="AK369" s="56"/>
      <c r="AO369" s="68"/>
      <c r="AP369" s="76"/>
      <c r="AQ369" s="67"/>
      <c r="AR369" s="68"/>
      <c r="AS369" s="69"/>
      <c r="AT369" s="69"/>
      <c r="AU369" s="69"/>
      <c r="AV369" s="69"/>
      <c r="AW369" s="69"/>
      <c r="AX369" s="68"/>
      <c r="AY369" s="69"/>
      <c r="AZ369" s="67"/>
      <c r="BA369" s="69"/>
      <c r="BB369" s="76"/>
      <c r="BC369" s="67"/>
      <c r="BD369" s="68"/>
      <c r="BE369" s="69"/>
      <c r="BF369" s="69"/>
      <c r="BG369" s="69"/>
      <c r="BH369" s="69"/>
      <c r="BI369" s="69"/>
      <c r="BJ369" s="68"/>
      <c r="BK369" s="69"/>
      <c r="BL369" s="67"/>
      <c r="BM369" s="67"/>
      <c r="BN369" s="56"/>
      <c r="BO369" s="56"/>
      <c r="BT369" s="63"/>
      <c r="BW369" s="56"/>
      <c r="BX369" s="56"/>
      <c r="BY369" s="56"/>
      <c r="BZ369" s="56"/>
      <c r="CA369" s="56"/>
      <c r="CF369" s="63"/>
      <c r="CI369" s="56"/>
      <c r="CJ369" s="56"/>
      <c r="CK369" s="56"/>
      <c r="CL369" s="56"/>
      <c r="CM369" s="56"/>
    </row>
    <row r="370" spans="18:93" ht="18" customHeight="1">
      <c r="AO370" s="68"/>
      <c r="AP370" s="67"/>
      <c r="AQ370" s="67"/>
      <c r="AR370" s="68"/>
      <c r="AS370" s="68"/>
      <c r="AT370" s="68"/>
      <c r="AU370" s="68"/>
      <c r="AV370" s="68"/>
      <c r="AW370" s="68"/>
      <c r="AX370" s="68"/>
      <c r="AY370" s="69"/>
      <c r="AZ370" s="67"/>
      <c r="BA370" s="68"/>
      <c r="BB370" s="67"/>
      <c r="BC370" s="67"/>
      <c r="BD370" s="68"/>
      <c r="BE370" s="68"/>
      <c r="BF370" s="68"/>
      <c r="BG370" s="68"/>
      <c r="BH370" s="68"/>
      <c r="BI370" s="68"/>
      <c r="BJ370" s="68"/>
      <c r="BK370" s="69"/>
      <c r="BL370" s="67"/>
      <c r="BM370" s="67"/>
    </row>
    <row r="371" spans="18:93" ht="18" customHeight="1">
      <c r="R371" s="63"/>
      <c r="S371" s="64"/>
      <c r="Y371" s="531"/>
      <c r="Z371" s="531"/>
      <c r="AA371" s="531"/>
      <c r="AD371" s="63"/>
      <c r="AE371" s="64"/>
      <c r="AK371" s="531"/>
      <c r="AL371" s="531"/>
      <c r="AM371" s="531"/>
      <c r="AO371" s="68"/>
      <c r="AP371" s="76"/>
      <c r="AQ371" s="77"/>
      <c r="AR371" s="68"/>
      <c r="AS371" s="68"/>
      <c r="AT371" s="68"/>
      <c r="AU371" s="68"/>
      <c r="AV371" s="68"/>
      <c r="AW371" s="533"/>
      <c r="AX371" s="533"/>
      <c r="AY371" s="533"/>
      <c r="AZ371" s="67"/>
      <c r="BA371" s="68"/>
      <c r="BB371" s="76"/>
      <c r="BC371" s="77"/>
      <c r="BD371" s="68"/>
      <c r="BE371" s="68"/>
      <c r="BF371" s="68"/>
      <c r="BG371" s="68"/>
      <c r="BH371" s="68"/>
      <c r="BI371" s="533"/>
      <c r="BJ371" s="533"/>
      <c r="BK371" s="533"/>
      <c r="BL371" s="67"/>
      <c r="BM371" s="67"/>
      <c r="BO371" s="531"/>
      <c r="BP371" s="531"/>
      <c r="BQ371" s="531"/>
      <c r="BT371" s="63"/>
      <c r="BU371" s="64"/>
      <c r="CA371" s="531"/>
      <c r="CB371" s="531"/>
      <c r="CC371" s="531"/>
      <c r="CF371" s="63"/>
      <c r="CG371" s="64"/>
      <c r="CM371" s="531"/>
      <c r="CN371" s="531"/>
      <c r="CO371" s="531"/>
    </row>
    <row r="372" spans="18:93" ht="18" customHeight="1">
      <c r="R372" s="63"/>
      <c r="V372" s="170"/>
      <c r="W372" s="56"/>
      <c r="X372" s="56"/>
      <c r="Y372" s="56"/>
      <c r="AD372" s="63"/>
      <c r="AG372" s="56"/>
      <c r="AH372" s="56"/>
      <c r="AI372" s="56"/>
      <c r="AJ372" s="56"/>
      <c r="AK372" s="56"/>
      <c r="AO372" s="68"/>
      <c r="AP372" s="76"/>
      <c r="AQ372" s="67"/>
      <c r="AR372" s="68"/>
      <c r="AS372" s="69"/>
      <c r="AT372" s="69"/>
      <c r="AU372" s="69"/>
      <c r="AV372" s="69"/>
      <c r="AW372" s="69"/>
      <c r="AX372" s="68"/>
      <c r="AY372" s="69"/>
      <c r="AZ372" s="67"/>
      <c r="BA372" s="69"/>
      <c r="BB372" s="76"/>
      <c r="BC372" s="67"/>
      <c r="BD372" s="68"/>
      <c r="BE372" s="69"/>
      <c r="BF372" s="69"/>
      <c r="BG372" s="69"/>
      <c r="BH372" s="69"/>
      <c r="BI372" s="69"/>
      <c r="BJ372" s="68"/>
      <c r="BK372" s="69"/>
      <c r="BL372" s="67"/>
      <c r="BM372" s="67"/>
      <c r="BN372" s="56"/>
      <c r="BO372" s="56"/>
      <c r="BT372" s="63"/>
      <c r="BW372" s="56"/>
      <c r="BX372" s="56"/>
      <c r="BY372" s="56"/>
      <c r="BZ372" s="56"/>
      <c r="CA372" s="56"/>
      <c r="CF372" s="63"/>
      <c r="CI372" s="56"/>
      <c r="CJ372" s="56"/>
      <c r="CK372" s="56"/>
      <c r="CL372" s="56"/>
      <c r="CM372" s="56"/>
    </row>
    <row r="373" spans="18:93" ht="18" customHeight="1">
      <c r="R373" s="63"/>
      <c r="V373" s="170"/>
      <c r="W373" s="56"/>
      <c r="X373" s="56"/>
      <c r="Y373" s="56"/>
      <c r="AD373" s="63"/>
      <c r="AG373" s="56"/>
      <c r="AH373" s="56"/>
      <c r="AI373" s="56"/>
      <c r="AJ373" s="56"/>
      <c r="AK373" s="56"/>
      <c r="AO373" s="68"/>
      <c r="AP373" s="76"/>
      <c r="AQ373" s="67"/>
      <c r="AR373" s="68"/>
      <c r="AS373" s="69"/>
      <c r="AT373" s="69"/>
      <c r="AU373" s="69"/>
      <c r="AV373" s="69"/>
      <c r="AW373" s="69"/>
      <c r="AX373" s="68"/>
      <c r="AY373" s="69"/>
      <c r="AZ373" s="67"/>
      <c r="BA373" s="69"/>
      <c r="BB373" s="76"/>
      <c r="BC373" s="67"/>
      <c r="BD373" s="68"/>
      <c r="BE373" s="69"/>
      <c r="BF373" s="69"/>
      <c r="BG373" s="69"/>
      <c r="BH373" s="69"/>
      <c r="BI373" s="69"/>
      <c r="BJ373" s="68"/>
      <c r="BK373" s="69"/>
      <c r="BL373" s="67"/>
      <c r="BM373" s="67"/>
      <c r="BN373" s="56"/>
      <c r="BO373" s="56"/>
      <c r="BT373" s="63"/>
      <c r="BW373" s="56"/>
      <c r="BX373" s="56"/>
      <c r="BY373" s="56"/>
      <c r="BZ373" s="56"/>
      <c r="CA373" s="56"/>
      <c r="CF373" s="63"/>
      <c r="CI373" s="56"/>
      <c r="CJ373" s="56"/>
      <c r="CK373" s="56"/>
      <c r="CL373" s="56"/>
      <c r="CM373" s="56"/>
    </row>
    <row r="374" spans="18:93" ht="18" customHeight="1">
      <c r="R374" s="63"/>
      <c r="V374" s="170"/>
      <c r="W374" s="56"/>
      <c r="X374" s="56"/>
      <c r="Y374" s="56"/>
      <c r="AD374" s="63"/>
      <c r="AG374" s="56"/>
      <c r="AH374" s="56"/>
      <c r="AI374" s="56"/>
      <c r="AJ374" s="56"/>
      <c r="AK374" s="56"/>
      <c r="AO374" s="68"/>
      <c r="AP374" s="76"/>
      <c r="AQ374" s="67"/>
      <c r="AR374" s="68"/>
      <c r="AS374" s="69"/>
      <c r="AT374" s="69"/>
      <c r="AU374" s="69"/>
      <c r="AV374" s="69"/>
      <c r="AW374" s="69"/>
      <c r="AX374" s="68"/>
      <c r="AY374" s="69"/>
      <c r="AZ374" s="67"/>
      <c r="BA374" s="69"/>
      <c r="BB374" s="76"/>
      <c r="BC374" s="67"/>
      <c r="BD374" s="68"/>
      <c r="BE374" s="69"/>
      <c r="BF374" s="69"/>
      <c r="BG374" s="69"/>
      <c r="BH374" s="69"/>
      <c r="BI374" s="69"/>
      <c r="BJ374" s="68"/>
      <c r="BK374" s="69"/>
      <c r="BL374" s="67"/>
      <c r="BM374" s="67"/>
      <c r="BN374" s="56"/>
      <c r="BO374" s="56"/>
      <c r="BT374" s="63"/>
      <c r="BW374" s="56"/>
      <c r="BX374" s="56"/>
      <c r="BY374" s="56"/>
      <c r="BZ374" s="56"/>
      <c r="CA374" s="56"/>
      <c r="CF374" s="63"/>
      <c r="CI374" s="56"/>
      <c r="CJ374" s="56"/>
      <c r="CK374" s="56"/>
      <c r="CL374" s="56"/>
      <c r="CM374" s="56"/>
    </row>
    <row r="375" spans="18:93" ht="18" customHeight="1">
      <c r="R375" s="63"/>
      <c r="V375" s="170"/>
      <c r="W375" s="56"/>
      <c r="X375" s="56"/>
      <c r="Y375" s="56"/>
      <c r="AD375" s="63"/>
      <c r="AG375" s="56"/>
      <c r="AH375" s="56"/>
      <c r="AI375" s="56"/>
      <c r="AJ375" s="56"/>
      <c r="AK375" s="56"/>
      <c r="AO375" s="68"/>
      <c r="AP375" s="76"/>
      <c r="AQ375" s="67"/>
      <c r="AR375" s="68"/>
      <c r="AS375" s="69"/>
      <c r="AT375" s="69"/>
      <c r="AU375" s="69"/>
      <c r="AV375" s="69"/>
      <c r="AW375" s="69"/>
      <c r="AX375" s="68"/>
      <c r="AY375" s="69"/>
      <c r="AZ375" s="67"/>
      <c r="BA375" s="69"/>
      <c r="BB375" s="76"/>
      <c r="BC375" s="67"/>
      <c r="BD375" s="68"/>
      <c r="BE375" s="69"/>
      <c r="BF375" s="69"/>
      <c r="BG375" s="69"/>
      <c r="BH375" s="69"/>
      <c r="BI375" s="69"/>
      <c r="BJ375" s="68"/>
      <c r="BK375" s="69"/>
      <c r="BL375" s="67"/>
      <c r="BM375" s="67"/>
      <c r="BN375" s="56"/>
      <c r="BO375" s="56"/>
      <c r="BT375" s="63"/>
      <c r="BW375" s="56"/>
      <c r="BX375" s="56"/>
      <c r="BY375" s="56"/>
      <c r="BZ375" s="56"/>
      <c r="CA375" s="56"/>
      <c r="CF375" s="63"/>
      <c r="CI375" s="56"/>
      <c r="CJ375" s="56"/>
      <c r="CK375" s="56"/>
      <c r="CL375" s="56"/>
      <c r="CM375" s="56"/>
    </row>
    <row r="376" spans="18:93" ht="18" customHeight="1">
      <c r="AO376" s="68"/>
      <c r="AP376" s="67"/>
      <c r="AQ376" s="67"/>
      <c r="AR376" s="68"/>
      <c r="AS376" s="68"/>
      <c r="AT376" s="68"/>
      <c r="AU376" s="68"/>
      <c r="AV376" s="68"/>
      <c r="AW376" s="68"/>
      <c r="AX376" s="68"/>
      <c r="AY376" s="69"/>
      <c r="AZ376" s="67"/>
      <c r="BA376" s="68"/>
      <c r="BB376" s="67"/>
      <c r="BC376" s="67"/>
      <c r="BD376" s="68"/>
      <c r="BE376" s="68"/>
      <c r="BF376" s="68"/>
      <c r="BG376" s="68"/>
      <c r="BH376" s="68"/>
      <c r="BI376" s="68"/>
      <c r="BJ376" s="68"/>
      <c r="BK376" s="69"/>
      <c r="BL376" s="67"/>
      <c r="BM376" s="67"/>
    </row>
    <row r="377" spans="18:93" ht="18" customHeight="1">
      <c r="R377" s="63"/>
      <c r="S377" s="64"/>
      <c r="Y377" s="531"/>
      <c r="Z377" s="531"/>
      <c r="AA377" s="531"/>
      <c r="AD377" s="63"/>
      <c r="AE377" s="64"/>
      <c r="AK377" s="531"/>
      <c r="AL377" s="531"/>
      <c r="AM377" s="531"/>
      <c r="AO377" s="68"/>
      <c r="AP377" s="76"/>
      <c r="AQ377" s="77"/>
      <c r="AR377" s="68"/>
      <c r="AS377" s="68"/>
      <c r="AT377" s="68"/>
      <c r="AU377" s="68"/>
      <c r="AV377" s="68"/>
      <c r="AW377" s="533"/>
      <c r="AX377" s="533"/>
      <c r="AY377" s="533"/>
      <c r="AZ377" s="67"/>
      <c r="BA377" s="68"/>
      <c r="BB377" s="76"/>
      <c r="BC377" s="77"/>
      <c r="BD377" s="68"/>
      <c r="BE377" s="68"/>
      <c r="BF377" s="68"/>
      <c r="BG377" s="68"/>
      <c r="BH377" s="68"/>
      <c r="BI377" s="533"/>
      <c r="BJ377" s="533"/>
      <c r="BK377" s="533"/>
      <c r="BL377" s="67"/>
      <c r="BM377" s="67"/>
      <c r="BO377" s="531"/>
      <c r="BP377" s="531"/>
      <c r="BQ377" s="531"/>
      <c r="BT377" s="63"/>
      <c r="BU377" s="64"/>
      <c r="CA377" s="531"/>
      <c r="CB377" s="531"/>
      <c r="CC377" s="531"/>
      <c r="CF377" s="63"/>
      <c r="CG377" s="64"/>
      <c r="CM377" s="531"/>
      <c r="CN377" s="531"/>
      <c r="CO377" s="531"/>
    </row>
    <row r="378" spans="18:93" ht="18" customHeight="1">
      <c r="R378" s="63"/>
      <c r="V378" s="170"/>
      <c r="W378" s="56"/>
      <c r="X378" s="56"/>
      <c r="Y378" s="56"/>
      <c r="AD378" s="63"/>
      <c r="AG378" s="56"/>
      <c r="AH378" s="56"/>
      <c r="AI378" s="56"/>
      <c r="AJ378" s="56"/>
      <c r="AK378" s="56"/>
      <c r="AO378" s="68"/>
      <c r="AP378" s="76"/>
      <c r="AQ378" s="67"/>
      <c r="AR378" s="68"/>
      <c r="AS378" s="69"/>
      <c r="AT378" s="69"/>
      <c r="AU378" s="69"/>
      <c r="AV378" s="69"/>
      <c r="AW378" s="69"/>
      <c r="AX378" s="68"/>
      <c r="AY378" s="69"/>
      <c r="AZ378" s="67"/>
      <c r="BA378" s="69"/>
      <c r="BB378" s="76"/>
      <c r="BC378" s="67"/>
      <c r="BD378" s="68"/>
      <c r="BE378" s="69"/>
      <c r="BF378" s="69"/>
      <c r="BG378" s="69"/>
      <c r="BH378" s="69"/>
      <c r="BI378" s="69"/>
      <c r="BJ378" s="68"/>
      <c r="BK378" s="69"/>
      <c r="BL378" s="67"/>
      <c r="BM378" s="67"/>
      <c r="BN378" s="56"/>
      <c r="BO378" s="56"/>
      <c r="BT378" s="63"/>
      <c r="BW378" s="56"/>
      <c r="BX378" s="56"/>
      <c r="BY378" s="56"/>
      <c r="BZ378" s="56"/>
      <c r="CA378" s="56"/>
      <c r="CF378" s="63"/>
      <c r="CI378" s="56"/>
      <c r="CJ378" s="56"/>
      <c r="CK378" s="56"/>
      <c r="CL378" s="56"/>
      <c r="CM378" s="56"/>
    </row>
    <row r="379" spans="18:93" ht="18" customHeight="1">
      <c r="R379" s="63"/>
      <c r="V379" s="170"/>
      <c r="W379" s="56"/>
      <c r="X379" s="56"/>
      <c r="Y379" s="56"/>
      <c r="AD379" s="63"/>
      <c r="AG379" s="56"/>
      <c r="AH379" s="56"/>
      <c r="AI379" s="56"/>
      <c r="AJ379" s="56"/>
      <c r="AK379" s="56"/>
      <c r="AO379" s="68"/>
      <c r="AP379" s="76"/>
      <c r="AQ379" s="67"/>
      <c r="AR379" s="68"/>
      <c r="AS379" s="69"/>
      <c r="AT379" s="69"/>
      <c r="AU379" s="69"/>
      <c r="AV379" s="69"/>
      <c r="AW379" s="69"/>
      <c r="AX379" s="68"/>
      <c r="AY379" s="69"/>
      <c r="AZ379" s="67"/>
      <c r="BA379" s="69"/>
      <c r="BB379" s="76"/>
      <c r="BC379" s="67"/>
      <c r="BD379" s="68"/>
      <c r="BE379" s="69"/>
      <c r="BF379" s="69"/>
      <c r="BG379" s="69"/>
      <c r="BH379" s="69"/>
      <c r="BI379" s="69"/>
      <c r="BJ379" s="68"/>
      <c r="BK379" s="69"/>
      <c r="BL379" s="67"/>
      <c r="BM379" s="67"/>
      <c r="BN379" s="56"/>
      <c r="BO379" s="56"/>
      <c r="BT379" s="63"/>
      <c r="BW379" s="56"/>
      <c r="BX379" s="56"/>
      <c r="BY379" s="56"/>
      <c r="BZ379" s="56"/>
      <c r="CA379" s="56"/>
      <c r="CF379" s="63"/>
      <c r="CI379" s="56"/>
      <c r="CJ379" s="56"/>
      <c r="CK379" s="56"/>
      <c r="CL379" s="56"/>
      <c r="CM379" s="56"/>
    </row>
    <row r="380" spans="18:93" ht="18" customHeight="1">
      <c r="R380" s="63"/>
      <c r="V380" s="170"/>
      <c r="W380" s="56"/>
      <c r="X380" s="56"/>
      <c r="Y380" s="56"/>
      <c r="AD380" s="63"/>
      <c r="AG380" s="56"/>
      <c r="AH380" s="56"/>
      <c r="AI380" s="56"/>
      <c r="AJ380" s="56"/>
      <c r="AK380" s="56"/>
      <c r="AO380" s="68"/>
      <c r="AP380" s="76"/>
      <c r="AQ380" s="67"/>
      <c r="AR380" s="68"/>
      <c r="AS380" s="69"/>
      <c r="AT380" s="69"/>
      <c r="AU380" s="69"/>
      <c r="AV380" s="69"/>
      <c r="AW380" s="69"/>
      <c r="AX380" s="68"/>
      <c r="AY380" s="69"/>
      <c r="AZ380" s="67"/>
      <c r="BA380" s="69"/>
      <c r="BB380" s="76"/>
      <c r="BC380" s="67"/>
      <c r="BD380" s="68"/>
      <c r="BE380" s="69"/>
      <c r="BF380" s="69"/>
      <c r="BG380" s="69"/>
      <c r="BH380" s="69"/>
      <c r="BI380" s="69"/>
      <c r="BJ380" s="68"/>
      <c r="BK380" s="69"/>
      <c r="BL380" s="67"/>
      <c r="BM380" s="67"/>
      <c r="BN380" s="56"/>
      <c r="BO380" s="56"/>
      <c r="BT380" s="63"/>
      <c r="BW380" s="56"/>
      <c r="BX380" s="56"/>
      <c r="BY380" s="56"/>
      <c r="BZ380" s="56"/>
      <c r="CA380" s="56"/>
      <c r="CF380" s="63"/>
      <c r="CI380" s="56"/>
      <c r="CJ380" s="56"/>
      <c r="CK380" s="56"/>
      <c r="CL380" s="56"/>
      <c r="CM380" s="56"/>
    </row>
    <row r="381" spans="18:93" ht="18" customHeight="1">
      <c r="R381" s="63"/>
      <c r="V381" s="170"/>
      <c r="W381" s="56"/>
      <c r="X381" s="56"/>
      <c r="Y381" s="56"/>
      <c r="AD381" s="63"/>
      <c r="AG381" s="56"/>
      <c r="AH381" s="56"/>
      <c r="AI381" s="56"/>
      <c r="AJ381" s="56"/>
      <c r="AK381" s="56"/>
      <c r="AO381" s="68"/>
      <c r="AP381" s="76"/>
      <c r="AQ381" s="67"/>
      <c r="AR381" s="68"/>
      <c r="AS381" s="69"/>
      <c r="AT381" s="69"/>
      <c r="AU381" s="69"/>
      <c r="AV381" s="69"/>
      <c r="AW381" s="69"/>
      <c r="AX381" s="68"/>
      <c r="AY381" s="69"/>
      <c r="AZ381" s="67"/>
      <c r="BA381" s="69"/>
      <c r="BB381" s="76"/>
      <c r="BC381" s="67"/>
      <c r="BD381" s="68"/>
      <c r="BE381" s="69"/>
      <c r="BF381" s="69"/>
      <c r="BG381" s="69"/>
      <c r="BH381" s="69"/>
      <c r="BI381" s="69"/>
      <c r="BJ381" s="68"/>
      <c r="BK381" s="69"/>
      <c r="BL381" s="67"/>
      <c r="BM381" s="67"/>
      <c r="BN381" s="56"/>
      <c r="BO381" s="56"/>
      <c r="BT381" s="63"/>
      <c r="BW381" s="56"/>
      <c r="BX381" s="56"/>
      <c r="BY381" s="56"/>
      <c r="BZ381" s="56"/>
      <c r="CA381" s="56"/>
      <c r="CF381" s="63"/>
      <c r="CI381" s="56"/>
      <c r="CJ381" s="56"/>
      <c r="CK381" s="56"/>
      <c r="CL381" s="56"/>
      <c r="CM381" s="56"/>
    </row>
    <row r="382" spans="18:93" ht="18" customHeight="1">
      <c r="AO382" s="68"/>
      <c r="AP382" s="67"/>
      <c r="AQ382" s="67"/>
      <c r="AR382" s="68"/>
      <c r="AS382" s="68"/>
      <c r="AT382" s="68"/>
      <c r="AU382" s="68"/>
      <c r="AV382" s="68"/>
      <c r="AW382" s="68"/>
      <c r="AX382" s="68"/>
      <c r="AY382" s="69"/>
      <c r="AZ382" s="67"/>
      <c r="BA382" s="68"/>
      <c r="BB382" s="67"/>
      <c r="BC382" s="67"/>
      <c r="BD382" s="68"/>
      <c r="BE382" s="68"/>
      <c r="BF382" s="68"/>
      <c r="BG382" s="68"/>
      <c r="BH382" s="68"/>
      <c r="BI382" s="68"/>
      <c r="BJ382" s="68"/>
      <c r="BK382" s="69"/>
      <c r="BL382" s="67"/>
      <c r="BM382" s="67"/>
    </row>
    <row r="383" spans="18:93" ht="18" customHeight="1">
      <c r="R383" s="63"/>
      <c r="S383" s="64"/>
      <c r="Y383" s="531"/>
      <c r="Z383" s="531"/>
      <c r="AA383" s="531"/>
      <c r="AD383" s="63"/>
      <c r="AE383" s="64"/>
      <c r="AK383" s="531"/>
      <c r="AL383" s="531"/>
      <c r="AM383" s="531"/>
      <c r="AO383" s="68"/>
      <c r="AP383" s="76"/>
      <c r="AQ383" s="77"/>
      <c r="AR383" s="68"/>
      <c r="AS383" s="68"/>
      <c r="AT383" s="68"/>
      <c r="AU383" s="68"/>
      <c r="AV383" s="68"/>
      <c r="AW383" s="533"/>
      <c r="AX383" s="533"/>
      <c r="AY383" s="533"/>
      <c r="AZ383" s="67"/>
      <c r="BA383" s="68"/>
      <c r="BB383" s="76"/>
      <c r="BC383" s="77"/>
      <c r="BD383" s="68"/>
      <c r="BE383" s="68"/>
      <c r="BF383" s="68"/>
      <c r="BG383" s="68"/>
      <c r="BH383" s="68"/>
      <c r="BI383" s="533"/>
      <c r="BJ383" s="533"/>
      <c r="BK383" s="533"/>
      <c r="BL383" s="67"/>
      <c r="BM383" s="67"/>
      <c r="BO383" s="531"/>
      <c r="BP383" s="531"/>
      <c r="BQ383" s="531"/>
      <c r="BT383" s="63"/>
      <c r="BU383" s="64"/>
      <c r="CA383" s="531"/>
      <c r="CB383" s="531"/>
      <c r="CC383" s="531"/>
      <c r="CF383" s="63"/>
      <c r="CG383" s="64"/>
      <c r="CM383" s="531"/>
      <c r="CN383" s="531"/>
      <c r="CO383" s="531"/>
    </row>
    <row r="384" spans="18:93" ht="18" customHeight="1">
      <c r="R384" s="63"/>
      <c r="V384" s="170"/>
      <c r="W384" s="56"/>
      <c r="X384" s="56"/>
      <c r="Y384" s="56"/>
      <c r="AD384" s="63"/>
      <c r="AG384" s="56"/>
      <c r="AH384" s="56"/>
      <c r="AI384" s="56"/>
      <c r="AJ384" s="56"/>
      <c r="AK384" s="56"/>
      <c r="AO384" s="68"/>
      <c r="AP384" s="76"/>
      <c r="AQ384" s="67"/>
      <c r="AR384" s="68"/>
      <c r="AS384" s="69"/>
      <c r="AT384" s="69"/>
      <c r="AU384" s="69"/>
      <c r="AV384" s="69"/>
      <c r="AW384" s="69"/>
      <c r="AX384" s="68"/>
      <c r="AY384" s="69"/>
      <c r="AZ384" s="67"/>
      <c r="BA384" s="69"/>
      <c r="BB384" s="76"/>
      <c r="BC384" s="67"/>
      <c r="BD384" s="68"/>
      <c r="BE384" s="69"/>
      <c r="BF384" s="69"/>
      <c r="BG384" s="69"/>
      <c r="BH384" s="69"/>
      <c r="BI384" s="69"/>
      <c r="BJ384" s="68"/>
      <c r="BK384" s="69"/>
      <c r="BL384" s="67"/>
      <c r="BM384" s="67"/>
      <c r="BN384" s="56"/>
      <c r="BO384" s="56"/>
      <c r="BT384" s="63"/>
      <c r="BW384" s="56"/>
      <c r="BX384" s="56"/>
      <c r="BY384" s="56"/>
      <c r="BZ384" s="56"/>
      <c r="CA384" s="56"/>
      <c r="CF384" s="63"/>
      <c r="CI384" s="56"/>
      <c r="CJ384" s="56"/>
      <c r="CK384" s="56"/>
      <c r="CL384" s="56"/>
      <c r="CM384" s="56"/>
    </row>
    <row r="385" spans="18:91" ht="18" customHeight="1">
      <c r="R385" s="63"/>
      <c r="V385" s="170"/>
      <c r="W385" s="56"/>
      <c r="X385" s="56"/>
      <c r="Y385" s="56"/>
      <c r="AD385" s="63"/>
      <c r="AG385" s="56"/>
      <c r="AH385" s="56"/>
      <c r="AI385" s="56"/>
      <c r="AJ385" s="56"/>
      <c r="AK385" s="56"/>
      <c r="AO385" s="68"/>
      <c r="AP385" s="76"/>
      <c r="AQ385" s="67"/>
      <c r="AR385" s="68"/>
      <c r="AS385" s="69"/>
      <c r="AT385" s="69"/>
      <c r="AU385" s="69"/>
      <c r="AV385" s="69"/>
      <c r="AW385" s="69"/>
      <c r="AX385" s="68"/>
      <c r="AY385" s="69"/>
      <c r="AZ385" s="67"/>
      <c r="BA385" s="69"/>
      <c r="BB385" s="76"/>
      <c r="BC385" s="67"/>
      <c r="BD385" s="68"/>
      <c r="BE385" s="69"/>
      <c r="BF385" s="69"/>
      <c r="BG385" s="69"/>
      <c r="BH385" s="69"/>
      <c r="BI385" s="69"/>
      <c r="BJ385" s="68"/>
      <c r="BK385" s="69"/>
      <c r="BL385" s="67"/>
      <c r="BM385" s="67"/>
      <c r="BN385" s="56"/>
      <c r="BO385" s="56"/>
      <c r="BT385" s="63"/>
      <c r="BW385" s="56"/>
      <c r="BX385" s="56"/>
      <c r="BY385" s="56"/>
      <c r="BZ385" s="56"/>
      <c r="CA385" s="56"/>
      <c r="CF385" s="63"/>
      <c r="CI385" s="56"/>
      <c r="CJ385" s="56"/>
      <c r="CK385" s="56"/>
      <c r="CL385" s="56"/>
      <c r="CM385" s="56"/>
    </row>
    <row r="386" spans="18:91" ht="18" customHeight="1">
      <c r="R386" s="63"/>
      <c r="V386" s="170"/>
      <c r="W386" s="56"/>
      <c r="X386" s="56"/>
      <c r="Y386" s="56"/>
      <c r="AD386" s="63"/>
      <c r="AG386" s="56"/>
      <c r="AH386" s="56"/>
      <c r="AI386" s="56"/>
      <c r="AJ386" s="56"/>
      <c r="AK386" s="56"/>
      <c r="AO386" s="68"/>
      <c r="AP386" s="76"/>
      <c r="AQ386" s="67"/>
      <c r="AR386" s="68"/>
      <c r="AS386" s="69"/>
      <c r="AT386" s="69"/>
      <c r="AU386" s="69"/>
      <c r="AV386" s="69"/>
      <c r="AW386" s="69"/>
      <c r="AX386" s="68"/>
      <c r="AY386" s="69"/>
      <c r="AZ386" s="67"/>
      <c r="BA386" s="69"/>
      <c r="BB386" s="76"/>
      <c r="BC386" s="67"/>
      <c r="BD386" s="68"/>
      <c r="BE386" s="69"/>
      <c r="BF386" s="69"/>
      <c r="BG386" s="69"/>
      <c r="BH386" s="69"/>
      <c r="BI386" s="69"/>
      <c r="BJ386" s="68"/>
      <c r="BK386" s="69"/>
      <c r="BL386" s="67"/>
      <c r="BM386" s="67"/>
      <c r="BN386" s="56"/>
      <c r="BO386" s="56"/>
      <c r="BT386" s="63"/>
      <c r="BW386" s="56"/>
      <c r="BX386" s="56"/>
      <c r="BY386" s="56"/>
      <c r="BZ386" s="56"/>
      <c r="CA386" s="56"/>
      <c r="CF386" s="63"/>
      <c r="CI386" s="56"/>
      <c r="CJ386" s="56"/>
      <c r="CK386" s="56"/>
      <c r="CL386" s="56"/>
      <c r="CM386" s="56"/>
    </row>
    <row r="387" spans="18:91" ht="18" customHeight="1">
      <c r="R387" s="63"/>
      <c r="V387" s="170"/>
      <c r="W387" s="56"/>
      <c r="X387" s="56"/>
      <c r="Y387" s="56"/>
      <c r="AD387" s="63"/>
      <c r="AG387" s="56"/>
      <c r="AH387" s="56"/>
      <c r="AI387" s="56"/>
      <c r="AJ387" s="56"/>
      <c r="AK387" s="56"/>
      <c r="AO387" s="68"/>
      <c r="AP387" s="76"/>
      <c r="AQ387" s="67"/>
      <c r="AR387" s="68"/>
      <c r="AS387" s="69"/>
      <c r="AT387" s="69"/>
      <c r="AU387" s="69"/>
      <c r="AV387" s="69"/>
      <c r="AW387" s="69"/>
      <c r="AX387" s="68"/>
      <c r="AY387" s="69"/>
      <c r="AZ387" s="67"/>
      <c r="BA387" s="69"/>
      <c r="BB387" s="76"/>
      <c r="BC387" s="67"/>
      <c r="BD387" s="68"/>
      <c r="BE387" s="69"/>
      <c r="BF387" s="69"/>
      <c r="BG387" s="69"/>
      <c r="BH387" s="69"/>
      <c r="BI387" s="69"/>
      <c r="BJ387" s="68"/>
      <c r="BK387" s="69"/>
      <c r="BL387" s="67"/>
      <c r="BM387" s="67"/>
      <c r="BN387" s="56"/>
      <c r="BO387" s="56"/>
      <c r="BT387" s="63"/>
      <c r="BW387" s="56"/>
      <c r="BX387" s="56"/>
      <c r="BY387" s="56"/>
      <c r="BZ387" s="56"/>
      <c r="CA387" s="56"/>
      <c r="CF387" s="63"/>
      <c r="CI387" s="56"/>
      <c r="CJ387" s="56"/>
      <c r="CK387" s="56"/>
      <c r="CL387" s="56"/>
      <c r="CM387" s="56"/>
    </row>
  </sheetData>
  <mergeCells count="522">
    <mergeCell ref="CM383:CO383"/>
    <mergeCell ref="Y383:AA383"/>
    <mergeCell ref="AK383:AM383"/>
    <mergeCell ref="AW383:AY383"/>
    <mergeCell ref="BI383:BK383"/>
    <mergeCell ref="BO383:BQ383"/>
    <mergeCell ref="CA383:CC383"/>
    <mergeCell ref="CM371:CO371"/>
    <mergeCell ref="Y377:AA377"/>
    <mergeCell ref="AK377:AM377"/>
    <mergeCell ref="AW377:AY377"/>
    <mergeCell ref="BI377:BK377"/>
    <mergeCell ref="BO377:BQ377"/>
    <mergeCell ref="CA377:CC377"/>
    <mergeCell ref="CM377:CO377"/>
    <mergeCell ref="Y371:AA371"/>
    <mergeCell ref="AK371:AM371"/>
    <mergeCell ref="AW371:AY371"/>
    <mergeCell ref="BI371:BK371"/>
    <mergeCell ref="BO371:BQ371"/>
    <mergeCell ref="CA371:CC371"/>
    <mergeCell ref="CM359:CO359"/>
    <mergeCell ref="Y365:AA365"/>
    <mergeCell ref="AK365:AM365"/>
    <mergeCell ref="AW365:AY365"/>
    <mergeCell ref="BI365:BK365"/>
    <mergeCell ref="BO365:BQ365"/>
    <mergeCell ref="CA365:CC365"/>
    <mergeCell ref="CM365:CO365"/>
    <mergeCell ref="Y359:AA359"/>
    <mergeCell ref="AK359:AM359"/>
    <mergeCell ref="AW359:AY359"/>
    <mergeCell ref="BI359:BK359"/>
    <mergeCell ref="BO359:BQ359"/>
    <mergeCell ref="CA359:CC359"/>
    <mergeCell ref="CM347:CO347"/>
    <mergeCell ref="Y353:AA353"/>
    <mergeCell ref="AK353:AM353"/>
    <mergeCell ref="AW353:AY353"/>
    <mergeCell ref="BI353:BK353"/>
    <mergeCell ref="BO353:BQ353"/>
    <mergeCell ref="CA353:CC353"/>
    <mergeCell ref="CM353:CO353"/>
    <mergeCell ref="Y347:AA347"/>
    <mergeCell ref="AK347:AM347"/>
    <mergeCell ref="AW347:AY347"/>
    <mergeCell ref="BI347:BK347"/>
    <mergeCell ref="BO347:BQ347"/>
    <mergeCell ref="CA347:CC347"/>
    <mergeCell ref="CM335:CO335"/>
    <mergeCell ref="Y341:AA341"/>
    <mergeCell ref="AK341:AM341"/>
    <mergeCell ref="AW341:AY341"/>
    <mergeCell ref="BI341:BK341"/>
    <mergeCell ref="BO341:BQ341"/>
    <mergeCell ref="CA341:CC341"/>
    <mergeCell ref="CM341:CO341"/>
    <mergeCell ref="Y335:AA335"/>
    <mergeCell ref="AK335:AM335"/>
    <mergeCell ref="AW335:AY335"/>
    <mergeCell ref="BI335:BK335"/>
    <mergeCell ref="BO335:BQ335"/>
    <mergeCell ref="CA335:CC335"/>
    <mergeCell ref="CM323:CO323"/>
    <mergeCell ref="Y329:AA329"/>
    <mergeCell ref="AK329:AM329"/>
    <mergeCell ref="AW329:AY329"/>
    <mergeCell ref="BI329:BK329"/>
    <mergeCell ref="BO329:BQ329"/>
    <mergeCell ref="CA329:CC329"/>
    <mergeCell ref="CM329:CO329"/>
    <mergeCell ref="Y323:AA323"/>
    <mergeCell ref="AK323:AM323"/>
    <mergeCell ref="AW323:AY323"/>
    <mergeCell ref="BI323:BK323"/>
    <mergeCell ref="BO323:BQ323"/>
    <mergeCell ref="CA323:CC323"/>
    <mergeCell ref="CM311:CO311"/>
    <mergeCell ref="Y317:AA317"/>
    <mergeCell ref="AK317:AM317"/>
    <mergeCell ref="AW317:AY317"/>
    <mergeCell ref="BI317:BK317"/>
    <mergeCell ref="BO317:BQ317"/>
    <mergeCell ref="CA317:CC317"/>
    <mergeCell ref="CM317:CO317"/>
    <mergeCell ref="Y311:AA311"/>
    <mergeCell ref="AK311:AM311"/>
    <mergeCell ref="AW311:AY311"/>
    <mergeCell ref="BI311:BK311"/>
    <mergeCell ref="BO311:BQ311"/>
    <mergeCell ref="CA311:CC311"/>
    <mergeCell ref="CM299:CO299"/>
    <mergeCell ref="Y305:AA305"/>
    <mergeCell ref="AK305:AM305"/>
    <mergeCell ref="AW305:AY305"/>
    <mergeCell ref="BI305:BK305"/>
    <mergeCell ref="BO305:BQ305"/>
    <mergeCell ref="CA305:CC305"/>
    <mergeCell ref="CM305:CO305"/>
    <mergeCell ref="Y299:AA299"/>
    <mergeCell ref="AK299:AM299"/>
    <mergeCell ref="AW299:AY299"/>
    <mergeCell ref="BI299:BK299"/>
    <mergeCell ref="BO299:BQ299"/>
    <mergeCell ref="CA299:CC299"/>
    <mergeCell ref="CM287:CO287"/>
    <mergeCell ref="Y293:AA293"/>
    <mergeCell ref="AK293:AM293"/>
    <mergeCell ref="AW293:AY293"/>
    <mergeCell ref="BI293:BK293"/>
    <mergeCell ref="BO293:BQ293"/>
    <mergeCell ref="CA293:CC293"/>
    <mergeCell ref="CM293:CO293"/>
    <mergeCell ref="Y287:AA287"/>
    <mergeCell ref="AK287:AM287"/>
    <mergeCell ref="AW287:AY287"/>
    <mergeCell ref="BI287:BK287"/>
    <mergeCell ref="BO287:BQ287"/>
    <mergeCell ref="CA287:CC287"/>
    <mergeCell ref="CM275:CO275"/>
    <mergeCell ref="Y281:AA281"/>
    <mergeCell ref="AK281:AM281"/>
    <mergeCell ref="AW281:AY281"/>
    <mergeCell ref="BI281:BK281"/>
    <mergeCell ref="BO281:BQ281"/>
    <mergeCell ref="CA281:CC281"/>
    <mergeCell ref="CM281:CO281"/>
    <mergeCell ref="Y275:AA275"/>
    <mergeCell ref="AK275:AM275"/>
    <mergeCell ref="AW275:AY275"/>
    <mergeCell ref="BI275:BK275"/>
    <mergeCell ref="BO275:BQ275"/>
    <mergeCell ref="CA275:CC275"/>
    <mergeCell ref="CM263:CO263"/>
    <mergeCell ref="Y269:AA269"/>
    <mergeCell ref="AK269:AM269"/>
    <mergeCell ref="AW269:AY269"/>
    <mergeCell ref="BI269:BK269"/>
    <mergeCell ref="BO269:BQ269"/>
    <mergeCell ref="CA269:CC269"/>
    <mergeCell ref="CM269:CO269"/>
    <mergeCell ref="Y263:AA263"/>
    <mergeCell ref="AK263:AM263"/>
    <mergeCell ref="AW263:AY263"/>
    <mergeCell ref="BI263:BK263"/>
    <mergeCell ref="BO263:BQ263"/>
    <mergeCell ref="CA263:CC263"/>
    <mergeCell ref="CM251:CO251"/>
    <mergeCell ref="Y257:AA257"/>
    <mergeCell ref="AK257:AM257"/>
    <mergeCell ref="AW257:AY257"/>
    <mergeCell ref="BI257:BK257"/>
    <mergeCell ref="BO257:BQ257"/>
    <mergeCell ref="CA257:CC257"/>
    <mergeCell ref="CM257:CO257"/>
    <mergeCell ref="Y251:AA251"/>
    <mergeCell ref="AK251:AM251"/>
    <mergeCell ref="AW251:AY251"/>
    <mergeCell ref="BI251:BK251"/>
    <mergeCell ref="BO251:BQ251"/>
    <mergeCell ref="CA251:CC251"/>
    <mergeCell ref="CM239:CO239"/>
    <mergeCell ref="Y245:AA245"/>
    <mergeCell ref="AK245:AM245"/>
    <mergeCell ref="AW245:AY245"/>
    <mergeCell ref="BI245:BK245"/>
    <mergeCell ref="BO245:BQ245"/>
    <mergeCell ref="CA245:CC245"/>
    <mergeCell ref="CM245:CO245"/>
    <mergeCell ref="Y239:AA239"/>
    <mergeCell ref="AK239:AM239"/>
    <mergeCell ref="AW239:AY239"/>
    <mergeCell ref="BI239:BK239"/>
    <mergeCell ref="BO239:BQ239"/>
    <mergeCell ref="CA239:CC239"/>
    <mergeCell ref="CM227:CO227"/>
    <mergeCell ref="Y233:AA233"/>
    <mergeCell ref="AK233:AM233"/>
    <mergeCell ref="AW233:AY233"/>
    <mergeCell ref="BI233:BK233"/>
    <mergeCell ref="BO233:BQ233"/>
    <mergeCell ref="CA233:CC233"/>
    <mergeCell ref="CM233:CO233"/>
    <mergeCell ref="Y227:AA227"/>
    <mergeCell ref="AK227:AM227"/>
    <mergeCell ref="AW227:AY227"/>
    <mergeCell ref="BI227:BK227"/>
    <mergeCell ref="BO227:BQ227"/>
    <mergeCell ref="CA227:CC227"/>
    <mergeCell ref="CM215:CO215"/>
    <mergeCell ref="Y221:AA221"/>
    <mergeCell ref="AK221:AM221"/>
    <mergeCell ref="AW221:AY221"/>
    <mergeCell ref="BI221:BK221"/>
    <mergeCell ref="BO221:BQ221"/>
    <mergeCell ref="CA221:CC221"/>
    <mergeCell ref="CM221:CO221"/>
    <mergeCell ref="Y215:AA215"/>
    <mergeCell ref="AK215:AM215"/>
    <mergeCell ref="AW215:AY215"/>
    <mergeCell ref="BI215:BK215"/>
    <mergeCell ref="BO215:BQ215"/>
    <mergeCell ref="CA215:CC215"/>
    <mergeCell ref="CM203:CO203"/>
    <mergeCell ref="Y209:AA209"/>
    <mergeCell ref="AK209:AM209"/>
    <mergeCell ref="AW209:AY209"/>
    <mergeCell ref="BI209:BK209"/>
    <mergeCell ref="BO209:BQ209"/>
    <mergeCell ref="CA209:CC209"/>
    <mergeCell ref="CM209:CO209"/>
    <mergeCell ref="Y203:AA203"/>
    <mergeCell ref="AK203:AM203"/>
    <mergeCell ref="AW203:AY203"/>
    <mergeCell ref="BI203:BK203"/>
    <mergeCell ref="BO203:BQ203"/>
    <mergeCell ref="CA203:CC203"/>
    <mergeCell ref="CM191:CO191"/>
    <mergeCell ref="Y197:AA197"/>
    <mergeCell ref="AK197:AM197"/>
    <mergeCell ref="AW197:AY197"/>
    <mergeCell ref="BI197:BK197"/>
    <mergeCell ref="BO197:BQ197"/>
    <mergeCell ref="CA197:CC197"/>
    <mergeCell ref="CM197:CO197"/>
    <mergeCell ref="Y191:AA191"/>
    <mergeCell ref="AK191:AM191"/>
    <mergeCell ref="AW191:AY191"/>
    <mergeCell ref="BI191:BK191"/>
    <mergeCell ref="BO191:BQ191"/>
    <mergeCell ref="CA191:CC191"/>
    <mergeCell ref="CM179:CO179"/>
    <mergeCell ref="Y185:AA185"/>
    <mergeCell ref="AK185:AM185"/>
    <mergeCell ref="AW185:AY185"/>
    <mergeCell ref="BI185:BK185"/>
    <mergeCell ref="BO185:BQ185"/>
    <mergeCell ref="CA185:CC185"/>
    <mergeCell ref="CM185:CO185"/>
    <mergeCell ref="Y179:AA179"/>
    <mergeCell ref="AK179:AM179"/>
    <mergeCell ref="AW179:AY179"/>
    <mergeCell ref="BI179:BK179"/>
    <mergeCell ref="BO179:BQ179"/>
    <mergeCell ref="CA179:CC179"/>
    <mergeCell ref="Y161:AA161"/>
    <mergeCell ref="AK161:AM161"/>
    <mergeCell ref="AW161:AY161"/>
    <mergeCell ref="BI161:BK161"/>
    <mergeCell ref="BO161:BQ161"/>
    <mergeCell ref="CA161:CC161"/>
    <mergeCell ref="CM161:CO161"/>
    <mergeCell ref="CM167:CO167"/>
    <mergeCell ref="Y173:AA173"/>
    <mergeCell ref="AK173:AM173"/>
    <mergeCell ref="AW173:AY173"/>
    <mergeCell ref="BI173:BK173"/>
    <mergeCell ref="BO173:BQ173"/>
    <mergeCell ref="CA173:CC173"/>
    <mergeCell ref="CM173:CO173"/>
    <mergeCell ref="Y167:AA167"/>
    <mergeCell ref="AK167:AM167"/>
    <mergeCell ref="AW167:AY167"/>
    <mergeCell ref="BI167:BK167"/>
    <mergeCell ref="BO167:BQ167"/>
    <mergeCell ref="CA167:CC167"/>
    <mergeCell ref="Y155:AA155"/>
    <mergeCell ref="AK155:AM155"/>
    <mergeCell ref="AW155:AY155"/>
    <mergeCell ref="BI155:BK155"/>
    <mergeCell ref="BO155:BQ155"/>
    <mergeCell ref="Y149:AA149"/>
    <mergeCell ref="AK149:AM149"/>
    <mergeCell ref="CA155:CC155"/>
    <mergeCell ref="CM155:CO155"/>
    <mergeCell ref="Y143:AA143"/>
    <mergeCell ref="AK143:AM143"/>
    <mergeCell ref="AW143:AY143"/>
    <mergeCell ref="BI143:BK143"/>
    <mergeCell ref="BO143:BQ143"/>
    <mergeCell ref="CA143:CC143"/>
    <mergeCell ref="CM143:CO143"/>
    <mergeCell ref="AW149:AY149"/>
    <mergeCell ref="BI149:BK149"/>
    <mergeCell ref="BO149:BQ149"/>
    <mergeCell ref="CA149:CC149"/>
    <mergeCell ref="CM149:CO149"/>
    <mergeCell ref="Y131:AA131"/>
    <mergeCell ref="AK131:AM131"/>
    <mergeCell ref="AW131:AY131"/>
    <mergeCell ref="BI131:BK131"/>
    <mergeCell ref="BO131:BQ131"/>
    <mergeCell ref="CA131:CC131"/>
    <mergeCell ref="CM131:CO131"/>
    <mergeCell ref="Y137:AA137"/>
    <mergeCell ref="AK137:AM137"/>
    <mergeCell ref="AW137:AY137"/>
    <mergeCell ref="BI137:BK137"/>
    <mergeCell ref="BO137:BQ137"/>
    <mergeCell ref="CA137:CC137"/>
    <mergeCell ref="CM137:CO137"/>
    <mergeCell ref="CM119:CO119"/>
    <mergeCell ref="Y125:AA125"/>
    <mergeCell ref="AK125:AM125"/>
    <mergeCell ref="AW125:AY125"/>
    <mergeCell ref="BI125:BK125"/>
    <mergeCell ref="BO125:BQ125"/>
    <mergeCell ref="CA125:CC125"/>
    <mergeCell ref="CM125:CO125"/>
    <mergeCell ref="Y119:AA119"/>
    <mergeCell ref="AK119:AM119"/>
    <mergeCell ref="AW119:AY119"/>
    <mergeCell ref="BI119:BK119"/>
    <mergeCell ref="BO119:BQ119"/>
    <mergeCell ref="CA119:CC119"/>
    <mergeCell ref="CM107:CO107"/>
    <mergeCell ref="Y113:AA113"/>
    <mergeCell ref="AK113:AM113"/>
    <mergeCell ref="AW113:AY113"/>
    <mergeCell ref="BI113:BK113"/>
    <mergeCell ref="BO113:BQ113"/>
    <mergeCell ref="CA113:CC113"/>
    <mergeCell ref="CM113:CO113"/>
    <mergeCell ref="Y107:AA107"/>
    <mergeCell ref="AK107:AM107"/>
    <mergeCell ref="AW107:AY107"/>
    <mergeCell ref="BI107:BK107"/>
    <mergeCell ref="BO107:BQ107"/>
    <mergeCell ref="CA107:CC107"/>
    <mergeCell ref="CM95:CO95"/>
    <mergeCell ref="Y101:AA101"/>
    <mergeCell ref="AK101:AM101"/>
    <mergeCell ref="AW101:AY101"/>
    <mergeCell ref="BI101:BK101"/>
    <mergeCell ref="BO101:BQ101"/>
    <mergeCell ref="CA101:CC101"/>
    <mergeCell ref="CM101:CO101"/>
    <mergeCell ref="Y95:AA95"/>
    <mergeCell ref="AK95:AM95"/>
    <mergeCell ref="AW95:AY95"/>
    <mergeCell ref="BI95:BK95"/>
    <mergeCell ref="BO95:BQ95"/>
    <mergeCell ref="CA95:CC95"/>
    <mergeCell ref="CM83:CO83"/>
    <mergeCell ref="Y89:AA89"/>
    <mergeCell ref="AK89:AM89"/>
    <mergeCell ref="AW89:AY89"/>
    <mergeCell ref="BI89:BK89"/>
    <mergeCell ref="BO89:BQ89"/>
    <mergeCell ref="CA89:CC89"/>
    <mergeCell ref="CM89:CO89"/>
    <mergeCell ref="Y83:AA83"/>
    <mergeCell ref="AK83:AM83"/>
    <mergeCell ref="AW83:AY83"/>
    <mergeCell ref="BI83:BK83"/>
    <mergeCell ref="BO83:BQ83"/>
    <mergeCell ref="CA83:CC83"/>
    <mergeCell ref="CM71:CO71"/>
    <mergeCell ref="Y77:AA77"/>
    <mergeCell ref="AK77:AM77"/>
    <mergeCell ref="AW77:AY77"/>
    <mergeCell ref="BI77:BK77"/>
    <mergeCell ref="BO77:BQ77"/>
    <mergeCell ref="CA77:CC77"/>
    <mergeCell ref="CM77:CO77"/>
    <mergeCell ref="Y71:AA71"/>
    <mergeCell ref="AK71:AM71"/>
    <mergeCell ref="AW71:AY71"/>
    <mergeCell ref="BI71:BK71"/>
    <mergeCell ref="BO71:BQ71"/>
    <mergeCell ref="CA71:CC71"/>
    <mergeCell ref="AW65:AY65"/>
    <mergeCell ref="BI65:BK65"/>
    <mergeCell ref="BO65:BQ65"/>
    <mergeCell ref="CA65:CC65"/>
    <mergeCell ref="CM65:CO65"/>
    <mergeCell ref="C66:C67"/>
    <mergeCell ref="D66:D67"/>
    <mergeCell ref="C62:C63"/>
    <mergeCell ref="D62:D63"/>
    <mergeCell ref="C64:C65"/>
    <mergeCell ref="D64:D65"/>
    <mergeCell ref="Y65:AA65"/>
    <mergeCell ref="AK65:AM65"/>
    <mergeCell ref="AW59:AY59"/>
    <mergeCell ref="BI59:BK59"/>
    <mergeCell ref="BO59:BQ59"/>
    <mergeCell ref="CA59:CC59"/>
    <mergeCell ref="CM59:CO59"/>
    <mergeCell ref="C60:C61"/>
    <mergeCell ref="D60:D61"/>
    <mergeCell ref="C56:C57"/>
    <mergeCell ref="D56:D57"/>
    <mergeCell ref="C58:C59"/>
    <mergeCell ref="D58:D59"/>
    <mergeCell ref="Y59:AA59"/>
    <mergeCell ref="AK59:AM59"/>
    <mergeCell ref="AW53:AY53"/>
    <mergeCell ref="BI53:BK53"/>
    <mergeCell ref="BO53:BQ53"/>
    <mergeCell ref="CA53:CC53"/>
    <mergeCell ref="CM53:CO53"/>
    <mergeCell ref="C54:C55"/>
    <mergeCell ref="D54:D55"/>
    <mergeCell ref="C50:C51"/>
    <mergeCell ref="D50:D51"/>
    <mergeCell ref="C52:C53"/>
    <mergeCell ref="D52:D53"/>
    <mergeCell ref="Y53:AA53"/>
    <mergeCell ref="AK53:AM53"/>
    <mergeCell ref="AW47:AY47"/>
    <mergeCell ref="BI47:BK47"/>
    <mergeCell ref="BO47:BQ47"/>
    <mergeCell ref="CA47:CC47"/>
    <mergeCell ref="CM47:CO47"/>
    <mergeCell ref="C48:C49"/>
    <mergeCell ref="D48:D49"/>
    <mergeCell ref="C44:C45"/>
    <mergeCell ref="D44:D45"/>
    <mergeCell ref="C46:C47"/>
    <mergeCell ref="D46:D47"/>
    <mergeCell ref="Y47:AA47"/>
    <mergeCell ref="AK47:AM47"/>
    <mergeCell ref="BI41:BK41"/>
    <mergeCell ref="BO41:BQ41"/>
    <mergeCell ref="CA41:CC41"/>
    <mergeCell ref="CM41:CO41"/>
    <mergeCell ref="C42:C43"/>
    <mergeCell ref="D42:D43"/>
    <mergeCell ref="CM35:CO35"/>
    <mergeCell ref="C36:C37"/>
    <mergeCell ref="D36:D37"/>
    <mergeCell ref="C38:C39"/>
    <mergeCell ref="D38:D39"/>
    <mergeCell ref="C40:C41"/>
    <mergeCell ref="D40:D41"/>
    <mergeCell ref="Y41:AA41"/>
    <mergeCell ref="AK41:AM41"/>
    <mergeCell ref="AW41:AY41"/>
    <mergeCell ref="Y35:AA35"/>
    <mergeCell ref="AK35:AM35"/>
    <mergeCell ref="AW35:AY35"/>
    <mergeCell ref="BI35:BK35"/>
    <mergeCell ref="BO35:BQ35"/>
    <mergeCell ref="CA35:CC35"/>
    <mergeCell ref="B32:B33"/>
    <mergeCell ref="C32:C33"/>
    <mergeCell ref="D32:D33"/>
    <mergeCell ref="B34:B35"/>
    <mergeCell ref="C34:C35"/>
    <mergeCell ref="D34:D35"/>
    <mergeCell ref="BI29:BK29"/>
    <mergeCell ref="BO29:BQ29"/>
    <mergeCell ref="CA29:CC29"/>
    <mergeCell ref="CM29:CO29"/>
    <mergeCell ref="B30:B31"/>
    <mergeCell ref="C30:C31"/>
    <mergeCell ref="D30:D31"/>
    <mergeCell ref="B28:B29"/>
    <mergeCell ref="C28:C29"/>
    <mergeCell ref="D28:D29"/>
    <mergeCell ref="Y29:AA29"/>
    <mergeCell ref="AK29:AM29"/>
    <mergeCell ref="AW29:AY29"/>
    <mergeCell ref="B24:B25"/>
    <mergeCell ref="C24:C25"/>
    <mergeCell ref="D24:D25"/>
    <mergeCell ref="B26:B27"/>
    <mergeCell ref="C26:C27"/>
    <mergeCell ref="D26:D27"/>
    <mergeCell ref="Y23:AA23"/>
    <mergeCell ref="AK23:AM23"/>
    <mergeCell ref="BI23:BK23"/>
    <mergeCell ref="BO23:BQ23"/>
    <mergeCell ref="CA23:CC23"/>
    <mergeCell ref="CM23:CO23"/>
    <mergeCell ref="B20:B21"/>
    <mergeCell ref="C20:C21"/>
    <mergeCell ref="D20:D21"/>
    <mergeCell ref="B22:B23"/>
    <mergeCell ref="C22:C23"/>
    <mergeCell ref="D22:D23"/>
    <mergeCell ref="BO17:BQ17"/>
    <mergeCell ref="CA17:CC17"/>
    <mergeCell ref="CM17:CO17"/>
    <mergeCell ref="B18:B19"/>
    <mergeCell ref="C18:C19"/>
    <mergeCell ref="D18:D19"/>
    <mergeCell ref="B16:B17"/>
    <mergeCell ref="C16:C17"/>
    <mergeCell ref="D16:D17"/>
    <mergeCell ref="Y17:AA17"/>
    <mergeCell ref="AK17:AM17"/>
    <mergeCell ref="BI17:BK17"/>
    <mergeCell ref="CA11:CC11"/>
    <mergeCell ref="CM11:CO11"/>
    <mergeCell ref="B12:B13"/>
    <mergeCell ref="C12:C13"/>
    <mergeCell ref="D12:D13"/>
    <mergeCell ref="B14:B15"/>
    <mergeCell ref="C14:C15"/>
    <mergeCell ref="D14:D15"/>
    <mergeCell ref="B10:B11"/>
    <mergeCell ref="C10:C11"/>
    <mergeCell ref="D10:D11"/>
    <mergeCell ref="Y11:AA11"/>
    <mergeCell ref="AK11:AM11"/>
    <mergeCell ref="BO11:BQ11"/>
    <mergeCell ref="CA5:CC5"/>
    <mergeCell ref="CM5:CO5"/>
    <mergeCell ref="B6:B7"/>
    <mergeCell ref="C6:C7"/>
    <mergeCell ref="D6:D7"/>
    <mergeCell ref="B8:B9"/>
    <mergeCell ref="C8:C9"/>
    <mergeCell ref="D8:D9"/>
    <mergeCell ref="B4:B5"/>
    <mergeCell ref="C4:C5"/>
    <mergeCell ref="D4:D5"/>
    <mergeCell ref="Y5:AA5"/>
    <mergeCell ref="AK5:AM5"/>
    <mergeCell ref="BO5:BQ5"/>
  </mergeCells>
  <pageMargins left="0.15748031496062992" right="0.51181102362204722" top="0.15748031496062992" bottom="0.15748031496062992" header="0.15748031496062992" footer="0.15748031496062992"/>
  <pageSetup paperSize="9" scale="28" orientation="landscape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DD387"/>
  <sheetViews>
    <sheetView showGridLines="0" view="pageBreakPreview" topLeftCell="A25" zoomScale="30" zoomScaleNormal="40" zoomScaleSheetLayoutView="30" workbookViewId="0">
      <selection activeCell="E19" sqref="E19"/>
    </sheetView>
  </sheetViews>
  <sheetFormatPr defaultRowHeight="18" customHeight="1"/>
  <cols>
    <col min="1" max="1" width="16.85546875" style="49" customWidth="1"/>
    <col min="2" max="2" width="5.28515625" style="418" customWidth="1"/>
    <col min="3" max="3" width="10.42578125" style="155" customWidth="1"/>
    <col min="4" max="4" width="10.42578125" style="101" customWidth="1"/>
    <col min="5" max="5" width="69.7109375" style="105" customWidth="1"/>
    <col min="6" max="6" width="92.7109375" style="101" customWidth="1"/>
    <col min="7" max="7" width="73" style="101" customWidth="1"/>
    <col min="8" max="8" width="78.28515625" style="101" customWidth="1"/>
    <col min="9" max="9" width="72.42578125" style="110" customWidth="1"/>
    <col min="10" max="10" width="57.140625" style="110" customWidth="1"/>
    <col min="11" max="11" width="64.28515625" style="110" customWidth="1"/>
    <col min="12" max="12" width="8.42578125" style="49" customWidth="1"/>
    <col min="13" max="13" width="6.85546875" style="49" customWidth="1"/>
    <col min="14" max="14" width="9.140625" style="49"/>
    <col min="15" max="15" width="17.85546875" style="58" customWidth="1"/>
    <col min="16" max="16" width="27.140625" style="58" customWidth="1"/>
    <col min="17" max="19" width="9.140625" style="55"/>
    <col min="20" max="20" width="14.5703125" style="193" bestFit="1" customWidth="1"/>
    <col min="21" max="21" width="19.140625" style="194" customWidth="1"/>
    <col min="22" max="22" width="90.42578125" style="193" customWidth="1"/>
    <col min="23" max="23" width="9.140625" style="193"/>
    <col min="24" max="24" width="9.140625" style="194"/>
    <col min="25" max="25" width="9.140625" style="195"/>
    <col min="26" max="26" width="9.140625" style="196"/>
    <col min="27" max="27" width="10.42578125" style="195" bestFit="1" customWidth="1"/>
    <col min="28" max="28" width="27.140625" style="58" customWidth="1"/>
    <col min="29" max="35" width="9.140625" style="55"/>
    <col min="36" max="36" width="9.140625" style="56"/>
    <col min="37" max="37" width="9.140625" style="58"/>
    <col min="38" max="38" width="9.140625" style="49"/>
    <col min="39" max="39" width="10.42578125" style="58" bestFit="1" customWidth="1"/>
    <col min="40" max="40" width="14.85546875" style="58" customWidth="1"/>
    <col min="41" max="47" width="9.140625" style="55"/>
    <col min="48" max="48" width="9.140625" style="56"/>
    <col min="49" max="49" width="9.140625" style="55"/>
    <col min="50" max="50" width="9.140625" style="57"/>
    <col min="51" max="51" width="12.7109375" style="58" customWidth="1"/>
    <col min="52" max="52" width="27.140625" style="58" customWidth="1"/>
    <col min="53" max="59" width="9.140625" style="55"/>
    <col min="60" max="60" width="9.140625" style="56"/>
    <col min="61" max="61" width="9.140625" style="55"/>
    <col min="62" max="62" width="9.140625" style="57"/>
    <col min="63" max="63" width="12.7109375" style="58" customWidth="1"/>
    <col min="64" max="64" width="27.140625" style="58" customWidth="1"/>
    <col min="65" max="71" width="9.140625" style="55"/>
    <col min="72" max="72" width="9.140625" style="56"/>
    <col min="73" max="73" width="9.140625" style="55"/>
    <col min="74" max="104" width="9.140625" style="49"/>
    <col min="105" max="105" width="9.140625" style="87"/>
    <col min="106" max="106" width="9.140625" style="88"/>
    <col min="107" max="107" width="9.140625" style="49"/>
    <col min="108" max="108" width="9.140625" style="87"/>
    <col min="109" max="16384" width="9.140625" style="49"/>
  </cols>
  <sheetData>
    <row r="1" spans="1:108" ht="132" customHeight="1">
      <c r="E1" s="101"/>
      <c r="F1" s="102"/>
      <c r="G1" s="117" t="s">
        <v>507</v>
      </c>
      <c r="H1" s="356">
        <f>MAX('startova listina'!C143:C190)</f>
        <v>24</v>
      </c>
      <c r="I1" s="117" t="s">
        <v>116</v>
      </c>
      <c r="J1" s="230" t="s">
        <v>499</v>
      </c>
      <c r="CZ1" s="49" t="s">
        <v>119</v>
      </c>
      <c r="DA1" s="95" t="s">
        <v>118</v>
      </c>
      <c r="DD1" s="87" t="s">
        <v>315</v>
      </c>
    </row>
    <row r="2" spans="1:108" ht="74.25" customHeight="1">
      <c r="E2" s="295" t="str">
        <f>CONCATENATE("Majstrovstvá Slovenska jednotlivcov, kategória ",'startova listina'!D3,", ročník ",'startova listina'!I3,", zmiešaná štvorhra")</f>
        <v>Majstrovstvá Slovenska jednotlivcov, kategória Mladší žiaci, ročník 2014, zmiešaná štvorhra</v>
      </c>
      <c r="G2" s="106"/>
      <c r="H2" s="225"/>
    </row>
    <row r="3" spans="1:108" ht="39.950000000000003" customHeight="1"/>
    <row r="4" spans="1:108" ht="60" customHeight="1" thickBot="1">
      <c r="A4" s="49" t="str">
        <f>CONCATENATE(F5,1)</f>
        <v>MIXP11</v>
      </c>
      <c r="B4" s="549"/>
      <c r="C4" s="537">
        <v>1</v>
      </c>
      <c r="D4" s="538">
        <v>1</v>
      </c>
      <c r="E4" s="107" t="str">
        <f>IF(ISERROR(IF($J$1="n","",IF($J$1="a",VLOOKUP(C4,vylosovanie!$D$143:$O$191,11,0),"")))=TRUE,"",IF($J$1="n","",IF($J$1="a",VLOOKUP(C4,vylosovanie!$D$143:$O$191,11,0),"")))</f>
        <v>KYSEL / LABOŠOVÁ</v>
      </c>
      <c r="F4" s="108" t="str">
        <f>IF(ISERROR(IF($J$1="n","",IF($J$1="a",VLOOKUP(C4,vylosovanie!$D$143:$O$191,12,0),"")))=TRUE,"",IF($J$1="n","",IF($J$1="a",VLOOKUP(C4,vylosovanie!$D$143:$O$191,12,0),"")))</f>
        <v>MSTK TVRDOŠÍN / ŠSTK JUNIOR ČAŇA</v>
      </c>
      <c r="G4" s="156"/>
      <c r="H4" s="106"/>
      <c r="L4" s="81"/>
      <c r="O4" s="58" t="str">
        <f>A4</f>
        <v>MIXP11</v>
      </c>
      <c r="P4" s="58" t="str">
        <f>E4</f>
        <v>KYSEL / LABOŠOVÁ</v>
      </c>
      <c r="T4" s="193">
        <f>IF(OR(ISERROR(V4)=TRUE,V4=0,V4="x",V4="",V4=" "),0,1)</f>
        <v>1</v>
      </c>
      <c r="U4" s="194">
        <v>1</v>
      </c>
      <c r="V4" s="193" t="str">
        <f>K35</f>
        <v>PINDURA / ŠINKAROVÁ</v>
      </c>
      <c r="CC4" s="49">
        <v>32</v>
      </c>
      <c r="CD4" s="49">
        <f>CC4-1</f>
        <v>31</v>
      </c>
      <c r="CE4" s="49">
        <f t="shared" ref="CE4:CR4" si="0">CD4-1</f>
        <v>30</v>
      </c>
      <c r="CF4" s="49">
        <f t="shared" si="0"/>
        <v>29</v>
      </c>
      <c r="CG4" s="49">
        <f t="shared" si="0"/>
        <v>28</v>
      </c>
      <c r="CH4" s="49">
        <f t="shared" si="0"/>
        <v>27</v>
      </c>
      <c r="CI4" s="49">
        <f t="shared" si="0"/>
        <v>26</v>
      </c>
      <c r="CJ4" s="49">
        <f t="shared" si="0"/>
        <v>25</v>
      </c>
      <c r="CK4" s="49">
        <f t="shared" si="0"/>
        <v>24</v>
      </c>
      <c r="CL4" s="49">
        <f t="shared" si="0"/>
        <v>23</v>
      </c>
      <c r="CM4" s="49">
        <f t="shared" si="0"/>
        <v>22</v>
      </c>
      <c r="CN4" s="49">
        <f t="shared" si="0"/>
        <v>21</v>
      </c>
      <c r="CO4" s="49">
        <f t="shared" si="0"/>
        <v>20</v>
      </c>
      <c r="CP4" s="49">
        <f t="shared" si="0"/>
        <v>19</v>
      </c>
      <c r="CQ4" s="49">
        <f>CP4-1</f>
        <v>18</v>
      </c>
      <c r="CR4" s="49">
        <f t="shared" si="0"/>
        <v>17</v>
      </c>
    </row>
    <row r="5" spans="1:108" ht="60" customHeight="1" thickBot="1">
      <c r="A5" s="49" t="str">
        <f>CONCATENATE(G7,1)</f>
        <v>MIXP171</v>
      </c>
      <c r="B5" s="549"/>
      <c r="C5" s="537"/>
      <c r="D5" s="538"/>
      <c r="E5" s="151"/>
      <c r="F5" s="157" t="s">
        <v>317</v>
      </c>
      <c r="G5" s="106" t="str">
        <f>IF(C4="x",E6,IF(C6="x",E4,VLOOKUP($A4,'zapisy k stolom'!$Y$5:$AC$3073,3,0)))</f>
        <v>KYSEL / LABOŠOVÁ</v>
      </c>
      <c r="H5" s="156"/>
      <c r="L5" s="81"/>
      <c r="O5" s="58" t="str">
        <f t="shared" ref="O5:O67" si="1">A5</f>
        <v>MIXP171</v>
      </c>
      <c r="P5" s="64" t="str">
        <f>G5</f>
        <v>KYSEL / LABOŠOVÁ</v>
      </c>
      <c r="T5" s="193">
        <f>IF(OR(ISERROR(V5)=TRUE,V5=0,V5="x",V5="",V5=" "),T4,T4+1)</f>
        <v>2</v>
      </c>
      <c r="U5" s="194">
        <v>2</v>
      </c>
      <c r="V5" s="193" t="str">
        <f>IF(K35=J19,J51,J19)</f>
        <v>KYSEL / LABOŠOVÁ</v>
      </c>
      <c r="W5" s="197"/>
      <c r="X5" s="197"/>
      <c r="AA5" s="198"/>
      <c r="AB5" s="64"/>
      <c r="AH5" s="531"/>
      <c r="AI5" s="531"/>
      <c r="AJ5" s="531"/>
      <c r="AM5" s="63"/>
      <c r="AN5" s="64"/>
      <c r="AT5" s="531"/>
      <c r="AU5" s="531"/>
      <c r="AV5" s="531"/>
      <c r="AY5" s="63"/>
      <c r="AZ5" s="64"/>
      <c r="BF5" s="531"/>
      <c r="BG5" s="531"/>
      <c r="BH5" s="531"/>
      <c r="BK5" s="63"/>
      <c r="BL5" s="64"/>
      <c r="BR5" s="531"/>
      <c r="BS5" s="531"/>
      <c r="BT5" s="531"/>
      <c r="BY5" s="89">
        <v>17</v>
      </c>
      <c r="BZ5" s="90">
        <v>30</v>
      </c>
      <c r="CB5" s="49">
        <v>1</v>
      </c>
      <c r="CC5" s="59" t="s">
        <v>120</v>
      </c>
      <c r="CD5" s="59" t="s">
        <v>120</v>
      </c>
      <c r="CE5" s="59" t="s">
        <v>120</v>
      </c>
      <c r="CF5" s="59" t="s">
        <v>120</v>
      </c>
      <c r="CG5" s="59" t="s">
        <v>120</v>
      </c>
      <c r="CH5" s="59" t="s">
        <v>120</v>
      </c>
      <c r="CI5" s="59" t="s">
        <v>120</v>
      </c>
      <c r="CJ5" s="59" t="s">
        <v>120</v>
      </c>
      <c r="CK5" s="59" t="s">
        <v>120</v>
      </c>
      <c r="CL5" s="59" t="s">
        <v>120</v>
      </c>
      <c r="CM5" s="59" t="s">
        <v>120</v>
      </c>
      <c r="CN5" s="59" t="s">
        <v>120</v>
      </c>
      <c r="CO5" s="59" t="s">
        <v>120</v>
      </c>
      <c r="CP5" s="59" t="s">
        <v>120</v>
      </c>
      <c r="CQ5" s="59" t="s">
        <v>120</v>
      </c>
      <c r="CR5" s="59" t="s">
        <v>120</v>
      </c>
      <c r="DC5" s="49">
        <f>IF(DD5="x",0,1)</f>
        <v>0</v>
      </c>
      <c r="DD5" s="87" t="str">
        <f>IF(G5=E4,E6,E4)</f>
        <v>X</v>
      </c>
    </row>
    <row r="6" spans="1:108" ht="60" customHeight="1" thickBot="1">
      <c r="A6" s="49" t="str">
        <f>CONCATENATE(F5,2)</f>
        <v>MIXP12</v>
      </c>
      <c r="B6" s="548">
        <v>4</v>
      </c>
      <c r="C6" s="537" t="str">
        <f>IF(HLOOKUP($H$1,$CB$4:$CR$35,D6+1,0)="x","X",D6)</f>
        <v>X</v>
      </c>
      <c r="D6" s="538">
        <v>2</v>
      </c>
      <c r="E6" s="107" t="str">
        <f>IF(ISERROR(IF($J$1="n","",IF($J$1="a",VLOOKUP(C6,vylosovanie!$D$143:$O$191,11,0),"")))=TRUE,"",IF($J$1="n","",IF($J$1="a",VLOOKUP(C6,vylosovanie!$D$143:$O$191,11,0),"")))</f>
        <v>X</v>
      </c>
      <c r="F6" s="108" t="str">
        <f>IF(ISERROR(IF($J$1="n","",IF($J$1="a",VLOOKUP(C6,vylosovanie!$D$143:$O$191,12,0),"")))=TRUE,"",IF($J$1="n","",IF($J$1="a",VLOOKUP(C6,vylosovanie!$D$143:$O$191,12,0),"")))</f>
        <v>X</v>
      </c>
      <c r="G6" s="167" t="str">
        <f>IF(G5="","",IF(OR(C4="x",C6="x"),"",VLOOKUP($A4,'zapisy k stolom'!$Y$5:$AC$3073,4,0)))</f>
        <v/>
      </c>
      <c r="H6" s="106"/>
      <c r="L6" s="81"/>
      <c r="O6" s="58" t="str">
        <f t="shared" si="1"/>
        <v>MIXP12</v>
      </c>
      <c r="P6" s="58" t="str">
        <f>E6</f>
        <v>X</v>
      </c>
      <c r="R6" s="56"/>
      <c r="S6" s="56"/>
      <c r="T6" s="193">
        <f t="shared" ref="T6:T35" si="2">IF(OR(ISERROR(V6)=TRUE,V6=0,V6="x",V6="",V6=" "),T5,T5+1)</f>
        <v>3</v>
      </c>
      <c r="U6" s="194">
        <v>3</v>
      </c>
      <c r="V6" s="193" t="str">
        <f>IF(J19=I11,I27,I11)</f>
        <v>FEČO / DZELINSKA</v>
      </c>
      <c r="AA6" s="199"/>
      <c r="AD6" s="56"/>
      <c r="AE6" s="56"/>
      <c r="AF6" s="56"/>
      <c r="AG6" s="56"/>
      <c r="AH6" s="56"/>
      <c r="AM6" s="70"/>
      <c r="AP6" s="56"/>
      <c r="AQ6" s="56"/>
      <c r="AR6" s="56"/>
      <c r="AS6" s="56"/>
      <c r="AT6" s="56"/>
      <c r="AY6" s="70"/>
      <c r="BB6" s="56"/>
      <c r="BC6" s="56"/>
      <c r="BD6" s="56"/>
      <c r="BE6" s="56"/>
      <c r="BF6" s="56"/>
      <c r="BK6" s="70"/>
      <c r="BN6" s="56"/>
      <c r="BO6" s="56"/>
      <c r="BP6" s="56"/>
      <c r="BQ6" s="56"/>
      <c r="BR6" s="56"/>
      <c r="BY6" s="91">
        <v>18</v>
      </c>
      <c r="BZ6" s="92">
        <v>19</v>
      </c>
      <c r="CB6" s="49">
        <f>CB5+1</f>
        <v>2</v>
      </c>
      <c r="CC6" s="59" t="s">
        <v>120</v>
      </c>
      <c r="CD6" s="59" t="s">
        <v>121</v>
      </c>
      <c r="CE6" s="59" t="s">
        <v>121</v>
      </c>
      <c r="CF6" s="59" t="s">
        <v>121</v>
      </c>
      <c r="CG6" s="59" t="s">
        <v>121</v>
      </c>
      <c r="CH6" s="59" t="s">
        <v>121</v>
      </c>
      <c r="CI6" s="59" t="s">
        <v>121</v>
      </c>
      <c r="CJ6" s="59" t="s">
        <v>121</v>
      </c>
      <c r="CK6" s="59" t="s">
        <v>121</v>
      </c>
      <c r="CL6" s="59" t="s">
        <v>121</v>
      </c>
      <c r="CM6" s="59" t="s">
        <v>121</v>
      </c>
      <c r="CN6" s="59" t="s">
        <v>121</v>
      </c>
      <c r="CO6" s="59" t="s">
        <v>121</v>
      </c>
      <c r="CP6" s="59" t="s">
        <v>121</v>
      </c>
      <c r="CQ6" s="59" t="s">
        <v>121</v>
      </c>
      <c r="CR6" s="59" t="s">
        <v>121</v>
      </c>
    </row>
    <row r="7" spans="1:108" ht="60" customHeight="1" thickBot="1">
      <c r="A7" s="49" t="str">
        <f>CONCATENATE(H11,1)</f>
        <v>MIXP251</v>
      </c>
      <c r="B7" s="548"/>
      <c r="C7" s="537"/>
      <c r="D7" s="538"/>
      <c r="G7" s="159" t="s">
        <v>333</v>
      </c>
      <c r="H7" s="123" t="str">
        <f>VLOOKUP($A5,'zapisy k stolom'!$Y$5:$AC$3073,3,0)</f>
        <v>KYSEL / LABOŠOVÁ</v>
      </c>
      <c r="I7" s="109"/>
      <c r="L7" s="81"/>
      <c r="O7" s="58" t="str">
        <f t="shared" si="1"/>
        <v>MIXP251</v>
      </c>
      <c r="P7" s="58" t="str">
        <f>H7</f>
        <v>KYSEL / LABOŠOVÁ</v>
      </c>
      <c r="R7" s="56"/>
      <c r="S7" s="56"/>
      <c r="T7" s="193">
        <f t="shared" si="2"/>
        <v>4</v>
      </c>
      <c r="U7" s="194">
        <v>4</v>
      </c>
      <c r="V7" s="193" t="str">
        <f>IF(J51=I43,I59,I43)</f>
        <v>DIKO / PEKOVÁ</v>
      </c>
      <c r="AA7" s="198"/>
      <c r="AD7" s="56"/>
      <c r="AE7" s="56"/>
      <c r="AF7" s="56"/>
      <c r="AG7" s="56"/>
      <c r="AH7" s="56"/>
      <c r="AM7" s="63"/>
      <c r="AP7" s="56"/>
      <c r="AQ7" s="56"/>
      <c r="AR7" s="56"/>
      <c r="AS7" s="56"/>
      <c r="AT7" s="56"/>
      <c r="AY7" s="63"/>
      <c r="BB7" s="56"/>
      <c r="BC7" s="56"/>
      <c r="BD7" s="56"/>
      <c r="BE7" s="56"/>
      <c r="BF7" s="56"/>
      <c r="BK7" s="63"/>
      <c r="BN7" s="56"/>
      <c r="BO7" s="56"/>
      <c r="BP7" s="56"/>
      <c r="BQ7" s="56"/>
      <c r="BR7" s="56"/>
      <c r="BY7" s="91">
        <v>19</v>
      </c>
      <c r="BZ7" s="92">
        <v>14</v>
      </c>
      <c r="CB7" s="49">
        <f t="shared" ref="CB7:CB36" si="3">CB6+1</f>
        <v>3</v>
      </c>
      <c r="CC7" s="59" t="s">
        <v>120</v>
      </c>
      <c r="CD7" s="59" t="s">
        <v>120</v>
      </c>
      <c r="CE7" s="59" t="s">
        <v>120</v>
      </c>
      <c r="CF7" s="59" t="s">
        <v>120</v>
      </c>
      <c r="CG7" s="59" t="s">
        <v>120</v>
      </c>
      <c r="CH7" s="59" t="s">
        <v>120</v>
      </c>
      <c r="CI7" s="59" t="s">
        <v>120</v>
      </c>
      <c r="CJ7" s="59" t="s">
        <v>120</v>
      </c>
      <c r="CK7" s="59" t="s">
        <v>120</v>
      </c>
      <c r="CL7" s="59" t="s">
        <v>120</v>
      </c>
      <c r="CM7" s="59" t="s">
        <v>120</v>
      </c>
      <c r="CN7" s="59" t="s">
        <v>120</v>
      </c>
      <c r="CO7" s="59" t="s">
        <v>120</v>
      </c>
      <c r="CP7" s="59" t="s">
        <v>120</v>
      </c>
      <c r="CQ7" s="59" t="s">
        <v>120</v>
      </c>
      <c r="CR7" s="59" t="s">
        <v>120</v>
      </c>
      <c r="DA7" s="96" t="str">
        <f>IF(H7=G5,G9,G5)</f>
        <v>MILAN / GAŠPARÍKOVÁ</v>
      </c>
    </row>
    <row r="8" spans="1:108" ht="60" customHeight="1" thickBot="1">
      <c r="A8" s="49" t="str">
        <f>CONCATENATE(F9,1)</f>
        <v>MIXP21</v>
      </c>
      <c r="B8" s="548">
        <v>4</v>
      </c>
      <c r="C8" s="537">
        <f t="shared" ref="C8" si="4">IF(HLOOKUP($H$1,$CB$4:$CR$35,D8+1,0)="x","X",D8)</f>
        <v>3</v>
      </c>
      <c r="D8" s="538">
        <v>3</v>
      </c>
      <c r="E8" s="107" t="str">
        <f>IF(ISERROR(IF($J$1="n","",IF($J$1="a",VLOOKUP(C8,vylosovanie!$D$143:$O$191,11,0),"")))=TRUE,"",IF($J$1="n","",IF($J$1="a",VLOOKUP(C8,vylosovanie!$D$143:$O$191,11,0),"")))</f>
        <v>VICO / HUDÁKOVÁ</v>
      </c>
      <c r="F8" s="108" t="str">
        <f>IF(ISERROR(IF($J$1="n","",IF($J$1="a",VLOOKUP(C8,vylosovanie!$D$143:$O$191,12,0),"")))=TRUE,"",IF($J$1="n","",IF($J$1="a",VLOOKUP(C8,vylosovanie!$D$143:$O$191,12,0),"")))</f>
        <v>STO VALALIKY / ZŠ VYŠNÝ ŽIPOV</v>
      </c>
      <c r="G8" s="109" t="str">
        <f>VLOOKUP($A5,'zapisy k stolom'!$Y$5:$AC$3073,5,0)</f>
        <v>Tbl.: 1   H: 14.55   D: So</v>
      </c>
      <c r="H8" s="166" t="str">
        <f>IF(H7="","",VLOOKUP($A5,'zapisy k stolom'!$Y$5:$AC$3073,4,0))</f>
        <v xml:space="preserve">3:0 ( 7,9,3,,,, ) </v>
      </c>
      <c r="I8" s="116"/>
      <c r="L8" s="57"/>
      <c r="M8" s="52"/>
      <c r="O8" s="58" t="str">
        <f t="shared" si="1"/>
        <v>MIXP21</v>
      </c>
      <c r="P8" s="58" t="str">
        <f>E8</f>
        <v>VICO / HUDÁKOVÁ</v>
      </c>
      <c r="R8" s="56"/>
      <c r="S8" s="56"/>
      <c r="T8" s="193">
        <f t="shared" si="2"/>
        <v>5</v>
      </c>
      <c r="U8" s="194">
        <v>5</v>
      </c>
      <c r="V8" s="193" t="str">
        <f>IF(I11=H7,H15,H7)</f>
        <v>HURKA / MAJERSKÁ</v>
      </c>
      <c r="AA8" s="198"/>
      <c r="AD8" s="56"/>
      <c r="AE8" s="56"/>
      <c r="AF8" s="56"/>
      <c r="AG8" s="56"/>
      <c r="AH8" s="56"/>
      <c r="AM8" s="63"/>
      <c r="AP8" s="56"/>
      <c r="AQ8" s="56"/>
      <c r="AR8" s="56"/>
      <c r="AS8" s="56"/>
      <c r="AT8" s="56"/>
      <c r="AY8" s="63"/>
      <c r="BB8" s="56"/>
      <c r="BC8" s="56"/>
      <c r="BD8" s="56"/>
      <c r="BE8" s="56"/>
      <c r="BF8" s="56"/>
      <c r="BK8" s="63"/>
      <c r="BN8" s="56"/>
      <c r="BO8" s="56"/>
      <c r="BP8" s="56"/>
      <c r="BQ8" s="56"/>
      <c r="BR8" s="56"/>
      <c r="BY8" s="91">
        <v>20</v>
      </c>
      <c r="BZ8" s="92">
        <v>11</v>
      </c>
      <c r="CB8" s="49">
        <f t="shared" si="3"/>
        <v>4</v>
      </c>
      <c r="CC8" s="59" t="s">
        <v>120</v>
      </c>
      <c r="CD8" s="59" t="s">
        <v>120</v>
      </c>
      <c r="CE8" s="59" t="s">
        <v>120</v>
      </c>
      <c r="CF8" s="59" t="s">
        <v>120</v>
      </c>
      <c r="CG8" s="59" t="s">
        <v>120</v>
      </c>
      <c r="CH8" s="59" t="s">
        <v>120</v>
      </c>
      <c r="CI8" s="59" t="s">
        <v>120</v>
      </c>
      <c r="CJ8" s="59" t="s">
        <v>120</v>
      </c>
      <c r="CK8" s="59" t="s">
        <v>120</v>
      </c>
      <c r="CL8" s="59" t="s">
        <v>120</v>
      </c>
      <c r="CM8" s="59" t="s">
        <v>120</v>
      </c>
      <c r="CN8" s="59" t="s">
        <v>120</v>
      </c>
      <c r="CO8" s="59" t="s">
        <v>120</v>
      </c>
      <c r="CP8" s="59" t="s">
        <v>120</v>
      </c>
      <c r="CQ8" s="59" t="s">
        <v>120</v>
      </c>
      <c r="CR8" s="59" t="s">
        <v>120</v>
      </c>
    </row>
    <row r="9" spans="1:108" ht="60" customHeight="1" thickBot="1">
      <c r="A9" s="49" t="str">
        <f>CONCATENATE(G7,2)</f>
        <v>MIXP172</v>
      </c>
      <c r="B9" s="548"/>
      <c r="C9" s="537"/>
      <c r="D9" s="538"/>
      <c r="E9" s="111" t="str">
        <f>VLOOKUP($A8,'zapisy k stolom'!$Y$5:$AC$3073,5,0)</f>
        <v>Tbl.: 1   H: 14.25   D: So</v>
      </c>
      <c r="F9" s="160" t="s">
        <v>318</v>
      </c>
      <c r="G9" s="161" t="str">
        <f>IF(C8="x",E10,IF(C10="x",E8,VLOOKUP($A8,'zapisy k stolom'!$Y$5:$AC$3073,3,0)))</f>
        <v>MILAN / GAŠPARÍKOVÁ</v>
      </c>
      <c r="H9" s="116"/>
      <c r="I9" s="116"/>
      <c r="L9" s="57"/>
      <c r="M9" s="52"/>
      <c r="O9" s="58" t="str">
        <f t="shared" si="1"/>
        <v>MIXP172</v>
      </c>
      <c r="P9" s="58" t="str">
        <f>G9</f>
        <v>MILAN / GAŠPARÍKOVÁ</v>
      </c>
      <c r="R9" s="56"/>
      <c r="S9" s="56"/>
      <c r="T9" s="193">
        <f t="shared" si="2"/>
        <v>6</v>
      </c>
      <c r="U9" s="194">
        <v>6</v>
      </c>
      <c r="V9" s="193" t="str">
        <f>IF(I27=H23,H31,H23)</f>
        <v>ĎANOVSKÝ / DIVINSKÁ</v>
      </c>
      <c r="AA9" s="198"/>
      <c r="AD9" s="56"/>
      <c r="AE9" s="56"/>
      <c r="AF9" s="56"/>
      <c r="AG9" s="56"/>
      <c r="AH9" s="56"/>
      <c r="AM9" s="63"/>
      <c r="AP9" s="56"/>
      <c r="AQ9" s="56"/>
      <c r="AR9" s="56"/>
      <c r="AS9" s="56"/>
      <c r="AT9" s="56"/>
      <c r="AY9" s="63"/>
      <c r="BB9" s="56"/>
      <c r="BC9" s="56"/>
      <c r="BD9" s="56"/>
      <c r="BE9" s="56"/>
      <c r="BF9" s="56"/>
      <c r="BK9" s="63"/>
      <c r="BN9" s="56"/>
      <c r="BO9" s="56"/>
      <c r="BP9" s="56"/>
      <c r="BQ9" s="56"/>
      <c r="BR9" s="56"/>
      <c r="BY9" s="91">
        <v>21</v>
      </c>
      <c r="BZ9" s="92">
        <v>22</v>
      </c>
      <c r="CB9" s="49">
        <f t="shared" si="3"/>
        <v>5</v>
      </c>
      <c r="CC9" s="59" t="s">
        <v>120</v>
      </c>
      <c r="CD9" s="59" t="s">
        <v>120</v>
      </c>
      <c r="CE9" s="59" t="s">
        <v>120</v>
      </c>
      <c r="CF9" s="59" t="s">
        <v>120</v>
      </c>
      <c r="CG9" s="59" t="s">
        <v>120</v>
      </c>
      <c r="CH9" s="59" t="s">
        <v>120</v>
      </c>
      <c r="CI9" s="59" t="s">
        <v>120</v>
      </c>
      <c r="CJ9" s="59" t="s">
        <v>120</v>
      </c>
      <c r="CK9" s="59" t="s">
        <v>120</v>
      </c>
      <c r="CL9" s="59" t="s">
        <v>120</v>
      </c>
      <c r="CM9" s="59" t="s">
        <v>120</v>
      </c>
      <c r="CN9" s="59" t="s">
        <v>120</v>
      </c>
      <c r="CO9" s="59" t="s">
        <v>120</v>
      </c>
      <c r="CP9" s="59" t="s">
        <v>120</v>
      </c>
      <c r="CQ9" s="59" t="s">
        <v>120</v>
      </c>
      <c r="CR9" s="59" t="s">
        <v>120</v>
      </c>
      <c r="DC9" s="49">
        <f>IF(DD9="x",0,MAX(DC$5:$DY8)+1)</f>
        <v>1</v>
      </c>
      <c r="DD9" s="87" t="str">
        <f>IF(G9=E8,E10,E8)</f>
        <v>VICO / HUDÁKOVÁ</v>
      </c>
    </row>
    <row r="10" spans="1:108" ht="60" customHeight="1" thickBot="1">
      <c r="A10" s="49" t="str">
        <f>CONCATENATE(F9,2)</f>
        <v>MIXP22</v>
      </c>
      <c r="B10" s="550">
        <v>3</v>
      </c>
      <c r="C10" s="537">
        <f t="shared" ref="C10" si="5">IF(HLOOKUP($H$1,$CB$4:$CR$35,D10+1,0)="x","X",D10)</f>
        <v>4</v>
      </c>
      <c r="D10" s="538">
        <v>4</v>
      </c>
      <c r="E10" s="107" t="str">
        <f>IF(ISERROR(IF($J$1="n","",IF($J$1="a",VLOOKUP(C10,vylosovanie!$D$143:$O$191,11,0),"")))=TRUE,"",IF($J$1="n","",IF($J$1="a",VLOOKUP(C10,vylosovanie!$D$143:$O$191,11,0),"")))</f>
        <v>MILAN / GAŠPARÍKOVÁ</v>
      </c>
      <c r="F10" s="114" t="str">
        <f>IF(ISERROR(IF($J$1="n","",IF($J$1="a",VLOOKUP(C10,vylosovanie!$D$143:$O$191,12,0),"")))=TRUE,"",IF($J$1="n","",IF($J$1="a",VLOOKUP(C10,vylosovanie!$D$143:$O$191,12,0),"")))</f>
        <v>1.PPC FORTUNA KEŽMAROK/TJ OBCE SPIŠSKÝ ŠTIAVNIK / TTC MAJCICHOV</v>
      </c>
      <c r="G10" s="168" t="str">
        <f>IF(G9="","",IF(OR(C8="x",C10="x"),"",VLOOKUP($A8,'zapisy k stolom'!$Y$5:$AC$3073,4,0)))</f>
        <v xml:space="preserve">3:1 ( 7,-9,2,8,,, ) </v>
      </c>
      <c r="H10" s="110"/>
      <c r="I10" s="116"/>
      <c r="L10" s="57"/>
      <c r="M10" s="52"/>
      <c r="O10" s="58" t="str">
        <f t="shared" si="1"/>
        <v>MIXP22</v>
      </c>
      <c r="P10" s="58" t="str">
        <f>E10</f>
        <v>MILAN / GAŠPARÍKOVÁ</v>
      </c>
      <c r="T10" s="193">
        <f t="shared" si="2"/>
        <v>7</v>
      </c>
      <c r="U10" s="194">
        <v>7</v>
      </c>
      <c r="V10" s="193" t="str">
        <f>IF(I43=H39,H47,H39)</f>
        <v>TUREK / DZUROVÁ</v>
      </c>
      <c r="BY10" s="91">
        <v>22</v>
      </c>
      <c r="BZ10" s="92">
        <v>27</v>
      </c>
      <c r="CB10" s="49">
        <f t="shared" si="3"/>
        <v>6</v>
      </c>
      <c r="CC10" s="59" t="s">
        <v>120</v>
      </c>
      <c r="CD10" s="59" t="s">
        <v>120</v>
      </c>
      <c r="CE10" s="59" t="s">
        <v>120</v>
      </c>
      <c r="CF10" s="59" t="s">
        <v>120</v>
      </c>
      <c r="CG10" s="59" t="s">
        <v>120</v>
      </c>
      <c r="CH10" s="59" t="s">
        <v>120</v>
      </c>
      <c r="CI10" s="59" t="s">
        <v>120</v>
      </c>
      <c r="CJ10" s="59" t="s">
        <v>120</v>
      </c>
      <c r="CK10" s="59" t="s">
        <v>120</v>
      </c>
      <c r="CL10" s="59" t="s">
        <v>121</v>
      </c>
      <c r="CM10" s="59" t="s">
        <v>121</v>
      </c>
      <c r="CN10" s="59" t="s">
        <v>121</v>
      </c>
      <c r="CO10" s="59" t="s">
        <v>121</v>
      </c>
      <c r="CP10" s="59" t="s">
        <v>121</v>
      </c>
      <c r="CQ10" s="59" t="s">
        <v>121</v>
      </c>
      <c r="CR10" s="59" t="s">
        <v>121</v>
      </c>
    </row>
    <row r="11" spans="1:108" ht="60" customHeight="1" thickBot="1">
      <c r="A11" s="49" t="str">
        <f>CONCATENATE(I19,1)</f>
        <v>MIXP291</v>
      </c>
      <c r="B11" s="550"/>
      <c r="C11" s="537"/>
      <c r="D11" s="538"/>
      <c r="G11" s="106"/>
      <c r="H11" s="159" t="s">
        <v>341</v>
      </c>
      <c r="I11" s="123" t="str">
        <f>VLOOKUP($A7,'zapisy k stolom'!$Y$5:$AC$3073,3,0)</f>
        <v>KYSEL / LABOŠOVÁ</v>
      </c>
      <c r="J11" s="109"/>
      <c r="L11" s="57"/>
      <c r="M11" s="52"/>
      <c r="O11" s="58" t="str">
        <f t="shared" si="1"/>
        <v>MIXP291</v>
      </c>
      <c r="P11" s="64" t="str">
        <f>I11</f>
        <v>KYSEL / LABOŠOVÁ</v>
      </c>
      <c r="T11" s="193">
        <f t="shared" si="2"/>
        <v>8</v>
      </c>
      <c r="U11" s="194">
        <v>8</v>
      </c>
      <c r="V11" s="193" t="str">
        <f>IF(I59=H55,H63,H55)</f>
        <v>PETRÍK / PAPCUNOVÁ</v>
      </c>
      <c r="W11" s="197"/>
      <c r="X11" s="197"/>
      <c r="AA11" s="198"/>
      <c r="AB11" s="64"/>
      <c r="AH11" s="531"/>
      <c r="AI11" s="531"/>
      <c r="AJ11" s="531"/>
      <c r="AM11" s="63"/>
      <c r="AN11" s="64"/>
      <c r="AT11" s="531"/>
      <c r="AU11" s="531"/>
      <c r="AV11" s="531"/>
      <c r="AY11" s="73"/>
      <c r="AZ11" s="64"/>
      <c r="BF11" s="531"/>
      <c r="BG11" s="531"/>
      <c r="BH11" s="531"/>
      <c r="BK11" s="73"/>
      <c r="BL11" s="64"/>
      <c r="BR11" s="531"/>
      <c r="BS11" s="531"/>
      <c r="BT11" s="531"/>
      <c r="BY11" s="91">
        <v>23</v>
      </c>
      <c r="BZ11" s="92">
        <v>6</v>
      </c>
      <c r="CB11" s="49">
        <f t="shared" si="3"/>
        <v>7</v>
      </c>
      <c r="CC11" s="59" t="s">
        <v>120</v>
      </c>
      <c r="CD11" s="59" t="s">
        <v>120</v>
      </c>
      <c r="CE11" s="59" t="s">
        <v>120</v>
      </c>
      <c r="CF11" s="59" t="s">
        <v>120</v>
      </c>
      <c r="CG11" s="59" t="s">
        <v>120</v>
      </c>
      <c r="CH11" s="59" t="s">
        <v>120</v>
      </c>
      <c r="CI11" s="59" t="s">
        <v>120</v>
      </c>
      <c r="CJ11" s="59" t="s">
        <v>120</v>
      </c>
      <c r="CK11" s="59" t="s">
        <v>121</v>
      </c>
      <c r="CL11" s="59" t="s">
        <v>121</v>
      </c>
      <c r="CM11" s="59" t="s">
        <v>121</v>
      </c>
      <c r="CN11" s="59" t="s">
        <v>121</v>
      </c>
      <c r="CO11" s="59" t="s">
        <v>121</v>
      </c>
      <c r="CP11" s="59" t="s">
        <v>121</v>
      </c>
      <c r="CQ11" s="59" t="s">
        <v>121</v>
      </c>
      <c r="CR11" s="59" t="s">
        <v>121</v>
      </c>
      <c r="CZ11" s="97" t="str">
        <f>IF(I11=H7,H15,H7)</f>
        <v>HURKA / MAJERSKÁ</v>
      </c>
    </row>
    <row r="12" spans="1:108" ht="60" customHeight="1" thickBot="1">
      <c r="A12" s="49" t="str">
        <f>CONCATENATE(F13,1)</f>
        <v>MIXP31</v>
      </c>
      <c r="B12" s="550">
        <v>3</v>
      </c>
      <c r="C12" s="537">
        <f t="shared" ref="C12" si="6">IF(HLOOKUP($H$1,$CB$4:$CR$35,D12+1,0)="x","X",D12)</f>
        <v>5</v>
      </c>
      <c r="D12" s="538">
        <v>5</v>
      </c>
      <c r="E12" s="107" t="str">
        <f>IF(ISERROR(IF($J$1="n","",IF($J$1="a",VLOOKUP(C12,vylosovanie!$D$143:$O$191,11,0),"")))=TRUE,"",IF($J$1="n","",IF($J$1="a",VLOOKUP(C12,vylosovanie!$D$143:$O$191,11,0),"")))</f>
        <v>PACH / VIŠŇOVSKÁ</v>
      </c>
      <c r="F12" s="108" t="str">
        <f>IF(ISERROR(IF($J$1="n","",IF($J$1="a",VLOOKUP(C12,vylosovanie!$D$143:$O$191,12,0),"")))=TRUE,"",IF($J$1="n","",IF($J$1="a",VLOOKUP(C12,vylosovanie!$D$143:$O$191,12,0),"")))</f>
        <v>STO VALALIKY / TTC INTERSPEAD N.ZÁMKY</v>
      </c>
      <c r="G12" s="156"/>
      <c r="H12" s="110" t="str">
        <f>VLOOKUP($A7,'zapisy k stolom'!$Y$5:$AC$3073,5,0)</f>
        <v>Tbl.: 1   H: 17.30   D: So</v>
      </c>
      <c r="I12" s="166" t="str">
        <f>IF(I11="","",VLOOKUP($A7,'zapisy k stolom'!$Y$5:$AC$3073,4,0))</f>
        <v xml:space="preserve">3:0 ( 8,4,3,,,, ) </v>
      </c>
      <c r="J12" s="116"/>
      <c r="L12" s="57"/>
      <c r="M12" s="52"/>
      <c r="O12" s="58" t="str">
        <f t="shared" si="1"/>
        <v>MIXP31</v>
      </c>
      <c r="P12" s="58" t="str">
        <f>E12</f>
        <v>PACH / VIŠŇOVSKÁ</v>
      </c>
      <c r="R12" s="56"/>
      <c r="S12" s="56"/>
      <c r="T12" s="193">
        <f t="shared" si="2"/>
        <v>9</v>
      </c>
      <c r="U12" s="194">
        <v>9</v>
      </c>
      <c r="V12" s="193" t="str">
        <f>IF(H7=G5,G9,G5)</f>
        <v>MILAN / GAŠPARÍKOVÁ</v>
      </c>
      <c r="AA12" s="198"/>
      <c r="AD12" s="56"/>
      <c r="AE12" s="56"/>
      <c r="AF12" s="56"/>
      <c r="AG12" s="56"/>
      <c r="AH12" s="56"/>
      <c r="AM12" s="63"/>
      <c r="AP12" s="56"/>
      <c r="AQ12" s="56"/>
      <c r="AR12" s="56"/>
      <c r="AS12" s="56"/>
      <c r="AT12" s="56"/>
      <c r="AY12" s="63"/>
      <c r="BB12" s="56"/>
      <c r="BC12" s="56"/>
      <c r="BD12" s="56"/>
      <c r="BE12" s="56"/>
      <c r="BF12" s="56"/>
      <c r="BK12" s="63"/>
      <c r="BN12" s="56"/>
      <c r="BO12" s="56"/>
      <c r="BP12" s="56"/>
      <c r="BQ12" s="56"/>
      <c r="BR12" s="56"/>
      <c r="BY12" s="91">
        <v>24</v>
      </c>
      <c r="BZ12" s="92">
        <v>7</v>
      </c>
      <c r="CB12" s="49">
        <f t="shared" si="3"/>
        <v>8</v>
      </c>
      <c r="CC12" s="59" t="s">
        <v>120</v>
      </c>
      <c r="CD12" s="59" t="s">
        <v>120</v>
      </c>
      <c r="CE12" s="59" t="s">
        <v>120</v>
      </c>
      <c r="CF12" s="59" t="s">
        <v>120</v>
      </c>
      <c r="CG12" s="59" t="s">
        <v>120</v>
      </c>
      <c r="CH12" s="59" t="s">
        <v>120</v>
      </c>
      <c r="CI12" s="59" t="s">
        <v>120</v>
      </c>
      <c r="CJ12" s="59" t="s">
        <v>120</v>
      </c>
      <c r="CK12" s="59" t="s">
        <v>120</v>
      </c>
      <c r="CL12" s="59" t="s">
        <v>120</v>
      </c>
      <c r="CM12" s="59" t="s">
        <v>120</v>
      </c>
      <c r="CN12" s="59" t="s">
        <v>120</v>
      </c>
      <c r="CO12" s="59" t="s">
        <v>120</v>
      </c>
      <c r="CP12" s="59" t="s">
        <v>120</v>
      </c>
      <c r="CQ12" s="59" t="s">
        <v>120</v>
      </c>
      <c r="CR12" s="59" t="s">
        <v>120</v>
      </c>
    </row>
    <row r="13" spans="1:108" ht="60" customHeight="1" thickBot="1">
      <c r="A13" s="49" t="str">
        <f>CONCATENATE(G15,1)</f>
        <v>MIXP181</v>
      </c>
      <c r="B13" s="550"/>
      <c r="C13" s="537"/>
      <c r="D13" s="538"/>
      <c r="E13" s="111" t="str">
        <f>VLOOKUP($A12,'zapisy k stolom'!$Y$5:$AC$3073,5,0)</f>
        <v>Tbl.: 2   H: 14.25   D: So</v>
      </c>
      <c r="F13" s="157" t="s">
        <v>319</v>
      </c>
      <c r="G13" s="106" t="str">
        <f>IF(C12="x",E14,IF(C14="x",E12,VLOOKUP($A12,'zapisy k stolom'!$Y$5:$AC$3073,3,0)))</f>
        <v>PACH / VIŠŇOVSKÁ</v>
      </c>
      <c r="H13" s="109"/>
      <c r="I13" s="116"/>
      <c r="J13" s="116"/>
      <c r="L13" s="57"/>
      <c r="M13" s="52"/>
      <c r="O13" s="58" t="str">
        <f t="shared" si="1"/>
        <v>MIXP181</v>
      </c>
      <c r="P13" s="58" t="str">
        <f>G13</f>
        <v>PACH / VIŠŇOVSKÁ</v>
      </c>
      <c r="R13" s="56"/>
      <c r="S13" s="56"/>
      <c r="T13" s="193">
        <f t="shared" si="2"/>
        <v>10</v>
      </c>
      <c r="U13" s="194">
        <v>10</v>
      </c>
      <c r="V13" s="193" t="str">
        <f>IF(H15=G13,G17,G13)</f>
        <v>PACH / VIŠŇOVSKÁ</v>
      </c>
      <c r="AA13" s="198"/>
      <c r="AD13" s="56"/>
      <c r="AE13" s="56"/>
      <c r="AF13" s="56"/>
      <c r="AG13" s="56"/>
      <c r="AH13" s="56"/>
      <c r="AM13" s="63"/>
      <c r="AP13" s="56"/>
      <c r="AQ13" s="56"/>
      <c r="AR13" s="56"/>
      <c r="AS13" s="56"/>
      <c r="AT13" s="56"/>
      <c r="AY13" s="63"/>
      <c r="BB13" s="56"/>
      <c r="BC13" s="56"/>
      <c r="BD13" s="56"/>
      <c r="BE13" s="56"/>
      <c r="BF13" s="56"/>
      <c r="BK13" s="63"/>
      <c r="BN13" s="56"/>
      <c r="BO13" s="56"/>
      <c r="BP13" s="56"/>
      <c r="BQ13" s="56"/>
      <c r="BR13" s="56"/>
      <c r="BY13" s="91">
        <v>25</v>
      </c>
      <c r="BZ13" s="92">
        <v>26</v>
      </c>
      <c r="CB13" s="49">
        <f t="shared" si="3"/>
        <v>9</v>
      </c>
      <c r="CC13" s="59" t="s">
        <v>120</v>
      </c>
      <c r="CD13" s="59" t="s">
        <v>120</v>
      </c>
      <c r="CE13" s="59" t="s">
        <v>120</v>
      </c>
      <c r="CF13" s="59" t="s">
        <v>120</v>
      </c>
      <c r="CG13" s="59" t="s">
        <v>120</v>
      </c>
      <c r="CH13" s="59" t="s">
        <v>120</v>
      </c>
      <c r="CI13" s="59" t="s">
        <v>120</v>
      </c>
      <c r="CJ13" s="59" t="s">
        <v>120</v>
      </c>
      <c r="CK13" s="59" t="s">
        <v>120</v>
      </c>
      <c r="CL13" s="59" t="s">
        <v>120</v>
      </c>
      <c r="CM13" s="59" t="s">
        <v>120</v>
      </c>
      <c r="CN13" s="59" t="s">
        <v>120</v>
      </c>
      <c r="CO13" s="59" t="s">
        <v>120</v>
      </c>
      <c r="CP13" s="59" t="s">
        <v>120</v>
      </c>
      <c r="CQ13" s="59" t="s">
        <v>120</v>
      </c>
      <c r="CR13" s="59" t="s">
        <v>120</v>
      </c>
      <c r="DC13" s="49">
        <f>IF(DD13="x",0,MAX(DC$5:$DY12)+1)</f>
        <v>2</v>
      </c>
      <c r="DD13" s="87" t="str">
        <f>IF(G13=E12,E14,E12)</f>
        <v>KAPUSTA / CHYLOVÁ</v>
      </c>
    </row>
    <row r="14" spans="1:108" ht="60" customHeight="1" thickBot="1">
      <c r="A14" s="49" t="str">
        <f>CONCATENATE(F13,2)</f>
        <v>MIXP32</v>
      </c>
      <c r="B14" s="548">
        <v>4</v>
      </c>
      <c r="C14" s="537">
        <f t="shared" ref="C14" si="7">IF(HLOOKUP($H$1,$CB$4:$CR$35,D14+1,0)="x","X",D14)</f>
        <v>6</v>
      </c>
      <c r="D14" s="538">
        <v>6</v>
      </c>
      <c r="E14" s="107" t="str">
        <f>IF(ISERROR(IF($J$1="n","",IF($J$1="a",VLOOKUP(C14,vylosovanie!$D$143:$O$191,11,0),"")))=TRUE,"",IF($J$1="n","",IF($J$1="a",VLOOKUP(C14,vylosovanie!$D$143:$O$191,11,0),"")))</f>
        <v>KAPUSTA / CHYLOVÁ</v>
      </c>
      <c r="F14" s="114" t="str">
        <f>IF(ISERROR(IF($J$1="n","",IF($J$1="a",VLOOKUP(C14,vylosovanie!$D$143:$O$191,12,0),"")))=TRUE,"",IF($J$1="n","",IF($J$1="a",VLOOKUP(C14,vylosovanie!$D$143:$O$191,12,0),"")))</f>
        <v>MSK ČADCA / MSTK TVRDOŠÍN</v>
      </c>
      <c r="G14" s="154" t="str">
        <f>IF(G13="","",IF(OR(C12="x",C14="x"),"",VLOOKUP($A12,'zapisy k stolom'!$Y$5:$AC$3073,4,0)))</f>
        <v xml:space="preserve">3:0 ( 11,2,9,,,, ) </v>
      </c>
      <c r="H14" s="116"/>
      <c r="I14" s="116"/>
      <c r="J14" s="116"/>
      <c r="L14" s="57"/>
      <c r="M14" s="52"/>
      <c r="O14" s="58" t="str">
        <f t="shared" si="1"/>
        <v>MIXP32</v>
      </c>
      <c r="P14" s="58" t="str">
        <f>E14</f>
        <v>KAPUSTA / CHYLOVÁ</v>
      </c>
      <c r="R14" s="56"/>
      <c r="S14" s="56"/>
      <c r="T14" s="193">
        <f t="shared" si="2"/>
        <v>11</v>
      </c>
      <c r="U14" s="194">
        <v>11</v>
      </c>
      <c r="V14" s="193" t="str">
        <f>IF(H23=G21,G25,G21)</f>
        <v>KLUČÁR / GORFOLOVÁ</v>
      </c>
      <c r="AA14" s="198"/>
      <c r="AD14" s="56"/>
      <c r="AE14" s="56"/>
      <c r="AF14" s="56"/>
      <c r="AG14" s="56"/>
      <c r="AH14" s="56"/>
      <c r="AM14" s="63"/>
      <c r="AP14" s="56"/>
      <c r="AQ14" s="56"/>
      <c r="AR14" s="56"/>
      <c r="AS14" s="56"/>
      <c r="AT14" s="56"/>
      <c r="AY14" s="63"/>
      <c r="BB14" s="56"/>
      <c r="BC14" s="56"/>
      <c r="BD14" s="56"/>
      <c r="BE14" s="56"/>
      <c r="BF14" s="56"/>
      <c r="BK14" s="63"/>
      <c r="BN14" s="56"/>
      <c r="BO14" s="56"/>
      <c r="BP14" s="56"/>
      <c r="BQ14" s="56"/>
      <c r="BR14" s="56"/>
      <c r="BY14" s="91">
        <v>26</v>
      </c>
      <c r="BZ14" s="92">
        <v>23</v>
      </c>
      <c r="CB14" s="49">
        <f t="shared" si="3"/>
        <v>10</v>
      </c>
      <c r="CC14" s="59" t="s">
        <v>120</v>
      </c>
      <c r="CD14" s="59" t="s">
        <v>120</v>
      </c>
      <c r="CE14" s="59" t="s">
        <v>120</v>
      </c>
      <c r="CF14" s="59" t="s">
        <v>120</v>
      </c>
      <c r="CG14" s="59" t="s">
        <v>120</v>
      </c>
      <c r="CH14" s="59" t="s">
        <v>121</v>
      </c>
      <c r="CI14" s="59" t="s">
        <v>121</v>
      </c>
      <c r="CJ14" s="59" t="s">
        <v>121</v>
      </c>
      <c r="CK14" s="59" t="s">
        <v>121</v>
      </c>
      <c r="CL14" s="59" t="s">
        <v>121</v>
      </c>
      <c r="CM14" s="59" t="s">
        <v>121</v>
      </c>
      <c r="CN14" s="59" t="s">
        <v>121</v>
      </c>
      <c r="CO14" s="59" t="s">
        <v>121</v>
      </c>
      <c r="CP14" s="59" t="s">
        <v>121</v>
      </c>
      <c r="CQ14" s="59" t="s">
        <v>121</v>
      </c>
      <c r="CR14" s="59" t="s">
        <v>121</v>
      </c>
    </row>
    <row r="15" spans="1:108" ht="60" customHeight="1" thickBot="1">
      <c r="A15" s="49" t="str">
        <f>CONCATENATE(H11,2)</f>
        <v>MIXP252</v>
      </c>
      <c r="B15" s="548"/>
      <c r="C15" s="537"/>
      <c r="D15" s="538"/>
      <c r="G15" s="159" t="s">
        <v>334</v>
      </c>
      <c r="H15" s="123" t="str">
        <f>VLOOKUP($A13,'zapisy k stolom'!$Y$5:$AC$3073,3,0)</f>
        <v>HURKA / MAJERSKÁ</v>
      </c>
      <c r="I15" s="116"/>
      <c r="J15" s="116"/>
      <c r="L15" s="57"/>
      <c r="M15" s="52"/>
      <c r="O15" s="58" t="str">
        <f t="shared" si="1"/>
        <v>MIXP252</v>
      </c>
      <c r="P15" s="58" t="str">
        <f>H15</f>
        <v>HURKA / MAJERSKÁ</v>
      </c>
      <c r="R15" s="56"/>
      <c r="S15" s="56"/>
      <c r="T15" s="193">
        <f t="shared" si="2"/>
        <v>12</v>
      </c>
      <c r="U15" s="194">
        <v>12</v>
      </c>
      <c r="V15" s="193" t="str">
        <f>IF(H31=G29,G33,G29)</f>
        <v>JALOVECKÝ / SLOBODNÍKOVÁ</v>
      </c>
      <c r="AA15" s="198"/>
      <c r="AD15" s="56"/>
      <c r="AE15" s="56"/>
      <c r="AF15" s="56"/>
      <c r="AG15" s="56"/>
      <c r="AH15" s="56"/>
      <c r="AM15" s="63"/>
      <c r="AP15" s="56"/>
      <c r="AQ15" s="56"/>
      <c r="AR15" s="56"/>
      <c r="AS15" s="56"/>
      <c r="AT15" s="56"/>
      <c r="AY15" s="63"/>
      <c r="BB15" s="56"/>
      <c r="BC15" s="56"/>
      <c r="BD15" s="56"/>
      <c r="BE15" s="56"/>
      <c r="BF15" s="56"/>
      <c r="BK15" s="63"/>
      <c r="BN15" s="56"/>
      <c r="BO15" s="56"/>
      <c r="BP15" s="56"/>
      <c r="BQ15" s="56"/>
      <c r="BR15" s="56"/>
      <c r="BY15" s="91">
        <v>27</v>
      </c>
      <c r="BZ15" s="92">
        <v>10</v>
      </c>
      <c r="CB15" s="49">
        <f t="shared" si="3"/>
        <v>11</v>
      </c>
      <c r="CC15" s="59" t="s">
        <v>120</v>
      </c>
      <c r="CD15" s="59" t="s">
        <v>120</v>
      </c>
      <c r="CE15" s="59" t="s">
        <v>120</v>
      </c>
      <c r="CF15" s="59" t="s">
        <v>120</v>
      </c>
      <c r="CG15" s="59" t="s">
        <v>120</v>
      </c>
      <c r="CH15" s="59" t="s">
        <v>120</v>
      </c>
      <c r="CI15" s="59" t="s">
        <v>120</v>
      </c>
      <c r="CJ15" s="59" t="s">
        <v>120</v>
      </c>
      <c r="CK15" s="59" t="s">
        <v>120</v>
      </c>
      <c r="CL15" s="59" t="s">
        <v>120</v>
      </c>
      <c r="CM15" s="59" t="s">
        <v>120</v>
      </c>
      <c r="CN15" s="59" t="s">
        <v>120</v>
      </c>
      <c r="CO15" s="59" t="s">
        <v>121</v>
      </c>
      <c r="CP15" s="59" t="s">
        <v>121</v>
      </c>
      <c r="CQ15" s="59" t="s">
        <v>121</v>
      </c>
      <c r="CR15" s="59" t="s">
        <v>121</v>
      </c>
      <c r="DA15" s="96" t="str">
        <f>IF(H15=G13,G17,G13)</f>
        <v>PACH / VIŠŇOVSKÁ</v>
      </c>
    </row>
    <row r="16" spans="1:108" ht="60" customHeight="1" thickBot="1">
      <c r="A16" s="49" t="str">
        <f>CONCATENATE(F17,1)</f>
        <v>MIXP41</v>
      </c>
      <c r="B16" s="548">
        <v>4</v>
      </c>
      <c r="C16" s="537" t="str">
        <f t="shared" ref="C16" si="8">IF(HLOOKUP($H$1,$CB$4:$CR$35,D16+1,0)="x","X",D16)</f>
        <v>X</v>
      </c>
      <c r="D16" s="538">
        <v>7</v>
      </c>
      <c r="E16" s="107" t="str">
        <f>IF(ISERROR(IF($J$1="n","",IF($J$1="a",VLOOKUP(C16,vylosovanie!$D$143:$O$191,11,0),"")))=TRUE,"",IF($J$1="n","",IF($J$1="a",VLOOKUP(C16,vylosovanie!$D$143:$O$191,11,0),"")))</f>
        <v>X</v>
      </c>
      <c r="F16" s="108" t="str">
        <f>IF(ISERROR(IF($J$1="n","",IF($J$1="a",VLOOKUP(C16,vylosovanie!$D$143:$O$191,12,0),"")))=TRUE,"",IF($J$1="n","",IF($J$1="a",VLOOKUP(C16,vylosovanie!$D$143:$O$191,12,0),"")))</f>
        <v>X</v>
      </c>
      <c r="G16" s="109" t="str">
        <f>VLOOKUP($A13,'zapisy k stolom'!$Y$5:$AC$3073,5,0)</f>
        <v>Tbl.: 2   H: 14.55   D: So</v>
      </c>
      <c r="H16" s="166" t="str">
        <f>IF(H15="","",VLOOKUP($A13,'zapisy k stolom'!$Y$5:$AC$3073,4,0))</f>
        <v xml:space="preserve">3:0 ( 5,4,8,,,, ) </v>
      </c>
      <c r="J16" s="116"/>
      <c r="L16" s="81"/>
      <c r="O16" s="58" t="str">
        <f t="shared" si="1"/>
        <v>MIXP41</v>
      </c>
      <c r="P16" s="58" t="str">
        <f>E16</f>
        <v>X</v>
      </c>
      <c r="T16" s="193">
        <f t="shared" si="2"/>
        <v>13</v>
      </c>
      <c r="U16" s="194">
        <v>13</v>
      </c>
      <c r="V16" s="193" t="str">
        <f>IF(H39=G37,G41,G37)</f>
        <v>MARUNIAK / VOJTASOVA</v>
      </c>
      <c r="BY16" s="91">
        <v>28</v>
      </c>
      <c r="BZ16" s="92">
        <v>15</v>
      </c>
      <c r="CB16" s="49">
        <f t="shared" si="3"/>
        <v>12</v>
      </c>
      <c r="CC16" s="59" t="s">
        <v>120</v>
      </c>
      <c r="CD16" s="59" t="s">
        <v>120</v>
      </c>
      <c r="CE16" s="59" t="s">
        <v>120</v>
      </c>
      <c r="CF16" s="59" t="s">
        <v>120</v>
      </c>
      <c r="CG16" s="59" t="s">
        <v>120</v>
      </c>
      <c r="CH16" s="59" t="s">
        <v>120</v>
      </c>
      <c r="CI16" s="59" t="s">
        <v>120</v>
      </c>
      <c r="CJ16" s="59" t="s">
        <v>120</v>
      </c>
      <c r="CK16" s="59" t="s">
        <v>120</v>
      </c>
      <c r="CL16" s="59" t="s">
        <v>120</v>
      </c>
      <c r="CM16" s="59" t="s">
        <v>120</v>
      </c>
      <c r="CN16" s="59" t="s">
        <v>120</v>
      </c>
      <c r="CO16" s="59" t="s">
        <v>120</v>
      </c>
      <c r="CP16" s="59" t="s">
        <v>120</v>
      </c>
      <c r="CQ16" s="59" t="s">
        <v>120</v>
      </c>
      <c r="CR16" s="59" t="s">
        <v>120</v>
      </c>
    </row>
    <row r="17" spans="1:108" ht="60" customHeight="1" thickBot="1">
      <c r="A17" s="49" t="str">
        <f>CONCATENATE(G15,2)</f>
        <v>MIXP182</v>
      </c>
      <c r="B17" s="548"/>
      <c r="C17" s="537"/>
      <c r="D17" s="538"/>
      <c r="E17" s="111"/>
      <c r="F17" s="157" t="s">
        <v>320</v>
      </c>
      <c r="G17" s="161" t="str">
        <f>IF(C16="x",E18,IF(C18="x",E16,VLOOKUP($A16,'zapisy k stolom'!$Y$5:$AC$3073,3,0)))</f>
        <v>HURKA / MAJERSKÁ</v>
      </c>
      <c r="H17" s="116"/>
      <c r="J17" s="116"/>
      <c r="L17" s="81"/>
      <c r="O17" s="58" t="str">
        <f t="shared" si="1"/>
        <v>MIXP182</v>
      </c>
      <c r="P17" s="64" t="str">
        <f>G17</f>
        <v>HURKA / MAJERSKÁ</v>
      </c>
      <c r="T17" s="193">
        <f t="shared" si="2"/>
        <v>14</v>
      </c>
      <c r="U17" s="194">
        <v>14</v>
      </c>
      <c r="V17" s="193" t="str">
        <f>IF(H47=G45,G49,G45)</f>
        <v>CYPRICH / ŠVAJDLENKOVÁ</v>
      </c>
      <c r="W17" s="197"/>
      <c r="X17" s="197"/>
      <c r="AA17" s="198"/>
      <c r="AB17" s="64"/>
      <c r="AH17" s="531"/>
      <c r="AI17" s="531"/>
      <c r="AJ17" s="531"/>
      <c r="AM17" s="63"/>
      <c r="AN17" s="64"/>
      <c r="AT17" s="531"/>
      <c r="AU17" s="531"/>
      <c r="AV17" s="531"/>
      <c r="AY17" s="63"/>
      <c r="AZ17" s="64"/>
      <c r="BF17" s="531"/>
      <c r="BG17" s="531"/>
      <c r="BH17" s="531"/>
      <c r="BK17" s="63"/>
      <c r="BL17" s="64"/>
      <c r="BR17" s="531"/>
      <c r="BS17" s="531"/>
      <c r="BT17" s="531"/>
      <c r="BY17" s="91">
        <v>29</v>
      </c>
      <c r="BZ17" s="92">
        <v>18</v>
      </c>
      <c r="CB17" s="49">
        <f t="shared" si="3"/>
        <v>13</v>
      </c>
      <c r="CC17" s="59" t="s">
        <v>120</v>
      </c>
      <c r="CD17" s="59" t="s">
        <v>120</v>
      </c>
      <c r="CE17" s="59" t="s">
        <v>120</v>
      </c>
      <c r="CF17" s="59" t="s">
        <v>120</v>
      </c>
      <c r="CG17" s="59" t="s">
        <v>120</v>
      </c>
      <c r="CH17" s="59" t="s">
        <v>120</v>
      </c>
      <c r="CI17" s="59" t="s">
        <v>120</v>
      </c>
      <c r="CJ17" s="59" t="s">
        <v>120</v>
      </c>
      <c r="CK17" s="59" t="s">
        <v>120</v>
      </c>
      <c r="CL17" s="59" t="s">
        <v>120</v>
      </c>
      <c r="CM17" s="59" t="s">
        <v>120</v>
      </c>
      <c r="CN17" s="59" t="s">
        <v>120</v>
      </c>
      <c r="CO17" s="59" t="s">
        <v>120</v>
      </c>
      <c r="CP17" s="59" t="s">
        <v>120</v>
      </c>
      <c r="CQ17" s="59" t="s">
        <v>120</v>
      </c>
      <c r="CR17" s="59" t="s">
        <v>120</v>
      </c>
      <c r="DC17" s="49">
        <f>IF(DD17="x",0,MAX(DC$5:$DY16)+1)</f>
        <v>0</v>
      </c>
      <c r="DD17" s="87" t="str">
        <f>IF(G17=E16,E18,E16)</f>
        <v>X</v>
      </c>
    </row>
    <row r="18" spans="1:108" ht="60" customHeight="1" thickBot="1">
      <c r="A18" s="49" t="str">
        <f>CONCATENATE(F17,2)</f>
        <v>MIXP42</v>
      </c>
      <c r="B18" s="551">
        <v>2</v>
      </c>
      <c r="C18" s="537">
        <f t="shared" ref="C18" si="9">IF(HLOOKUP($H$1,$CB$4:$CR$35,D18+1,0)="x","X",D18)</f>
        <v>8</v>
      </c>
      <c r="D18" s="538">
        <v>8</v>
      </c>
      <c r="E18" s="107" t="str">
        <f>IF(ISERROR(IF($J$1="n","",IF($J$1="a",VLOOKUP(C18,vylosovanie!$D$143:$O$191,11,0),"")))=TRUE,"",IF($J$1="n","",IF($J$1="a",VLOOKUP(C18,vylosovanie!$D$143:$O$191,11,0),"")))</f>
        <v>HURKA / MAJERSKÁ</v>
      </c>
      <c r="F18" s="114" t="str">
        <f>IF(ISERROR(IF($J$1="n","",IF($J$1="a",VLOOKUP(C18,vylosovanie!$D$143:$O$191,12,0),"")))=TRUE,"",IF($J$1="n","",IF($J$1="a",VLOOKUP(C18,vylosovanie!$D$143:$O$191,12,0),"")))</f>
        <v>STO VALALIKY / STO VALALIKY</v>
      </c>
      <c r="G18" s="106" t="str">
        <f>IF(G17="","",IF(OR(C16="x",C18="x"),"",VLOOKUP($A16,'zapisy k stolom'!$Y$5:$AC$3073,4,0)))</f>
        <v/>
      </c>
      <c r="H18" s="110"/>
      <c r="J18" s="116"/>
      <c r="L18" s="81"/>
      <c r="O18" s="58" t="str">
        <f t="shared" si="1"/>
        <v>MIXP42</v>
      </c>
      <c r="P18" s="58" t="str">
        <f>E18</f>
        <v>HURKA / MAJERSKÁ</v>
      </c>
      <c r="R18" s="56"/>
      <c r="S18" s="56"/>
      <c r="T18" s="193">
        <f t="shared" si="2"/>
        <v>15</v>
      </c>
      <c r="U18" s="194">
        <v>15</v>
      </c>
      <c r="V18" s="193" t="str">
        <f>IF(H55=G53,G57,G53)</f>
        <v>MAKÚCH / GALČÍKOVÁ</v>
      </c>
      <c r="AA18" s="198"/>
      <c r="AD18" s="56"/>
      <c r="AE18" s="56"/>
      <c r="AF18" s="56"/>
      <c r="AG18" s="56"/>
      <c r="AH18" s="56"/>
      <c r="AM18" s="63"/>
      <c r="AP18" s="56"/>
      <c r="AQ18" s="56"/>
      <c r="AR18" s="56"/>
      <c r="AS18" s="56"/>
      <c r="AT18" s="56"/>
      <c r="AY18" s="63"/>
      <c r="BB18" s="56"/>
      <c r="BC18" s="56"/>
      <c r="BD18" s="56"/>
      <c r="BE18" s="56"/>
      <c r="BF18" s="56"/>
      <c r="BK18" s="63"/>
      <c r="BN18" s="56"/>
      <c r="BO18" s="56"/>
      <c r="BP18" s="56"/>
      <c r="BQ18" s="56"/>
      <c r="BR18" s="56"/>
      <c r="BY18" s="91">
        <v>30</v>
      </c>
      <c r="BZ18" s="92">
        <v>31</v>
      </c>
      <c r="CB18" s="49">
        <f t="shared" si="3"/>
        <v>14</v>
      </c>
      <c r="CC18" s="59" t="s">
        <v>120</v>
      </c>
      <c r="CD18" s="59" t="s">
        <v>120</v>
      </c>
      <c r="CE18" s="59" t="s">
        <v>120</v>
      </c>
      <c r="CF18" s="59" t="s">
        <v>120</v>
      </c>
      <c r="CG18" s="59" t="s">
        <v>120</v>
      </c>
      <c r="CH18" s="59" t="s">
        <v>120</v>
      </c>
      <c r="CI18" s="59" t="s">
        <v>120</v>
      </c>
      <c r="CJ18" s="59" t="s">
        <v>120</v>
      </c>
      <c r="CK18" s="59" t="s">
        <v>120</v>
      </c>
      <c r="CL18" s="59" t="s">
        <v>120</v>
      </c>
      <c r="CM18" s="59" t="s">
        <v>120</v>
      </c>
      <c r="CN18" s="59" t="s">
        <v>120</v>
      </c>
      <c r="CO18" s="59" t="s">
        <v>120</v>
      </c>
      <c r="CP18" s="59" t="s">
        <v>121</v>
      </c>
      <c r="CQ18" s="59" t="s">
        <v>121</v>
      </c>
      <c r="CR18" s="59" t="s">
        <v>121</v>
      </c>
    </row>
    <row r="19" spans="1:108" ht="60" customHeight="1" thickBot="1">
      <c r="A19" s="49" t="str">
        <f>CONCATENATE(J35,1)</f>
        <v>MIXP311</v>
      </c>
      <c r="B19" s="551"/>
      <c r="C19" s="537"/>
      <c r="D19" s="538"/>
      <c r="G19" s="106"/>
      <c r="H19" s="110"/>
      <c r="I19" s="159" t="s">
        <v>345</v>
      </c>
      <c r="J19" s="123" t="str">
        <f>VLOOKUP($A11,'zapisy k stolom'!$Y$5:$AC$3073,3,0)</f>
        <v>KYSEL / LABOŠOVÁ</v>
      </c>
      <c r="K19" s="109"/>
      <c r="L19" s="81"/>
      <c r="O19" s="58" t="str">
        <f t="shared" si="1"/>
        <v>MIXP311</v>
      </c>
      <c r="P19" s="58" t="str">
        <f>J19</f>
        <v>KYSEL / LABOŠOVÁ</v>
      </c>
      <c r="R19" s="56"/>
      <c r="S19" s="56"/>
      <c r="T19" s="193">
        <f t="shared" si="2"/>
        <v>16</v>
      </c>
      <c r="U19" s="194">
        <v>16</v>
      </c>
      <c r="V19" s="193" t="str">
        <f>IF(H63=G61,G65,G61)</f>
        <v>MIKLUŠČÁK / LACENOVÁ</v>
      </c>
      <c r="AA19" s="198"/>
      <c r="AD19" s="56"/>
      <c r="AE19" s="56"/>
      <c r="AF19" s="56"/>
      <c r="AG19" s="56"/>
      <c r="AH19" s="56"/>
      <c r="AM19" s="63"/>
      <c r="AP19" s="56"/>
      <c r="AQ19" s="56"/>
      <c r="AR19" s="56"/>
      <c r="AS19" s="56"/>
      <c r="AT19" s="56"/>
      <c r="AY19" s="63"/>
      <c r="BB19" s="56"/>
      <c r="BC19" s="56"/>
      <c r="BD19" s="56"/>
      <c r="BE19" s="56"/>
      <c r="BF19" s="56"/>
      <c r="BK19" s="63"/>
      <c r="BN19" s="56"/>
      <c r="BO19" s="56"/>
      <c r="BP19" s="56"/>
      <c r="BQ19" s="56"/>
      <c r="BR19" s="56"/>
      <c r="BY19" s="91">
        <v>31</v>
      </c>
      <c r="BZ19" s="92">
        <v>2</v>
      </c>
      <c r="CB19" s="49">
        <f t="shared" si="3"/>
        <v>15</v>
      </c>
      <c r="CC19" s="59" t="s">
        <v>120</v>
      </c>
      <c r="CD19" s="59" t="s">
        <v>120</v>
      </c>
      <c r="CE19" s="59" t="s">
        <v>120</v>
      </c>
      <c r="CF19" s="59" t="s">
        <v>120</v>
      </c>
      <c r="CG19" s="59" t="s">
        <v>121</v>
      </c>
      <c r="CH19" s="59" t="s">
        <v>121</v>
      </c>
      <c r="CI19" s="59" t="s">
        <v>121</v>
      </c>
      <c r="CJ19" s="59" t="s">
        <v>121</v>
      </c>
      <c r="CK19" s="59" t="s">
        <v>121</v>
      </c>
      <c r="CL19" s="59" t="s">
        <v>121</v>
      </c>
      <c r="CM19" s="59" t="s">
        <v>121</v>
      </c>
      <c r="CN19" s="59" t="s">
        <v>121</v>
      </c>
      <c r="CO19" s="59" t="s">
        <v>121</v>
      </c>
      <c r="CP19" s="59" t="s">
        <v>121</v>
      </c>
      <c r="CQ19" s="59" t="s">
        <v>121</v>
      </c>
      <c r="CR19" s="59" t="s">
        <v>121</v>
      </c>
    </row>
    <row r="20" spans="1:108" ht="60" customHeight="1" thickBot="1">
      <c r="A20" s="49" t="str">
        <f>CONCATENATE(F21,1)</f>
        <v>MIXP51</v>
      </c>
      <c r="B20" s="551">
        <v>2</v>
      </c>
      <c r="C20" s="537">
        <f t="shared" ref="C20" si="10">IF(HLOOKUP($H$1,$CB$4:$CR$35,D20+1,0)="x","X",D20)</f>
        <v>9</v>
      </c>
      <c r="D20" s="538">
        <v>9</v>
      </c>
      <c r="E20" s="107" t="str">
        <f>IF(ISERROR(IF($J$1="n","",IF($J$1="a",VLOOKUP(C20,vylosovanie!$D$143:$O$191,11,0),"")))=TRUE,"",IF($J$1="n","",IF($J$1="a",VLOOKUP(C20,vylosovanie!$D$143:$O$191,11,0),"")))</f>
        <v>ĎANOVSKÝ / DIVINSKÁ</v>
      </c>
      <c r="F20" s="108" t="str">
        <f>IF(ISERROR(IF($J$1="n","",IF($J$1="a",VLOOKUP(C20,vylosovanie!$D$143:$O$191,12,0),"")))=TRUE,"",IF($J$1="n","",IF($J$1="a",VLOOKUP(C20,vylosovanie!$D$143:$O$191,12,0),"")))</f>
        <v>LOKOMOTÍVA VRÚTKY / MSTK TVRDOŠÍN</v>
      </c>
      <c r="G20" s="156"/>
      <c r="H20" s="110"/>
      <c r="I20" s="110" t="str">
        <f>VLOOKUP($A11,'zapisy k stolom'!$Y$5:$AC$3073,5,0)</f>
        <v>Tbl.: 1   H: 10.30   D: Ne</v>
      </c>
      <c r="J20" s="146" t="str">
        <f>IF(J19="","",VLOOKUP($A11,'zapisy k stolom'!$Y$5:$AC$3073,4,0))</f>
        <v xml:space="preserve">3:0 ( 10,8,6,,,, ) </v>
      </c>
      <c r="K20" s="116"/>
      <c r="L20" s="81"/>
      <c r="O20" s="58" t="str">
        <f t="shared" si="1"/>
        <v>MIXP51</v>
      </c>
      <c r="P20" s="58" t="str">
        <f>E20</f>
        <v>ĎANOVSKÝ / DIVINSKÁ</v>
      </c>
      <c r="R20" s="56"/>
      <c r="S20" s="56"/>
      <c r="T20" s="193">
        <f t="shared" si="2"/>
        <v>16</v>
      </c>
      <c r="U20" s="194">
        <v>17</v>
      </c>
      <c r="V20" s="193" t="str">
        <f>IF(G5=E4,E6,E4)</f>
        <v>X</v>
      </c>
      <c r="AA20" s="198"/>
      <c r="AD20" s="56"/>
      <c r="AE20" s="56"/>
      <c r="AF20" s="56"/>
      <c r="AG20" s="56"/>
      <c r="AH20" s="56"/>
      <c r="AM20" s="63"/>
      <c r="AP20" s="56"/>
      <c r="AQ20" s="56"/>
      <c r="AR20" s="56"/>
      <c r="AS20" s="56"/>
      <c r="AT20" s="56"/>
      <c r="AY20" s="63"/>
      <c r="BB20" s="56"/>
      <c r="BC20" s="56"/>
      <c r="BD20" s="56"/>
      <c r="BE20" s="56"/>
      <c r="BF20" s="56"/>
      <c r="BK20" s="63"/>
      <c r="BN20" s="56"/>
      <c r="BO20" s="56"/>
      <c r="BP20" s="56"/>
      <c r="BQ20" s="56"/>
      <c r="BR20" s="56"/>
      <c r="BY20" s="93">
        <v>32</v>
      </c>
      <c r="BZ20" s="94">
        <v>0</v>
      </c>
      <c r="CB20" s="49">
        <f t="shared" si="3"/>
        <v>16</v>
      </c>
      <c r="CC20" s="59" t="s">
        <v>120</v>
      </c>
      <c r="CD20" s="59" t="s">
        <v>120</v>
      </c>
      <c r="CE20" s="59" t="s">
        <v>120</v>
      </c>
      <c r="CF20" s="59" t="s">
        <v>120</v>
      </c>
      <c r="CG20" s="59" t="s">
        <v>120</v>
      </c>
      <c r="CH20" s="59" t="s">
        <v>120</v>
      </c>
      <c r="CI20" s="59" t="s">
        <v>120</v>
      </c>
      <c r="CJ20" s="59" t="s">
        <v>120</v>
      </c>
      <c r="CK20" s="59" t="s">
        <v>120</v>
      </c>
      <c r="CL20" s="59" t="s">
        <v>120</v>
      </c>
      <c r="CM20" s="59" t="s">
        <v>120</v>
      </c>
      <c r="CN20" s="59" t="s">
        <v>120</v>
      </c>
      <c r="CO20" s="59" t="s">
        <v>120</v>
      </c>
      <c r="CP20" s="59" t="s">
        <v>120</v>
      </c>
      <c r="CQ20" s="59" t="s">
        <v>120</v>
      </c>
      <c r="CR20" s="59" t="s">
        <v>120</v>
      </c>
    </row>
    <row r="21" spans="1:108" ht="60" customHeight="1" thickBot="1">
      <c r="A21" s="49" t="str">
        <f>CONCATENATE(G23,1)</f>
        <v>MIXP191</v>
      </c>
      <c r="B21" s="551"/>
      <c r="C21" s="537"/>
      <c r="D21" s="538"/>
      <c r="E21" s="111"/>
      <c r="F21" s="157" t="s">
        <v>321</v>
      </c>
      <c r="G21" s="106" t="str">
        <f>IF(C20="x",E22,IF(C22="x",E20,VLOOKUP($A20,'zapisy k stolom'!$Y$5:$AC$3073,3,0)))</f>
        <v>ĎANOVSKÝ / DIVINSKÁ</v>
      </c>
      <c r="H21" s="109"/>
      <c r="J21" s="116"/>
      <c r="K21" s="116"/>
      <c r="L21" s="81"/>
      <c r="O21" s="58" t="str">
        <f t="shared" si="1"/>
        <v>MIXP191</v>
      </c>
      <c r="P21" s="58" t="str">
        <f>G21</f>
        <v>ĎANOVSKÝ / DIVINSKÁ</v>
      </c>
      <c r="R21" s="56"/>
      <c r="S21" s="56"/>
      <c r="T21" s="193">
        <f t="shared" si="2"/>
        <v>17</v>
      </c>
      <c r="U21" s="194">
        <v>18</v>
      </c>
      <c r="V21" s="193" t="str">
        <f>IF(G9=E8,E10,E8)</f>
        <v>VICO / HUDÁKOVÁ</v>
      </c>
      <c r="AA21" s="198"/>
      <c r="AD21" s="56"/>
      <c r="AE21" s="56"/>
      <c r="AF21" s="56"/>
      <c r="AG21" s="56"/>
      <c r="AH21" s="56"/>
      <c r="AM21" s="63"/>
      <c r="AP21" s="56"/>
      <c r="AQ21" s="56"/>
      <c r="AR21" s="56"/>
      <c r="AS21" s="56"/>
      <c r="AT21" s="56"/>
      <c r="AY21" s="63"/>
      <c r="BB21" s="56"/>
      <c r="BC21" s="56"/>
      <c r="BD21" s="56"/>
      <c r="BE21" s="56"/>
      <c r="BF21" s="56"/>
      <c r="BK21" s="63"/>
      <c r="BN21" s="56"/>
      <c r="BO21" s="56"/>
      <c r="BP21" s="56"/>
      <c r="BQ21" s="56"/>
      <c r="BR21" s="56"/>
      <c r="CB21" s="49">
        <f t="shared" si="3"/>
        <v>17</v>
      </c>
      <c r="CC21" s="59" t="s">
        <v>120</v>
      </c>
      <c r="CD21" s="59" t="s">
        <v>120</v>
      </c>
      <c r="CE21" s="59" t="s">
        <v>120</v>
      </c>
      <c r="CF21" s="59" t="s">
        <v>120</v>
      </c>
      <c r="CG21" s="59" t="s">
        <v>120</v>
      </c>
      <c r="CH21" s="59" t="s">
        <v>120</v>
      </c>
      <c r="CI21" s="59" t="s">
        <v>120</v>
      </c>
      <c r="CJ21" s="59" t="s">
        <v>120</v>
      </c>
      <c r="CK21" s="59" t="s">
        <v>120</v>
      </c>
      <c r="CL21" s="59" t="s">
        <v>120</v>
      </c>
      <c r="CM21" s="59" t="s">
        <v>120</v>
      </c>
      <c r="CN21" s="59" t="s">
        <v>120</v>
      </c>
      <c r="CO21" s="59" t="s">
        <v>120</v>
      </c>
      <c r="CP21" s="59" t="s">
        <v>120</v>
      </c>
      <c r="CQ21" s="59" t="s">
        <v>120</v>
      </c>
      <c r="CR21" s="59" t="s">
        <v>120</v>
      </c>
      <c r="DC21" s="49">
        <f>IF(DD21="x",0,MAX(DC$5:$DY20)+1)</f>
        <v>0</v>
      </c>
      <c r="DD21" s="87" t="str">
        <f>IF(G21=E20,E22,E20)</f>
        <v>X</v>
      </c>
    </row>
    <row r="22" spans="1:108" ht="60" customHeight="1" thickBot="1">
      <c r="A22" s="49" t="str">
        <f>CONCATENATE(F21,2)</f>
        <v>MIXP52</v>
      </c>
      <c r="B22" s="548">
        <v>4</v>
      </c>
      <c r="C22" s="537" t="str">
        <f t="shared" ref="C22" si="11">IF(HLOOKUP($H$1,$CB$4:$CR$35,D22+1,0)="x","X",D22)</f>
        <v>X</v>
      </c>
      <c r="D22" s="538">
        <v>10</v>
      </c>
      <c r="E22" s="107" t="str">
        <f>IF(ISERROR(IF($J$1="n","",IF($J$1="a",VLOOKUP(C22,vylosovanie!$D$143:$O$191,11,0),"")))=TRUE,"",IF($J$1="n","",IF($J$1="a",VLOOKUP(C22,vylosovanie!$D$143:$O$191,11,0),"")))</f>
        <v>X</v>
      </c>
      <c r="F22" s="114" t="str">
        <f>IF(ISERROR(IF($J$1="n","",IF($J$1="a",VLOOKUP(C22,vylosovanie!$D$143:$O$191,12,0),"")))=TRUE,"",IF($J$1="n","",IF($J$1="a",VLOOKUP(C22,vylosovanie!$D$143:$O$191,12,0),"")))</f>
        <v>X</v>
      </c>
      <c r="G22" s="152" t="str">
        <f>IF(G21="","",IF(OR(C20="x",C22="x"),"",VLOOKUP($A20,'zapisy k stolom'!$Y$5:$AC$3073,4,0)))</f>
        <v/>
      </c>
      <c r="H22" s="116"/>
      <c r="J22" s="116"/>
      <c r="K22" s="116"/>
      <c r="L22" s="81"/>
      <c r="O22" s="58" t="str">
        <f t="shared" si="1"/>
        <v>MIXP52</v>
      </c>
      <c r="P22" s="58" t="str">
        <f>E22</f>
        <v>X</v>
      </c>
      <c r="T22" s="193">
        <f t="shared" si="2"/>
        <v>18</v>
      </c>
      <c r="U22" s="194">
        <v>19</v>
      </c>
      <c r="V22" s="193" t="str">
        <f>IF(G13=E12,E14,E12)</f>
        <v>KAPUSTA / CHYLOVÁ</v>
      </c>
      <c r="CB22" s="49">
        <f t="shared" si="3"/>
        <v>18</v>
      </c>
      <c r="CC22" s="59" t="s">
        <v>120</v>
      </c>
      <c r="CD22" s="59" t="s">
        <v>120</v>
      </c>
      <c r="CE22" s="59" t="s">
        <v>120</v>
      </c>
      <c r="CF22" s="59" t="s">
        <v>121</v>
      </c>
      <c r="CG22" s="59" t="s">
        <v>121</v>
      </c>
      <c r="CH22" s="59" t="s">
        <v>121</v>
      </c>
      <c r="CI22" s="59" t="s">
        <v>121</v>
      </c>
      <c r="CJ22" s="59" t="s">
        <v>121</v>
      </c>
      <c r="CK22" s="59" t="s">
        <v>121</v>
      </c>
      <c r="CL22" s="59" t="s">
        <v>121</v>
      </c>
      <c r="CM22" s="59" t="s">
        <v>121</v>
      </c>
      <c r="CN22" s="59" t="s">
        <v>121</v>
      </c>
      <c r="CO22" s="59" t="s">
        <v>121</v>
      </c>
      <c r="CP22" s="59" t="s">
        <v>121</v>
      </c>
      <c r="CQ22" s="59" t="s">
        <v>121</v>
      </c>
      <c r="CR22" s="59" t="s">
        <v>121</v>
      </c>
    </row>
    <row r="23" spans="1:108" ht="60" customHeight="1" thickBot="1">
      <c r="A23" s="49" t="str">
        <f>CONCATENATE(H27,1)</f>
        <v>MIXP261</v>
      </c>
      <c r="B23" s="548"/>
      <c r="C23" s="537"/>
      <c r="D23" s="538"/>
      <c r="G23" s="159" t="s">
        <v>335</v>
      </c>
      <c r="H23" s="123" t="str">
        <f>VLOOKUP($A21,'zapisy k stolom'!$Y$5:$AC$3073,3,0)</f>
        <v>ĎANOVSKÝ / DIVINSKÁ</v>
      </c>
      <c r="I23" s="109"/>
      <c r="J23" s="127"/>
      <c r="K23" s="116"/>
      <c r="L23" s="81"/>
      <c r="O23" s="58" t="str">
        <f t="shared" si="1"/>
        <v>MIXP261</v>
      </c>
      <c r="P23" s="64" t="str">
        <f>H23</f>
        <v>ĎANOVSKÝ / DIVINSKÁ</v>
      </c>
      <c r="T23" s="193">
        <f t="shared" si="2"/>
        <v>18</v>
      </c>
      <c r="U23" s="194">
        <v>20</v>
      </c>
      <c r="V23" s="193" t="str">
        <f>IF(G17=E16,E18,E16)</f>
        <v>X</v>
      </c>
      <c r="W23" s="197"/>
      <c r="X23" s="197"/>
      <c r="AA23" s="198"/>
      <c r="AB23" s="64"/>
      <c r="AH23" s="531"/>
      <c r="AI23" s="531"/>
      <c r="AJ23" s="531"/>
      <c r="AM23" s="63"/>
      <c r="AN23" s="64"/>
      <c r="AT23" s="531"/>
      <c r="AU23" s="531"/>
      <c r="AV23" s="531"/>
      <c r="AY23" s="63"/>
      <c r="AZ23" s="64"/>
      <c r="BF23" s="531"/>
      <c r="BG23" s="531"/>
      <c r="BH23" s="531"/>
      <c r="BK23" s="63"/>
      <c r="BL23" s="64"/>
      <c r="BR23" s="531"/>
      <c r="BS23" s="531"/>
      <c r="BT23" s="531"/>
      <c r="CB23" s="49">
        <f t="shared" si="3"/>
        <v>19</v>
      </c>
      <c r="CC23" s="59" t="s">
        <v>120</v>
      </c>
      <c r="CD23" s="59" t="s">
        <v>120</v>
      </c>
      <c r="CE23" s="59" t="s">
        <v>120</v>
      </c>
      <c r="CF23" s="59" t="s">
        <v>120</v>
      </c>
      <c r="CG23" s="59" t="s">
        <v>120</v>
      </c>
      <c r="CH23" s="59" t="s">
        <v>120</v>
      </c>
      <c r="CI23" s="59" t="s">
        <v>120</v>
      </c>
      <c r="CJ23" s="59" t="s">
        <v>120</v>
      </c>
      <c r="CK23" s="59" t="s">
        <v>120</v>
      </c>
      <c r="CL23" s="59" t="s">
        <v>120</v>
      </c>
      <c r="CM23" s="59" t="s">
        <v>120</v>
      </c>
      <c r="CN23" s="59" t="s">
        <v>120</v>
      </c>
      <c r="CO23" s="59" t="s">
        <v>120</v>
      </c>
      <c r="CP23" s="59" t="s">
        <v>120</v>
      </c>
      <c r="CQ23" s="59" t="s">
        <v>121</v>
      </c>
      <c r="CR23" s="59" t="s">
        <v>121</v>
      </c>
      <c r="DA23" s="96" t="str">
        <f>IF(H23=G21,G25,G21)</f>
        <v>KLUČÁR / GORFOLOVÁ</v>
      </c>
    </row>
    <row r="24" spans="1:108" ht="60" customHeight="1" thickBot="1">
      <c r="A24" s="49" t="str">
        <f>CONCATENATE(F25,1)</f>
        <v>MIXP61</v>
      </c>
      <c r="B24" s="548">
        <v>4</v>
      </c>
      <c r="C24" s="537">
        <f t="shared" ref="C24" si="12">IF(HLOOKUP($H$1,$CB$4:$CR$35,D24+1,0)="x","X",D24)</f>
        <v>11</v>
      </c>
      <c r="D24" s="538">
        <v>11</v>
      </c>
      <c r="E24" s="107" t="str">
        <f>IF(ISERROR(IF($J$1="n","",IF($J$1="a",VLOOKUP(C24,vylosovanie!$D$143:$O$191,11,0),"")))=TRUE,"",IF($J$1="n","",IF($J$1="a",VLOOKUP(C24,vylosovanie!$D$143:$O$191,11,0),"")))</f>
        <v>KLUČÁR / GORFOLOVÁ</v>
      </c>
      <c r="F24" s="108" t="str">
        <f>IF(ISERROR(IF($J$1="n","",IF($J$1="a",VLOOKUP(C24,vylosovanie!$D$143:$O$191,12,0),"")))=TRUE,"",IF($J$1="n","",IF($J$1="a",VLOOKUP(C24,vylosovanie!$D$143:$O$191,12,0),"")))</f>
        <v>TTC MAJCICHOV / GASTO METALFIN GALANTA</v>
      </c>
      <c r="G24" s="109" t="str">
        <f>VLOOKUP($A21,'zapisy k stolom'!$Y$5:$AC$3073,5,0)</f>
        <v>Tbl.: 3   H: 14.55   D: So</v>
      </c>
      <c r="H24" s="166" t="str">
        <f>IF(H23="","",VLOOKUP($A21,'zapisy k stolom'!$Y$5:$AC$3073,4,0))</f>
        <v xml:space="preserve">3:0 ( 8,5,6,,,, ) </v>
      </c>
      <c r="I24" s="116"/>
      <c r="J24" s="116"/>
      <c r="K24" s="116"/>
      <c r="L24" s="57"/>
      <c r="M24" s="52"/>
      <c r="O24" s="58" t="str">
        <f t="shared" si="1"/>
        <v>MIXP61</v>
      </c>
      <c r="P24" s="58" t="str">
        <f>E24</f>
        <v>KLUČÁR / GORFOLOVÁ</v>
      </c>
      <c r="R24" s="56"/>
      <c r="S24" s="56"/>
      <c r="T24" s="193">
        <f t="shared" si="2"/>
        <v>18</v>
      </c>
      <c r="U24" s="194">
        <v>21</v>
      </c>
      <c r="V24" s="193" t="str">
        <f>IF(G21=E20,E22,E20)</f>
        <v>X</v>
      </c>
      <c r="AA24" s="198"/>
      <c r="AD24" s="56"/>
      <c r="AE24" s="56"/>
      <c r="AF24" s="56"/>
      <c r="AG24" s="56"/>
      <c r="AH24" s="56"/>
      <c r="AM24" s="63"/>
      <c r="AP24" s="56"/>
      <c r="AQ24" s="56"/>
      <c r="AR24" s="56"/>
      <c r="AS24" s="56"/>
      <c r="AT24" s="56"/>
      <c r="AY24" s="63"/>
      <c r="BB24" s="56"/>
      <c r="BC24" s="56"/>
      <c r="BD24" s="56"/>
      <c r="BE24" s="56"/>
      <c r="BF24" s="56"/>
      <c r="BK24" s="63"/>
      <c r="BN24" s="56"/>
      <c r="BO24" s="56"/>
      <c r="BP24" s="56"/>
      <c r="BQ24" s="56"/>
      <c r="BR24" s="56"/>
      <c r="CB24" s="49">
        <f t="shared" si="3"/>
        <v>20</v>
      </c>
      <c r="CC24" s="59" t="s">
        <v>120</v>
      </c>
      <c r="CD24" s="59" t="s">
        <v>120</v>
      </c>
      <c r="CE24" s="59" t="s">
        <v>120</v>
      </c>
      <c r="CF24" s="59" t="s">
        <v>120</v>
      </c>
      <c r="CG24" s="59" t="s">
        <v>120</v>
      </c>
      <c r="CH24" s="59" t="s">
        <v>120</v>
      </c>
      <c r="CI24" s="59" t="s">
        <v>120</v>
      </c>
      <c r="CJ24" s="59" t="s">
        <v>120</v>
      </c>
      <c r="CK24" s="59" t="s">
        <v>120</v>
      </c>
      <c r="CL24" s="59" t="s">
        <v>120</v>
      </c>
      <c r="CM24" s="59" t="s">
        <v>120</v>
      </c>
      <c r="CN24" s="59" t="s">
        <v>120</v>
      </c>
      <c r="CO24" s="59" t="s">
        <v>120</v>
      </c>
      <c r="CP24" s="59" t="s">
        <v>120</v>
      </c>
      <c r="CQ24" s="59" t="s">
        <v>120</v>
      </c>
      <c r="CR24" s="59" t="s">
        <v>120</v>
      </c>
    </row>
    <row r="25" spans="1:108" ht="60" customHeight="1" thickBot="1">
      <c r="A25" s="49" t="str">
        <f>CONCATENATE(G23,2)</f>
        <v>MIXP192</v>
      </c>
      <c r="B25" s="548"/>
      <c r="C25" s="537"/>
      <c r="D25" s="538"/>
      <c r="E25" s="111" t="str">
        <f>VLOOKUP($A24,'zapisy k stolom'!$Y$5:$AC$3073,5,0)</f>
        <v>Tbl.: 3   H: 14.25   D: So</v>
      </c>
      <c r="F25" s="157" t="s">
        <v>322</v>
      </c>
      <c r="G25" s="161" t="str">
        <f>IF(C24="x",E26,IF(C26="x",E24,VLOOKUP($A24,'zapisy k stolom'!$Y$5:$AC$3073,3,0)))</f>
        <v>KLUČÁR / GORFOLOVÁ</v>
      </c>
      <c r="H25" s="116"/>
      <c r="I25" s="116"/>
      <c r="J25" s="116"/>
      <c r="K25" s="116"/>
      <c r="L25" s="57"/>
      <c r="M25" s="52"/>
      <c r="O25" s="58" t="str">
        <f t="shared" si="1"/>
        <v>MIXP192</v>
      </c>
      <c r="P25" s="58" t="str">
        <f>G25</f>
        <v>KLUČÁR / GORFOLOVÁ</v>
      </c>
      <c r="R25" s="56"/>
      <c r="S25" s="56"/>
      <c r="T25" s="193">
        <f t="shared" si="2"/>
        <v>19</v>
      </c>
      <c r="U25" s="194">
        <v>22</v>
      </c>
      <c r="V25" s="193" t="str">
        <f>IF(G25=E24,E26,E24)</f>
        <v>PAPÁNEK / MIKULOVÁ</v>
      </c>
      <c r="AA25" s="198"/>
      <c r="AD25" s="56"/>
      <c r="AE25" s="56"/>
      <c r="AF25" s="56"/>
      <c r="AG25" s="56"/>
      <c r="AH25" s="56"/>
      <c r="AM25" s="63"/>
      <c r="AP25" s="56"/>
      <c r="AQ25" s="56"/>
      <c r="AR25" s="56"/>
      <c r="AS25" s="56"/>
      <c r="AT25" s="56"/>
      <c r="AY25" s="63"/>
      <c r="BB25" s="56"/>
      <c r="BC25" s="56"/>
      <c r="BD25" s="56"/>
      <c r="BE25" s="56"/>
      <c r="BF25" s="56"/>
      <c r="BK25" s="63"/>
      <c r="BN25" s="56"/>
      <c r="BO25" s="56"/>
      <c r="BP25" s="56"/>
      <c r="BQ25" s="56"/>
      <c r="BR25" s="56"/>
      <c r="CB25" s="49">
        <f t="shared" si="3"/>
        <v>21</v>
      </c>
      <c r="CC25" s="59" t="s">
        <v>120</v>
      </c>
      <c r="CD25" s="59" t="s">
        <v>120</v>
      </c>
      <c r="CE25" s="59" t="s">
        <v>120</v>
      </c>
      <c r="CF25" s="59" t="s">
        <v>120</v>
      </c>
      <c r="CG25" s="59" t="s">
        <v>120</v>
      </c>
      <c r="CH25" s="59" t="s">
        <v>120</v>
      </c>
      <c r="CI25" s="59" t="s">
        <v>120</v>
      </c>
      <c r="CJ25" s="59" t="s">
        <v>120</v>
      </c>
      <c r="CK25" s="59" t="s">
        <v>120</v>
      </c>
      <c r="CL25" s="59" t="s">
        <v>120</v>
      </c>
      <c r="CM25" s="59" t="s">
        <v>120</v>
      </c>
      <c r="CN25" s="59" t="s">
        <v>120</v>
      </c>
      <c r="CO25" s="59" t="s">
        <v>120</v>
      </c>
      <c r="CP25" s="59" t="s">
        <v>120</v>
      </c>
      <c r="CQ25" s="59" t="s">
        <v>120</v>
      </c>
      <c r="CR25" s="59" t="s">
        <v>120</v>
      </c>
      <c r="DC25" s="49">
        <f>IF(DD25="x",0,MAX(DC$5:$DY24)+1)</f>
        <v>3</v>
      </c>
      <c r="DD25" s="87" t="str">
        <f>IF(G25=E24,E26,E24)</f>
        <v>PAPÁNEK / MIKULOVÁ</v>
      </c>
    </row>
    <row r="26" spans="1:108" ht="60" customHeight="1" thickBot="1">
      <c r="A26" s="49" t="str">
        <f>CONCATENATE(F25,2)</f>
        <v>MIXP62</v>
      </c>
      <c r="B26" s="550">
        <v>3</v>
      </c>
      <c r="C26" s="537">
        <f t="shared" ref="C26" si="13">IF(HLOOKUP($H$1,$CB$4:$CR$35,D26+1,0)="x","X",D26)</f>
        <v>12</v>
      </c>
      <c r="D26" s="538">
        <v>12</v>
      </c>
      <c r="E26" s="107" t="str">
        <f>IF(ISERROR(IF($J$1="n","",IF($J$1="a",VLOOKUP(C26,vylosovanie!$D$143:$O$191,11,0),"")))=TRUE,"",IF($J$1="n","",IF($J$1="a",VLOOKUP(C26,vylosovanie!$D$143:$O$191,11,0),"")))</f>
        <v>PAPÁNEK / MIKULOVÁ</v>
      </c>
      <c r="F26" s="114" t="str">
        <f>IF(ISERROR(IF($J$1="n","",IF($J$1="a",VLOOKUP(C26,vylosovanie!$D$143:$O$191,12,0),"")))=TRUE,"",IF($J$1="n","",IF($J$1="a",VLOOKUP(C26,vylosovanie!$D$143:$O$191,12,0),"")))</f>
        <v>STK NOVÁ BAŇA/PODLUŽANY / KST DRIVE TR. JASTRABIE</v>
      </c>
      <c r="G26" s="168" t="str">
        <f>IF(G25="","",IF(OR(C24="x",C26="x"),"",VLOOKUP($A24,'zapisy k stolom'!$Y$5:$AC$3073,4,0)))</f>
        <v xml:space="preserve">3:1 ( 4,-5,11,8,,, ) </v>
      </c>
      <c r="H26" s="110"/>
      <c r="I26" s="116"/>
      <c r="J26" s="116"/>
      <c r="K26" s="116"/>
      <c r="L26" s="57"/>
      <c r="M26" s="52"/>
      <c r="O26" s="58" t="str">
        <f t="shared" si="1"/>
        <v>MIXP62</v>
      </c>
      <c r="P26" s="58" t="str">
        <f>E26</f>
        <v>PAPÁNEK / MIKULOVÁ</v>
      </c>
      <c r="R26" s="56"/>
      <c r="S26" s="56"/>
      <c r="T26" s="193">
        <f t="shared" si="2"/>
        <v>20</v>
      </c>
      <c r="U26" s="194">
        <v>23</v>
      </c>
      <c r="V26" s="193" t="str">
        <f>IF(G29=E28,E30,E28)</f>
        <v>KLAJBER / SISKOVÁ</v>
      </c>
      <c r="AA26" s="198"/>
      <c r="AD26" s="56"/>
      <c r="AE26" s="56"/>
      <c r="AF26" s="56"/>
      <c r="AG26" s="56"/>
      <c r="AH26" s="56"/>
      <c r="AM26" s="63"/>
      <c r="AP26" s="56"/>
      <c r="AQ26" s="56"/>
      <c r="AR26" s="56"/>
      <c r="AS26" s="56"/>
      <c r="AT26" s="56"/>
      <c r="AY26" s="63"/>
      <c r="BB26" s="56"/>
      <c r="BC26" s="56"/>
      <c r="BD26" s="56"/>
      <c r="BE26" s="56"/>
      <c r="BF26" s="56"/>
      <c r="BK26" s="63"/>
      <c r="BN26" s="56"/>
      <c r="BO26" s="56"/>
      <c r="BP26" s="56"/>
      <c r="BQ26" s="56"/>
      <c r="BR26" s="56"/>
      <c r="CB26" s="49">
        <f t="shared" si="3"/>
        <v>22</v>
      </c>
      <c r="CC26" s="59" t="s">
        <v>120</v>
      </c>
      <c r="CD26" s="59" t="s">
        <v>120</v>
      </c>
      <c r="CE26" s="59" t="s">
        <v>120</v>
      </c>
      <c r="CF26" s="59" t="s">
        <v>120</v>
      </c>
      <c r="CG26" s="59" t="s">
        <v>120</v>
      </c>
      <c r="CH26" s="59" t="s">
        <v>120</v>
      </c>
      <c r="CI26" s="59" t="s">
        <v>120</v>
      </c>
      <c r="CJ26" s="59" t="s">
        <v>120</v>
      </c>
      <c r="CK26" s="59" t="s">
        <v>120</v>
      </c>
      <c r="CL26" s="59" t="s">
        <v>120</v>
      </c>
      <c r="CM26" s="59" t="s">
        <v>120</v>
      </c>
      <c r="CN26" s="59" t="s">
        <v>121</v>
      </c>
      <c r="CO26" s="59" t="s">
        <v>121</v>
      </c>
      <c r="CP26" s="59" t="s">
        <v>121</v>
      </c>
      <c r="CQ26" s="59" t="s">
        <v>121</v>
      </c>
      <c r="CR26" s="59" t="s">
        <v>121</v>
      </c>
    </row>
    <row r="27" spans="1:108" ht="60" customHeight="1" thickBot="1">
      <c r="A27" s="49" t="str">
        <f>CONCATENATE(I19,2)</f>
        <v>MIXP292</v>
      </c>
      <c r="B27" s="550"/>
      <c r="C27" s="537"/>
      <c r="D27" s="538"/>
      <c r="G27" s="106"/>
      <c r="H27" s="159" t="s">
        <v>342</v>
      </c>
      <c r="I27" s="123" t="str">
        <f>VLOOKUP($A23,'zapisy k stolom'!$Y$5:$AC$3073,3,0)</f>
        <v>FEČO / DZELINSKA</v>
      </c>
      <c r="J27" s="116"/>
      <c r="K27" s="116"/>
      <c r="L27" s="57"/>
      <c r="M27" s="52"/>
      <c r="O27" s="58" t="str">
        <f t="shared" si="1"/>
        <v>MIXP292</v>
      </c>
      <c r="P27" s="58" t="str">
        <f>I27</f>
        <v>FEČO / DZELINSKA</v>
      </c>
      <c r="R27" s="56"/>
      <c r="S27" s="56"/>
      <c r="T27" s="193">
        <f t="shared" si="2"/>
        <v>20</v>
      </c>
      <c r="U27" s="194">
        <v>24</v>
      </c>
      <c r="V27" s="193" t="str">
        <f>IF(G33=E32,E34,E32)</f>
        <v>X</v>
      </c>
      <c r="AA27" s="198"/>
      <c r="AD27" s="56"/>
      <c r="AE27" s="56"/>
      <c r="AF27" s="56"/>
      <c r="AG27" s="56"/>
      <c r="AH27" s="56"/>
      <c r="AM27" s="63"/>
      <c r="AP27" s="56"/>
      <c r="AQ27" s="56"/>
      <c r="AR27" s="56"/>
      <c r="AS27" s="56"/>
      <c r="AT27" s="56"/>
      <c r="AY27" s="63"/>
      <c r="BB27" s="56"/>
      <c r="BC27" s="56"/>
      <c r="BD27" s="56"/>
      <c r="BE27" s="56"/>
      <c r="BF27" s="56"/>
      <c r="BK27" s="63"/>
      <c r="BN27" s="56"/>
      <c r="BO27" s="56"/>
      <c r="BP27" s="56"/>
      <c r="BQ27" s="56"/>
      <c r="BR27" s="56"/>
      <c r="CB27" s="49">
        <f t="shared" si="3"/>
        <v>23</v>
      </c>
      <c r="CC27" s="59" t="s">
        <v>120</v>
      </c>
      <c r="CD27" s="59" t="s">
        <v>120</v>
      </c>
      <c r="CE27" s="59" t="s">
        <v>120</v>
      </c>
      <c r="CF27" s="59" t="s">
        <v>120</v>
      </c>
      <c r="CG27" s="59" t="s">
        <v>120</v>
      </c>
      <c r="CH27" s="59" t="s">
        <v>120</v>
      </c>
      <c r="CI27" s="59" t="s">
        <v>121</v>
      </c>
      <c r="CJ27" s="59" t="s">
        <v>121</v>
      </c>
      <c r="CK27" s="59" t="s">
        <v>121</v>
      </c>
      <c r="CL27" s="59" t="s">
        <v>121</v>
      </c>
      <c r="CM27" s="59" t="s">
        <v>121</v>
      </c>
      <c r="CN27" s="59" t="s">
        <v>121</v>
      </c>
      <c r="CO27" s="59" t="s">
        <v>121</v>
      </c>
      <c r="CP27" s="59" t="s">
        <v>121</v>
      </c>
      <c r="CQ27" s="59" t="s">
        <v>121</v>
      </c>
      <c r="CR27" s="59" t="s">
        <v>121</v>
      </c>
      <c r="CZ27" s="97" t="str">
        <f>IF(I27=H23,H31,H23)</f>
        <v>ĎANOVSKÝ / DIVINSKÁ</v>
      </c>
    </row>
    <row r="28" spans="1:108" ht="60" customHeight="1" thickBot="1">
      <c r="A28" s="49" t="str">
        <f>CONCATENATE(F29,1)</f>
        <v>MIXP71</v>
      </c>
      <c r="B28" s="550">
        <v>3</v>
      </c>
      <c r="C28" s="537">
        <f t="shared" ref="C28" si="14">IF(HLOOKUP($H$1,$CB$4:$CR$35,D28+1,0)="x","X",D28)</f>
        <v>13</v>
      </c>
      <c r="D28" s="538">
        <v>13</v>
      </c>
      <c r="E28" s="107" t="str">
        <f>IF(ISERROR(IF($J$1="n","",IF($J$1="a",VLOOKUP(C28,vylosovanie!$D$143:$O$191,11,0),"")))=TRUE,"",IF($J$1="n","",IF($J$1="a",VLOOKUP(C28,vylosovanie!$D$143:$O$191,11,0),"")))</f>
        <v>JALOVECKÝ / SLOBODNÍKOVÁ</v>
      </c>
      <c r="F28" s="108" t="str">
        <f>IF(ISERROR(IF($J$1="n","",IF($J$1="a",VLOOKUP(C28,vylosovanie!$D$143:$O$191,12,0),"")))=TRUE,"",IF($J$1="n","",IF($J$1="a",VLOOKUP(C28,vylosovanie!$D$143:$O$191,12,0),"")))</f>
        <v>STK ZŠ NA BIELENISKU PEZINOK / ŠKST KARLOVA VES</v>
      </c>
      <c r="G28" s="156"/>
      <c r="H28" s="110" t="str">
        <f>VLOOKUP($A23,'zapisy k stolom'!$Y$5:$AC$3073,5,0)</f>
        <v>Tbl.: 3   H: 17.30   D: So</v>
      </c>
      <c r="I28" s="166" t="str">
        <f>IF(I27="","",VLOOKUP($A23,'zapisy k stolom'!$Y$5:$AC$3073,4,0))</f>
        <v xml:space="preserve">3:0 ( 7,9,7,,,, ) </v>
      </c>
      <c r="K28" s="116"/>
      <c r="L28" s="57"/>
      <c r="M28" s="52"/>
      <c r="O28" s="58" t="str">
        <f t="shared" si="1"/>
        <v>MIXP71</v>
      </c>
      <c r="P28" s="58" t="str">
        <f>E28</f>
        <v>JALOVECKÝ / SLOBODNÍKOVÁ</v>
      </c>
      <c r="T28" s="193">
        <f t="shared" si="2"/>
        <v>20</v>
      </c>
      <c r="U28" s="194">
        <v>25</v>
      </c>
      <c r="V28" s="193" t="str">
        <f>IF(G37=E36,E38,E36)</f>
        <v>X</v>
      </c>
      <c r="CB28" s="49">
        <f t="shared" si="3"/>
        <v>24</v>
      </c>
      <c r="CC28" s="59" t="s">
        <v>120</v>
      </c>
      <c r="CD28" s="59" t="s">
        <v>120</v>
      </c>
      <c r="CE28" s="59" t="s">
        <v>120</v>
      </c>
      <c r="CF28" s="59" t="s">
        <v>120</v>
      </c>
      <c r="CG28" s="59" t="s">
        <v>120</v>
      </c>
      <c r="CH28" s="59" t="s">
        <v>120</v>
      </c>
      <c r="CI28" s="59" t="s">
        <v>120</v>
      </c>
      <c r="CJ28" s="59" t="s">
        <v>120</v>
      </c>
      <c r="CK28" s="59" t="s">
        <v>120</v>
      </c>
      <c r="CL28" s="59" t="s">
        <v>120</v>
      </c>
      <c r="CM28" s="59" t="s">
        <v>120</v>
      </c>
      <c r="CN28" s="59" t="s">
        <v>120</v>
      </c>
      <c r="CO28" s="59" t="s">
        <v>120</v>
      </c>
      <c r="CP28" s="59" t="s">
        <v>120</v>
      </c>
      <c r="CQ28" s="59" t="s">
        <v>120</v>
      </c>
      <c r="CR28" s="59" t="s">
        <v>120</v>
      </c>
    </row>
    <row r="29" spans="1:108" ht="60" customHeight="1" thickBot="1">
      <c r="A29" s="49" t="str">
        <f>CONCATENATE(G31,1)</f>
        <v>MIXP201</v>
      </c>
      <c r="B29" s="550"/>
      <c r="C29" s="537"/>
      <c r="D29" s="538"/>
      <c r="E29" s="111" t="str">
        <f>VLOOKUP($A28,'zapisy k stolom'!$Y$5:$AC$3073,5,0)</f>
        <v>Tbl.: 4   H: 14.25   D: So</v>
      </c>
      <c r="F29" s="157" t="s">
        <v>323</v>
      </c>
      <c r="G29" s="106" t="str">
        <f>IF(C28="x",E30,IF(C30="x",E28,VLOOKUP($A28,'zapisy k stolom'!$Y$5:$AC$3073,3,0)))</f>
        <v>JALOVECKÝ / SLOBODNÍKOVÁ</v>
      </c>
      <c r="H29" s="156"/>
      <c r="I29" s="116"/>
      <c r="K29" s="116"/>
      <c r="L29" s="57"/>
      <c r="M29" s="52"/>
      <c r="O29" s="58" t="str">
        <f t="shared" si="1"/>
        <v>MIXP201</v>
      </c>
      <c r="P29" s="64" t="str">
        <f>G29</f>
        <v>JALOVECKÝ / SLOBODNÍKOVÁ</v>
      </c>
      <c r="T29" s="193">
        <f t="shared" si="2"/>
        <v>21</v>
      </c>
      <c r="U29" s="194">
        <v>26</v>
      </c>
      <c r="V29" s="193" t="str">
        <f>IF(G41=E40,E42,E40)</f>
        <v>FREUND / LEDAJOVÁ</v>
      </c>
      <c r="W29" s="197"/>
      <c r="X29" s="197"/>
      <c r="AA29" s="198"/>
      <c r="AB29" s="64"/>
      <c r="AH29" s="531"/>
      <c r="AI29" s="531"/>
      <c r="AJ29" s="531"/>
      <c r="AM29" s="63"/>
      <c r="AN29" s="64"/>
      <c r="AT29" s="531"/>
      <c r="AU29" s="531"/>
      <c r="AV29" s="531"/>
      <c r="AY29" s="63"/>
      <c r="AZ29" s="64"/>
      <c r="BF29" s="531"/>
      <c r="BG29" s="531"/>
      <c r="BH29" s="531"/>
      <c r="BK29" s="63"/>
      <c r="BL29" s="64"/>
      <c r="BR29" s="531"/>
      <c r="BS29" s="531"/>
      <c r="BT29" s="531"/>
      <c r="CB29" s="49">
        <f t="shared" si="3"/>
        <v>25</v>
      </c>
      <c r="CC29" s="59" t="s">
        <v>120</v>
      </c>
      <c r="CD29" s="59" t="s">
        <v>120</v>
      </c>
      <c r="CE29" s="59" t="s">
        <v>120</v>
      </c>
      <c r="CF29" s="59" t="s">
        <v>120</v>
      </c>
      <c r="CG29" s="59" t="s">
        <v>120</v>
      </c>
      <c r="CH29" s="59" t="s">
        <v>120</v>
      </c>
      <c r="CI29" s="59" t="s">
        <v>120</v>
      </c>
      <c r="CJ29" s="59" t="s">
        <v>120</v>
      </c>
      <c r="CK29" s="59" t="s">
        <v>120</v>
      </c>
      <c r="CL29" s="59" t="s">
        <v>120</v>
      </c>
      <c r="CM29" s="59" t="s">
        <v>120</v>
      </c>
      <c r="CN29" s="59" t="s">
        <v>120</v>
      </c>
      <c r="CO29" s="59" t="s">
        <v>120</v>
      </c>
      <c r="CP29" s="59" t="s">
        <v>120</v>
      </c>
      <c r="CQ29" s="59" t="s">
        <v>120</v>
      </c>
      <c r="CR29" s="59" t="s">
        <v>120</v>
      </c>
      <c r="DC29" s="49">
        <f>IF(DD29="x",0,MAX(DC$5:$DY28)+1)</f>
        <v>4</v>
      </c>
      <c r="DD29" s="87" t="str">
        <f>IF(G29=E28,E30,E28)</f>
        <v>KLAJBER / SISKOVÁ</v>
      </c>
    </row>
    <row r="30" spans="1:108" ht="60" customHeight="1" thickBot="1">
      <c r="A30" s="49" t="str">
        <f>CONCATENATE(F29,2)</f>
        <v>MIXP72</v>
      </c>
      <c r="B30" s="548">
        <v>4</v>
      </c>
      <c r="C30" s="537">
        <f t="shared" ref="C30" si="15">IF(HLOOKUP($H$1,$CB$4:$CR$35,D30+1,0)="x","X",D30)</f>
        <v>14</v>
      </c>
      <c r="D30" s="538">
        <v>14</v>
      </c>
      <c r="E30" s="107" t="str">
        <f>IF(ISERROR(IF($J$1="n","",IF($J$1="a",VLOOKUP(C30,vylosovanie!$D$143:$O$191,11,0),"")))=TRUE,"",IF($J$1="n","",IF($J$1="a",VLOOKUP(C30,vylosovanie!$D$143:$O$191,11,0),"")))</f>
        <v>KLAJBER / SISKOVÁ</v>
      </c>
      <c r="F30" s="114" t="str">
        <f>IF(ISERROR(IF($J$1="n","",IF($J$1="a",VLOOKUP(C30,vylosovanie!$D$143:$O$191,12,0),"")))=TRUE,"",IF($J$1="n","",IF($J$1="a",VLOOKUP(C30,vylosovanie!$D$143:$O$191,12,0),"")))</f>
        <v>SŠK POPROČ / TTC MAJCICHOV</v>
      </c>
      <c r="G30" s="154" t="str">
        <f>IF(G29="","",IF(OR(C28="x",C30="x"),"",VLOOKUP($A28,'zapisy k stolom'!$Y$5:$AC$3073,4,0)))</f>
        <v xml:space="preserve">3:0 ( 5,3,4,,,, ) </v>
      </c>
      <c r="H30" s="116"/>
      <c r="I30" s="116"/>
      <c r="K30" s="116"/>
      <c r="L30" s="57"/>
      <c r="M30" s="52"/>
      <c r="O30" s="58" t="str">
        <f t="shared" si="1"/>
        <v>MIXP72</v>
      </c>
      <c r="P30" s="58" t="str">
        <f>E30</f>
        <v>KLAJBER / SISKOVÁ</v>
      </c>
      <c r="R30" s="56"/>
      <c r="S30" s="56"/>
      <c r="T30" s="193">
        <f t="shared" si="2"/>
        <v>22</v>
      </c>
      <c r="U30" s="194">
        <v>27</v>
      </c>
      <c r="V30" s="193" t="str">
        <f>IF(G45=E44,E46,E44)</f>
        <v>FEČO / TEREZKOVÁ</v>
      </c>
      <c r="AA30" s="199"/>
      <c r="AD30" s="56"/>
      <c r="AE30" s="56"/>
      <c r="AF30" s="56"/>
      <c r="AG30" s="56"/>
      <c r="AH30" s="56"/>
      <c r="AM30" s="70"/>
      <c r="AP30" s="56"/>
      <c r="AQ30" s="56"/>
      <c r="AR30" s="56"/>
      <c r="AS30" s="56"/>
      <c r="AT30" s="56"/>
      <c r="AY30" s="63"/>
      <c r="BB30" s="56"/>
      <c r="BC30" s="56"/>
      <c r="BD30" s="56"/>
      <c r="BE30" s="56"/>
      <c r="BF30" s="56"/>
      <c r="BK30" s="63"/>
      <c r="BN30" s="56"/>
      <c r="BO30" s="56"/>
      <c r="BP30" s="56"/>
      <c r="BQ30" s="56"/>
      <c r="BR30" s="56"/>
      <c r="CB30" s="49">
        <f t="shared" si="3"/>
        <v>26</v>
      </c>
      <c r="CC30" s="59" t="s">
        <v>120</v>
      </c>
      <c r="CD30" s="59" t="s">
        <v>120</v>
      </c>
      <c r="CE30" s="59" t="s">
        <v>120</v>
      </c>
      <c r="CF30" s="59" t="s">
        <v>120</v>
      </c>
      <c r="CG30" s="59" t="s">
        <v>120</v>
      </c>
      <c r="CH30" s="59" t="s">
        <v>120</v>
      </c>
      <c r="CI30" s="59" t="s">
        <v>120</v>
      </c>
      <c r="CJ30" s="59" t="s">
        <v>121</v>
      </c>
      <c r="CK30" s="59" t="s">
        <v>121</v>
      </c>
      <c r="CL30" s="59" t="s">
        <v>121</v>
      </c>
      <c r="CM30" s="59" t="s">
        <v>121</v>
      </c>
      <c r="CN30" s="59" t="s">
        <v>121</v>
      </c>
      <c r="CO30" s="59" t="s">
        <v>121</v>
      </c>
      <c r="CP30" s="59" t="s">
        <v>121</v>
      </c>
      <c r="CQ30" s="59" t="s">
        <v>121</v>
      </c>
      <c r="CR30" s="59" t="s">
        <v>121</v>
      </c>
    </row>
    <row r="31" spans="1:108" ht="60" customHeight="1" thickBot="1">
      <c r="A31" s="49" t="str">
        <f>CONCATENATE(H27,2)</f>
        <v>MIXP262</v>
      </c>
      <c r="B31" s="548"/>
      <c r="C31" s="537"/>
      <c r="D31" s="538"/>
      <c r="G31" s="159" t="s">
        <v>336</v>
      </c>
      <c r="H31" s="123" t="str">
        <f>VLOOKUP($A29,'zapisy k stolom'!$Y$5:$AC$3073,3,0)</f>
        <v>FEČO / DZELINSKA</v>
      </c>
      <c r="I31" s="116"/>
      <c r="K31" s="116"/>
      <c r="L31" s="57"/>
      <c r="M31" s="52"/>
      <c r="O31" s="58" t="str">
        <f t="shared" si="1"/>
        <v>MIXP262</v>
      </c>
      <c r="P31" s="58" t="str">
        <f>H31</f>
        <v>FEČO / DZELINSKA</v>
      </c>
      <c r="R31" s="56"/>
      <c r="S31" s="56"/>
      <c r="T31" s="193">
        <f t="shared" si="2"/>
        <v>22</v>
      </c>
      <c r="U31" s="194">
        <v>28</v>
      </c>
      <c r="V31" s="193" t="str">
        <f>IF(G49=E48,E50,E48)</f>
        <v>X</v>
      </c>
      <c r="AA31" s="198"/>
      <c r="AD31" s="56"/>
      <c r="AE31" s="56"/>
      <c r="AF31" s="56"/>
      <c r="AG31" s="56"/>
      <c r="AH31" s="56"/>
      <c r="AM31" s="63"/>
      <c r="AP31" s="56"/>
      <c r="AQ31" s="56"/>
      <c r="AR31" s="56"/>
      <c r="AS31" s="56"/>
      <c r="AT31" s="56"/>
      <c r="AY31" s="63"/>
      <c r="BB31" s="56"/>
      <c r="BC31" s="56"/>
      <c r="BD31" s="56"/>
      <c r="BE31" s="56"/>
      <c r="BF31" s="56"/>
      <c r="BK31" s="63"/>
      <c r="BN31" s="56"/>
      <c r="BO31" s="56"/>
      <c r="BP31" s="56"/>
      <c r="BQ31" s="56"/>
      <c r="BR31" s="56"/>
      <c r="CB31" s="49">
        <f t="shared" si="3"/>
        <v>27</v>
      </c>
      <c r="CC31" s="59" t="s">
        <v>120</v>
      </c>
      <c r="CD31" s="59" t="s">
        <v>120</v>
      </c>
      <c r="CE31" s="59" t="s">
        <v>120</v>
      </c>
      <c r="CF31" s="59" t="s">
        <v>120</v>
      </c>
      <c r="CG31" s="59" t="s">
        <v>120</v>
      </c>
      <c r="CH31" s="59" t="s">
        <v>120</v>
      </c>
      <c r="CI31" s="59" t="s">
        <v>120</v>
      </c>
      <c r="CJ31" s="59" t="s">
        <v>120</v>
      </c>
      <c r="CK31" s="59" t="s">
        <v>120</v>
      </c>
      <c r="CL31" s="59" t="s">
        <v>120</v>
      </c>
      <c r="CM31" s="59" t="s">
        <v>121</v>
      </c>
      <c r="CN31" s="59" t="s">
        <v>121</v>
      </c>
      <c r="CO31" s="59" t="s">
        <v>121</v>
      </c>
      <c r="CP31" s="59" t="s">
        <v>121</v>
      </c>
      <c r="CQ31" s="59" t="s">
        <v>121</v>
      </c>
      <c r="CR31" s="59" t="s">
        <v>121</v>
      </c>
      <c r="DA31" s="96" t="str">
        <f>IF(H31=G29,G33,G29)</f>
        <v>JALOVECKÝ / SLOBODNÍKOVÁ</v>
      </c>
    </row>
    <row r="32" spans="1:108" ht="60" customHeight="1" thickBot="1">
      <c r="A32" s="49" t="str">
        <f>CONCATENATE(F33,1)</f>
        <v>MIXP81</v>
      </c>
      <c r="B32" s="548">
        <v>4</v>
      </c>
      <c r="C32" s="537" t="str">
        <f t="shared" ref="C32" si="16">IF(HLOOKUP($H$1,$CB$4:$CR$35,D32+1,0)="x","X",D32)</f>
        <v>X</v>
      </c>
      <c r="D32" s="538">
        <v>15</v>
      </c>
      <c r="E32" s="107" t="str">
        <f>IF(ISERROR(IF($J$1="n","",IF($J$1="a",VLOOKUP(C32,vylosovanie!$D$143:$O$191,11,0),"")))=TRUE,"",IF($J$1="n","",IF($J$1="a",VLOOKUP(C32,vylosovanie!$D$143:$O$191,11,0),"")))</f>
        <v>X</v>
      </c>
      <c r="F32" s="108" t="str">
        <f>IF(ISERROR(IF($J$1="n","",IF($J$1="a",VLOOKUP(C32,vylosovanie!$D$143:$O$191,12,0),"")))=TRUE,"",IF($J$1="n","",IF($J$1="a",VLOOKUP(C32,vylosovanie!$D$143:$O$191,12,0),"")))</f>
        <v>X</v>
      </c>
      <c r="G32" s="140" t="str">
        <f>VLOOKUP($A29,'zapisy k stolom'!$Y$5:$AC$3073,5,0)</f>
        <v>Tbl.: 4   H: 14.55   D: So</v>
      </c>
      <c r="H32" s="168" t="str">
        <f>IF(H31="","",VLOOKUP($A29,'zapisy k stolom'!$Y$5:$AC$3073,4,0))</f>
        <v xml:space="preserve">3:0 ( 10,7,8,,,, ) </v>
      </c>
      <c r="K32" s="116"/>
      <c r="L32" s="81"/>
      <c r="O32" s="58" t="str">
        <f t="shared" si="1"/>
        <v>MIXP81</v>
      </c>
      <c r="P32" s="58" t="str">
        <f>E32</f>
        <v>X</v>
      </c>
      <c r="R32" s="56"/>
      <c r="S32" s="56"/>
      <c r="T32" s="193">
        <f t="shared" si="2"/>
        <v>22</v>
      </c>
      <c r="U32" s="194">
        <v>29</v>
      </c>
      <c r="V32" s="193" t="str">
        <f>IF(G53=E52,E54,E52)</f>
        <v>X</v>
      </c>
      <c r="AA32" s="198"/>
      <c r="AD32" s="56"/>
      <c r="AE32" s="56"/>
      <c r="AF32" s="56"/>
      <c r="AG32" s="56"/>
      <c r="AH32" s="56"/>
      <c r="AM32" s="63"/>
      <c r="AP32" s="56"/>
      <c r="AQ32" s="56"/>
      <c r="AR32" s="56"/>
      <c r="AS32" s="56"/>
      <c r="AT32" s="56"/>
      <c r="AY32" s="63"/>
      <c r="BB32" s="56"/>
      <c r="BC32" s="56"/>
      <c r="BD32" s="56"/>
      <c r="BE32" s="56"/>
      <c r="BF32" s="56"/>
      <c r="BK32" s="63"/>
      <c r="BN32" s="56"/>
      <c r="BO32" s="56"/>
      <c r="BP32" s="56"/>
      <c r="BQ32" s="56"/>
      <c r="BR32" s="56"/>
      <c r="CB32" s="49">
        <f>CB31+1</f>
        <v>28</v>
      </c>
      <c r="CC32" s="59" t="s">
        <v>120</v>
      </c>
      <c r="CD32" s="59" t="s">
        <v>120</v>
      </c>
      <c r="CE32" s="59" t="s">
        <v>120</v>
      </c>
      <c r="CF32" s="59" t="s">
        <v>120</v>
      </c>
      <c r="CG32" s="59" t="s">
        <v>120</v>
      </c>
      <c r="CH32" s="59" t="s">
        <v>120</v>
      </c>
      <c r="CI32" s="59" t="s">
        <v>120</v>
      </c>
      <c r="CJ32" s="59" t="s">
        <v>120</v>
      </c>
      <c r="CK32" s="59" t="s">
        <v>120</v>
      </c>
      <c r="CL32" s="59" t="s">
        <v>120</v>
      </c>
      <c r="CM32" s="59" t="s">
        <v>120</v>
      </c>
      <c r="CN32" s="59" t="s">
        <v>120</v>
      </c>
      <c r="CO32" s="59" t="s">
        <v>120</v>
      </c>
      <c r="CP32" s="59" t="s">
        <v>120</v>
      </c>
      <c r="CQ32" s="59" t="s">
        <v>120</v>
      </c>
      <c r="CR32" s="59" t="s">
        <v>120</v>
      </c>
    </row>
    <row r="33" spans="1:108" ht="60" customHeight="1" thickBot="1">
      <c r="A33" s="49" t="str">
        <f>CONCATENATE(G31,2)</f>
        <v>MIXP202</v>
      </c>
      <c r="B33" s="548"/>
      <c r="C33" s="537"/>
      <c r="D33" s="538"/>
      <c r="E33" s="151"/>
      <c r="F33" s="157" t="s">
        <v>324</v>
      </c>
      <c r="G33" s="161" t="str">
        <f>IF(C32="x",E34,IF(C34="x",E32,VLOOKUP($A32,'zapisy k stolom'!$Y$5:$AC$3073,3,0)))</f>
        <v>FEČO / DZELINSKA</v>
      </c>
      <c r="H33" s="106"/>
      <c r="K33" s="116"/>
      <c r="L33" s="81"/>
      <c r="O33" s="58" t="str">
        <f t="shared" si="1"/>
        <v>MIXP202</v>
      </c>
      <c r="P33" s="58" t="str">
        <f>G33</f>
        <v>FEČO / DZELINSKA</v>
      </c>
      <c r="R33" s="56"/>
      <c r="S33" s="56"/>
      <c r="T33" s="193">
        <f t="shared" si="2"/>
        <v>23</v>
      </c>
      <c r="U33" s="194">
        <v>30</v>
      </c>
      <c r="V33" s="193" t="str">
        <f>IF(G57=E56,E58,E56)</f>
        <v>IVANČO / HURBANOVÁ</v>
      </c>
      <c r="AA33" s="198"/>
      <c r="AD33" s="56"/>
      <c r="AE33" s="56"/>
      <c r="AF33" s="56"/>
      <c r="AG33" s="56"/>
      <c r="AH33" s="56"/>
      <c r="AM33" s="63"/>
      <c r="AP33" s="56"/>
      <c r="AQ33" s="56"/>
      <c r="AR33" s="56"/>
      <c r="AS33" s="56"/>
      <c r="AT33" s="56"/>
      <c r="AY33" s="63"/>
      <c r="BB33" s="56"/>
      <c r="BC33" s="56"/>
      <c r="BD33" s="56"/>
      <c r="BE33" s="56"/>
      <c r="BF33" s="56"/>
      <c r="BK33" s="63"/>
      <c r="BN33" s="56"/>
      <c r="BO33" s="56"/>
      <c r="BP33" s="56"/>
      <c r="BQ33" s="56"/>
      <c r="BR33" s="56"/>
      <c r="CB33" s="49">
        <f t="shared" si="3"/>
        <v>29</v>
      </c>
      <c r="CC33" s="59" t="s">
        <v>120</v>
      </c>
      <c r="CD33" s="59" t="s">
        <v>120</v>
      </c>
      <c r="CE33" s="59" t="s">
        <v>120</v>
      </c>
      <c r="CF33" s="59" t="s">
        <v>120</v>
      </c>
      <c r="CG33" s="59" t="s">
        <v>120</v>
      </c>
      <c r="CH33" s="59" t="s">
        <v>120</v>
      </c>
      <c r="CI33" s="59" t="s">
        <v>120</v>
      </c>
      <c r="CJ33" s="59" t="s">
        <v>120</v>
      </c>
      <c r="CK33" s="59" t="s">
        <v>120</v>
      </c>
      <c r="CL33" s="59" t="s">
        <v>120</v>
      </c>
      <c r="CM33" s="59" t="s">
        <v>120</v>
      </c>
      <c r="CN33" s="59" t="s">
        <v>120</v>
      </c>
      <c r="CO33" s="59" t="s">
        <v>120</v>
      </c>
      <c r="CP33" s="59" t="s">
        <v>120</v>
      </c>
      <c r="CQ33" s="59" t="s">
        <v>120</v>
      </c>
      <c r="CR33" s="59" t="s">
        <v>120</v>
      </c>
      <c r="DC33" s="49">
        <f>IF(DD33="x",0,MAX(DC$5:$DY32)+1)</f>
        <v>0</v>
      </c>
      <c r="DD33" s="87" t="str">
        <f>IF(G33=E32,E34,E32)</f>
        <v>X</v>
      </c>
    </row>
    <row r="34" spans="1:108" ht="60" customHeight="1" thickBot="1">
      <c r="A34" s="49" t="str">
        <f>CONCATENATE(F33,2)</f>
        <v>MIXP82</v>
      </c>
      <c r="B34" s="552">
        <v>1</v>
      </c>
      <c r="C34" s="537">
        <f t="shared" ref="C34" si="17">IF(HLOOKUP($H$1,$CB$4:$CR$35,D34+1,0)="x","X",D34)</f>
        <v>16</v>
      </c>
      <c r="D34" s="538">
        <v>16</v>
      </c>
      <c r="E34" s="107" t="str">
        <f>IF(ISERROR(IF($J$1="n","",IF($J$1="a",VLOOKUP(C34,vylosovanie!$D$143:$O$191,11,0),"")))=TRUE,"",IF($J$1="n","",IF($J$1="a",VLOOKUP(C34,vylosovanie!$D$143:$O$191,11,0),"")))</f>
        <v>FEČO / DZELINSKA</v>
      </c>
      <c r="F34" s="114" t="str">
        <f>IF(ISERROR(IF($J$1="n","",IF($J$1="a",VLOOKUP(C34,vylosovanie!$D$143:$O$191,12,0),"")))=TRUE,"",IF($J$1="n","",IF($J$1="a",VLOOKUP(C34,vylosovanie!$D$143:$O$191,12,0),"")))</f>
        <v>MŠK VSTK VRANOV NAD TOPĽOU / ŠKST MICHALOVCE/STK LOKOMOTÍVA KOŠICE</v>
      </c>
      <c r="G34" s="106" t="str">
        <f>IF(G33="","",IF(OR(C32="x",C34="x"),"",VLOOKUP($A32,'zapisy k stolom'!$Y$5:$AC$3073,4,0)))</f>
        <v/>
      </c>
      <c r="H34" s="106"/>
      <c r="K34" s="116"/>
      <c r="L34" s="81"/>
      <c r="O34" s="58" t="str">
        <f t="shared" si="1"/>
        <v>MIXP82</v>
      </c>
      <c r="P34" s="58" t="str">
        <f>E34</f>
        <v>FEČO / DZELINSKA</v>
      </c>
      <c r="T34" s="193">
        <f t="shared" si="2"/>
        <v>24</v>
      </c>
      <c r="U34" s="194">
        <v>31</v>
      </c>
      <c r="V34" s="193" t="str">
        <f>IF(G61=E60,E62,E60)</f>
        <v>DELINČAK / PISARČIKOVÁ</v>
      </c>
      <c r="CB34" s="49">
        <f t="shared" si="3"/>
        <v>30</v>
      </c>
      <c r="CC34" s="59" t="s">
        <v>120</v>
      </c>
      <c r="CD34" s="59" t="s">
        <v>120</v>
      </c>
      <c r="CE34" s="59" t="s">
        <v>120</v>
      </c>
      <c r="CF34" s="59" t="s">
        <v>120</v>
      </c>
      <c r="CG34" s="59" t="s">
        <v>120</v>
      </c>
      <c r="CH34" s="59" t="s">
        <v>120</v>
      </c>
      <c r="CI34" s="59" t="s">
        <v>120</v>
      </c>
      <c r="CJ34" s="59" t="s">
        <v>120</v>
      </c>
      <c r="CK34" s="59" t="s">
        <v>120</v>
      </c>
      <c r="CL34" s="59" t="s">
        <v>120</v>
      </c>
      <c r="CM34" s="59" t="s">
        <v>120</v>
      </c>
      <c r="CN34" s="59" t="s">
        <v>120</v>
      </c>
      <c r="CO34" s="59" t="s">
        <v>120</v>
      </c>
      <c r="CP34" s="59" t="s">
        <v>120</v>
      </c>
      <c r="CQ34" s="59" t="s">
        <v>120</v>
      </c>
      <c r="CR34" s="59" t="s">
        <v>121</v>
      </c>
    </row>
    <row r="35" spans="1:108" ht="60" customHeight="1" thickBot="1">
      <c r="B35" s="552"/>
      <c r="C35" s="537"/>
      <c r="D35" s="538"/>
      <c r="G35" s="106"/>
      <c r="H35" s="106"/>
      <c r="J35" s="159" t="s">
        <v>347</v>
      </c>
      <c r="K35" s="123" t="str">
        <f>VLOOKUP($A19,'zapisy k stolom'!$Y$5:$AC$3073,3,0)</f>
        <v>PINDURA / ŠINKAROVÁ</v>
      </c>
      <c r="L35" s="82"/>
      <c r="O35" s="58">
        <f t="shared" si="1"/>
        <v>0</v>
      </c>
      <c r="P35" s="64"/>
      <c r="T35" s="193">
        <f t="shared" si="2"/>
        <v>24</v>
      </c>
      <c r="U35" s="194">
        <v>32</v>
      </c>
      <c r="V35" s="193" t="str">
        <f>IF(G65=E64,E66,E64)</f>
        <v>X</v>
      </c>
      <c r="W35" s="197"/>
      <c r="X35" s="197"/>
      <c r="AA35" s="198"/>
      <c r="AB35" s="64"/>
      <c r="AH35" s="531"/>
      <c r="AI35" s="531"/>
      <c r="AJ35" s="531"/>
      <c r="AM35" s="63"/>
      <c r="AN35" s="64"/>
      <c r="AT35" s="531"/>
      <c r="AU35" s="531"/>
      <c r="AV35" s="531"/>
      <c r="AY35" s="63"/>
      <c r="AZ35" s="64"/>
      <c r="BF35" s="531"/>
      <c r="BG35" s="531"/>
      <c r="BH35" s="531"/>
      <c r="BK35" s="63"/>
      <c r="BL35" s="64"/>
      <c r="BR35" s="531"/>
      <c r="BS35" s="531"/>
      <c r="BT35" s="531"/>
      <c r="CB35" s="49">
        <f t="shared" si="3"/>
        <v>31</v>
      </c>
      <c r="CC35" s="59" t="s">
        <v>120</v>
      </c>
      <c r="CD35" s="59" t="s">
        <v>120</v>
      </c>
      <c r="CE35" s="59" t="s">
        <v>121</v>
      </c>
      <c r="CF35" s="59" t="s">
        <v>121</v>
      </c>
      <c r="CG35" s="59" t="s">
        <v>121</v>
      </c>
      <c r="CH35" s="59" t="s">
        <v>121</v>
      </c>
      <c r="CI35" s="59" t="s">
        <v>121</v>
      </c>
      <c r="CJ35" s="59" t="s">
        <v>121</v>
      </c>
      <c r="CK35" s="59" t="s">
        <v>121</v>
      </c>
      <c r="CL35" s="59" t="s">
        <v>121</v>
      </c>
      <c r="CM35" s="59" t="s">
        <v>121</v>
      </c>
      <c r="CN35" s="59" t="s">
        <v>121</v>
      </c>
      <c r="CO35" s="59" t="s">
        <v>121</v>
      </c>
      <c r="CP35" s="59" t="s">
        <v>121</v>
      </c>
      <c r="CQ35" s="59" t="s">
        <v>121</v>
      </c>
      <c r="CR35" s="59" t="s">
        <v>121</v>
      </c>
    </row>
    <row r="36" spans="1:108" ht="60" customHeight="1" thickBot="1">
      <c r="A36" s="49" t="str">
        <f>CONCATENATE(F37,1)</f>
        <v>MIXP91</v>
      </c>
      <c r="B36" s="552">
        <v>1</v>
      </c>
      <c r="C36" s="537">
        <f t="shared" ref="C36" si="18">IF(HLOOKUP($H$1,$CB$4:$CR$35,D36+1,0)="x","X",D36)</f>
        <v>17</v>
      </c>
      <c r="D36" s="538">
        <v>17</v>
      </c>
      <c r="E36" s="107" t="str">
        <f>IF(ISERROR(IF($J$1="n","",IF($J$1="a",VLOOKUP(C36,vylosovanie!$D$143:$O$191,11,0),"")))=TRUE,"",IF($J$1="n","",IF($J$1="a",VLOOKUP(C36,vylosovanie!$D$143:$O$191,11,0),"")))</f>
        <v>PINDURA / ŠINKAROVÁ</v>
      </c>
      <c r="F36" s="108" t="str">
        <f>IF(ISERROR(IF($J$1="n","",IF($J$1="a",VLOOKUP(C36,vylosovanie!$D$143:$O$191,12,0),"")))=TRUE,"",IF($J$1="n","",IF($J$1="a",VLOOKUP(C36,vylosovanie!$D$143:$O$191,12,0),"")))</f>
        <v>ŠKST RUŽOMBEROK / ŠKST MICHALOVCE</v>
      </c>
      <c r="G36" s="156"/>
      <c r="H36" s="106"/>
      <c r="J36" s="110" t="str">
        <f>VLOOKUP($A19,'zapisy k stolom'!$Y$5:$AC$3073,5,0)</f>
        <v>Tbl.: 1   H: 12.00   D: Ne</v>
      </c>
      <c r="K36" s="146" t="str">
        <f>IF(K35="","",VLOOKUP($A19,'zapisy k stolom'!$Y$5:$AC$3073,4,0))</f>
        <v xml:space="preserve">3:1 ( 5,11,-9,9,,, ) </v>
      </c>
      <c r="L36" s="82"/>
      <c r="O36" s="58" t="str">
        <f t="shared" si="1"/>
        <v>MIXP91</v>
      </c>
      <c r="P36" s="58" t="str">
        <f>E36</f>
        <v>PINDURA / ŠINKAROVÁ</v>
      </c>
      <c r="R36" s="56"/>
      <c r="S36" s="56"/>
      <c r="AA36" s="198"/>
      <c r="AD36" s="56"/>
      <c r="AE36" s="56"/>
      <c r="AF36" s="56"/>
      <c r="AG36" s="56"/>
      <c r="AH36" s="56"/>
      <c r="AM36" s="63"/>
      <c r="AP36" s="56"/>
      <c r="AQ36" s="56"/>
      <c r="AR36" s="56"/>
      <c r="AS36" s="56"/>
      <c r="AT36" s="56"/>
      <c r="AY36" s="63"/>
      <c r="BB36" s="56"/>
      <c r="BC36" s="56"/>
      <c r="BD36" s="56"/>
      <c r="BE36" s="56"/>
      <c r="BF36" s="56"/>
      <c r="BK36" s="63"/>
      <c r="BN36" s="56"/>
      <c r="BO36" s="56"/>
      <c r="BP36" s="56"/>
      <c r="BQ36" s="56"/>
      <c r="BR36" s="56"/>
      <c r="CB36" s="49">
        <f t="shared" si="3"/>
        <v>32</v>
      </c>
      <c r="CC36" s="59" t="s">
        <v>120</v>
      </c>
      <c r="CD36" s="59" t="s">
        <v>120</v>
      </c>
      <c r="CE36" s="59" t="s">
        <v>120</v>
      </c>
      <c r="CF36" s="59" t="s">
        <v>120</v>
      </c>
      <c r="CG36" s="59" t="s">
        <v>120</v>
      </c>
      <c r="CH36" s="59" t="s">
        <v>120</v>
      </c>
      <c r="CI36" s="59" t="s">
        <v>120</v>
      </c>
      <c r="CJ36" s="59" t="s">
        <v>120</v>
      </c>
      <c r="CK36" s="59" t="s">
        <v>120</v>
      </c>
      <c r="CL36" s="59" t="s">
        <v>120</v>
      </c>
      <c r="CM36" s="59" t="s">
        <v>120</v>
      </c>
      <c r="CN36" s="59" t="s">
        <v>120</v>
      </c>
      <c r="CO36" s="59" t="s">
        <v>120</v>
      </c>
      <c r="CP36" s="59" t="s">
        <v>120</v>
      </c>
      <c r="CQ36" s="59" t="s">
        <v>120</v>
      </c>
      <c r="CR36" s="59" t="s">
        <v>120</v>
      </c>
    </row>
    <row r="37" spans="1:108" ht="60" customHeight="1" thickBot="1">
      <c r="A37" s="49" t="str">
        <f>CONCATENATE(G39,1)</f>
        <v>MIXP211</v>
      </c>
      <c r="B37" s="552"/>
      <c r="C37" s="537"/>
      <c r="D37" s="538"/>
      <c r="E37" s="151"/>
      <c r="F37" s="157" t="s">
        <v>325</v>
      </c>
      <c r="G37" s="106" t="str">
        <f>IF(C36="x",E38,IF(C38="x",E36,VLOOKUP($A36,'zapisy k stolom'!$Y$5:$AC$3073,3,0)))</f>
        <v>PINDURA / ŠINKAROVÁ</v>
      </c>
      <c r="H37" s="156"/>
      <c r="K37" s="116"/>
      <c r="L37" s="81"/>
      <c r="O37" s="58" t="str">
        <f t="shared" si="1"/>
        <v>MIXP211</v>
      </c>
      <c r="P37" s="58" t="str">
        <f>G37</f>
        <v>PINDURA / ŠINKAROVÁ</v>
      </c>
      <c r="R37" s="56"/>
      <c r="S37" s="56"/>
      <c r="AA37" s="198"/>
      <c r="AD37" s="56"/>
      <c r="AE37" s="56"/>
      <c r="AF37" s="56"/>
      <c r="AG37" s="56"/>
      <c r="AH37" s="56"/>
      <c r="AM37" s="63"/>
      <c r="AP37" s="56"/>
      <c r="AQ37" s="56"/>
      <c r="AR37" s="56"/>
      <c r="AS37" s="56"/>
      <c r="AT37" s="56"/>
      <c r="AY37" s="63"/>
      <c r="BB37" s="56"/>
      <c r="BC37" s="56"/>
      <c r="BD37" s="56"/>
      <c r="BE37" s="56"/>
      <c r="BF37" s="56"/>
      <c r="BK37" s="63"/>
      <c r="BN37" s="56"/>
      <c r="BO37" s="56"/>
      <c r="BP37" s="56"/>
      <c r="BQ37" s="56"/>
      <c r="BR37" s="56"/>
      <c r="DC37" s="49">
        <f>IF(DD37="x",0,MAX(DC$5:$DY36)+1)</f>
        <v>0</v>
      </c>
      <c r="DD37" s="87" t="str">
        <f>IF(G37=E36,E38,E36)</f>
        <v>X</v>
      </c>
    </row>
    <row r="38" spans="1:108" ht="60" customHeight="1" thickBot="1">
      <c r="A38" s="49" t="str">
        <f>CONCATENATE(F37,2)</f>
        <v>MIXP92</v>
      </c>
      <c r="B38" s="548">
        <v>4</v>
      </c>
      <c r="C38" s="537" t="str">
        <f t="shared" ref="C38" si="19">IF(HLOOKUP($H$1,$CB$4:$CR$35,D38+1,0)="x","X",D38)</f>
        <v>X</v>
      </c>
      <c r="D38" s="538">
        <v>18</v>
      </c>
      <c r="E38" s="107" t="str">
        <f>IF(ISERROR(IF($J$1="n","",IF($J$1="a",VLOOKUP(C38,vylosovanie!$D$143:$O$191,11,0),"")))=TRUE,"",IF($J$1="n","",IF($J$1="a",VLOOKUP(C38,vylosovanie!$D$143:$O$191,11,0),"")))</f>
        <v>X</v>
      </c>
      <c r="F38" s="108" t="str">
        <f>IF(ISERROR(IF($J$1="n","",IF($J$1="a",VLOOKUP(C38,vylosovanie!$D$143:$O$191,12,0),"")))=TRUE,"",IF($J$1="n","",IF($J$1="a",VLOOKUP(C38,vylosovanie!$D$143:$O$191,12,0),"")))</f>
        <v>X</v>
      </c>
      <c r="G38" s="158" t="str">
        <f>IF(G37="","",IF(OR(C36="x",C38="x"),"",VLOOKUP($A36,'zapisy k stolom'!$Y$5:$AC$3073,4,0)))</f>
        <v/>
      </c>
      <c r="H38" s="106"/>
      <c r="K38" s="116"/>
      <c r="L38" s="81"/>
      <c r="O38" s="58" t="str">
        <f t="shared" si="1"/>
        <v>MIXP92</v>
      </c>
      <c r="P38" s="58" t="str">
        <f>E38</f>
        <v>X</v>
      </c>
      <c r="R38" s="56"/>
      <c r="S38" s="56"/>
      <c r="AA38" s="198"/>
      <c r="AD38" s="56"/>
      <c r="AE38" s="56"/>
      <c r="AF38" s="56"/>
      <c r="AG38" s="56"/>
      <c r="AH38" s="56"/>
      <c r="AM38" s="63"/>
      <c r="AP38" s="56"/>
      <c r="AQ38" s="56"/>
      <c r="AR38" s="56"/>
      <c r="AS38" s="56"/>
      <c r="AT38" s="56"/>
      <c r="AY38" s="63"/>
      <c r="BB38" s="56"/>
      <c r="BC38" s="56"/>
      <c r="BD38" s="56"/>
      <c r="BE38" s="56"/>
      <c r="BF38" s="56"/>
      <c r="BK38" s="63"/>
      <c r="BN38" s="56"/>
      <c r="BO38" s="56"/>
      <c r="BP38" s="56"/>
      <c r="BQ38" s="56"/>
      <c r="BR38" s="56"/>
    </row>
    <row r="39" spans="1:108" ht="60" customHeight="1" thickBot="1">
      <c r="A39" s="49" t="str">
        <f>CONCATENATE(H43,1)</f>
        <v>MIXP271</v>
      </c>
      <c r="B39" s="548"/>
      <c r="C39" s="537"/>
      <c r="D39" s="538"/>
      <c r="G39" s="159" t="s">
        <v>337</v>
      </c>
      <c r="H39" s="123" t="str">
        <f>VLOOKUP($A37,'zapisy k stolom'!$Y$5:$AC$3073,3,0)</f>
        <v>PINDURA / ŠINKAROVÁ</v>
      </c>
      <c r="I39" s="109"/>
      <c r="K39" s="116"/>
      <c r="L39" s="81"/>
      <c r="O39" s="58" t="str">
        <f t="shared" si="1"/>
        <v>MIXP271</v>
      </c>
      <c r="P39" s="58" t="str">
        <f>H39</f>
        <v>PINDURA / ŠINKAROVÁ</v>
      </c>
      <c r="R39" s="56"/>
      <c r="S39" s="56"/>
      <c r="AA39" s="198"/>
      <c r="AD39" s="56"/>
      <c r="AE39" s="56"/>
      <c r="AF39" s="56"/>
      <c r="AG39" s="56"/>
      <c r="AH39" s="56"/>
      <c r="AM39" s="63"/>
      <c r="AP39" s="56"/>
      <c r="AQ39" s="56"/>
      <c r="AR39" s="56"/>
      <c r="AS39" s="56"/>
      <c r="AT39" s="56"/>
      <c r="AY39" s="63"/>
      <c r="BB39" s="56"/>
      <c r="BC39" s="56"/>
      <c r="BD39" s="56"/>
      <c r="BE39" s="56"/>
      <c r="BF39" s="56"/>
      <c r="BK39" s="63"/>
      <c r="BN39" s="56"/>
      <c r="BO39" s="56"/>
      <c r="BP39" s="56"/>
      <c r="BQ39" s="56"/>
      <c r="BR39" s="56"/>
      <c r="DA39" s="96" t="str">
        <f>IF(H39=G37,G41,G37)</f>
        <v>MARUNIAK / VOJTASOVA</v>
      </c>
    </row>
    <row r="40" spans="1:108" ht="60" customHeight="1" thickBot="1">
      <c r="A40" s="49" t="str">
        <f>CONCATENATE(F41,1)</f>
        <v>MIXP101</v>
      </c>
      <c r="B40" s="548">
        <v>4</v>
      </c>
      <c r="C40" s="537">
        <f t="shared" ref="C40" si="20">IF(HLOOKUP($H$1,$CB$4:$CR$35,D40+1,0)="x","X",D40)</f>
        <v>19</v>
      </c>
      <c r="D40" s="538">
        <v>19</v>
      </c>
      <c r="E40" s="107" t="str">
        <f>IF(ISERROR(IF($J$1="n","",IF($J$1="a",VLOOKUP(C40,vylosovanie!$D$143:$O$191,11,0),"")))=TRUE,"",IF($J$1="n","",IF($J$1="a",VLOOKUP(C40,vylosovanie!$D$143:$O$191,11,0),"")))</f>
        <v>FREUND / LEDAJOVÁ</v>
      </c>
      <c r="F40" s="108" t="str">
        <f>IF(ISERROR(IF($J$1="n","",IF($J$1="a",VLOOKUP(C40,vylosovanie!$D$143:$O$191,12,0),"")))=TRUE,"",IF($J$1="n","",IF($J$1="a",VLOOKUP(C40,vylosovanie!$D$143:$O$191,12,0),"")))</f>
        <v>MSK MALACKY / STK OROL OTRHÁNKY</v>
      </c>
      <c r="G40" s="109" t="str">
        <f>VLOOKUP($A37,'zapisy k stolom'!$Y$5:$AC$3073,5,0)</f>
        <v>Tbl.: 5   H: 14.55   D: So</v>
      </c>
      <c r="H40" s="166" t="str">
        <f>IF(H39="","",VLOOKUP($A37,'zapisy k stolom'!$Y$5:$AC$3073,4,0))</f>
        <v xml:space="preserve">3:0 ( 9,5,4,,,, ) </v>
      </c>
      <c r="I40" s="116"/>
      <c r="K40" s="116"/>
      <c r="L40" s="57"/>
      <c r="M40" s="52"/>
      <c r="O40" s="58" t="str">
        <f t="shared" si="1"/>
        <v>MIXP101</v>
      </c>
      <c r="P40" s="58" t="str">
        <f>E40</f>
        <v>FREUND / LEDAJOVÁ</v>
      </c>
    </row>
    <row r="41" spans="1:108" ht="60" customHeight="1" thickBot="1">
      <c r="A41" s="49" t="str">
        <f>CONCATENATE(G39,2)</f>
        <v>MIXP212</v>
      </c>
      <c r="B41" s="548"/>
      <c r="C41" s="537"/>
      <c r="D41" s="538"/>
      <c r="E41" s="111" t="str">
        <f>VLOOKUP($A40,'zapisy k stolom'!$Y$5:$AC$3073,5,0)</f>
        <v>Tbl.: 5   H: 14.25   D: So</v>
      </c>
      <c r="F41" s="160" t="s">
        <v>326</v>
      </c>
      <c r="G41" s="161" t="str">
        <f>IF(C40="x",E42,IF(C42="x",E40,VLOOKUP($A40,'zapisy k stolom'!$Y$5:$AC$3073,3,0)))</f>
        <v>MARUNIAK / VOJTASOVA</v>
      </c>
      <c r="H41" s="116"/>
      <c r="I41" s="116"/>
      <c r="K41" s="116"/>
      <c r="L41" s="57"/>
      <c r="M41" s="52"/>
      <c r="O41" s="58" t="str">
        <f t="shared" si="1"/>
        <v>MIXP212</v>
      </c>
      <c r="P41" s="64" t="str">
        <f>G41</f>
        <v>MARUNIAK / VOJTASOVA</v>
      </c>
      <c r="W41" s="197"/>
      <c r="X41" s="197"/>
      <c r="AA41" s="198"/>
      <c r="AB41" s="64"/>
      <c r="AH41" s="531"/>
      <c r="AI41" s="531"/>
      <c r="AJ41" s="531"/>
      <c r="AM41" s="63"/>
      <c r="AN41" s="64"/>
      <c r="AT41" s="531"/>
      <c r="AU41" s="531"/>
      <c r="AV41" s="531"/>
      <c r="AY41" s="63"/>
      <c r="AZ41" s="64"/>
      <c r="BF41" s="531"/>
      <c r="BG41" s="531"/>
      <c r="BH41" s="531"/>
      <c r="BK41" s="63"/>
      <c r="BL41" s="64"/>
      <c r="BR41" s="531"/>
      <c r="BS41" s="531"/>
      <c r="BT41" s="531"/>
      <c r="DC41" s="49">
        <f>IF(DD41="x",0,MAX(DC$5:$DY40)+1)</f>
        <v>5</v>
      </c>
      <c r="DD41" s="87" t="str">
        <f>IF(G41=E40,E42,E40)</f>
        <v>FREUND / LEDAJOVÁ</v>
      </c>
    </row>
    <row r="42" spans="1:108" ht="60" customHeight="1" thickBot="1">
      <c r="A42" s="49" t="str">
        <f>CONCATENATE(F41,2)</f>
        <v>MIXP102</v>
      </c>
      <c r="B42" s="550">
        <v>3</v>
      </c>
      <c r="C42" s="537">
        <f t="shared" ref="C42" si="21">IF(HLOOKUP($H$1,$CB$4:$CR$35,D42+1,0)="x","X",D42)</f>
        <v>20</v>
      </c>
      <c r="D42" s="538">
        <v>20</v>
      </c>
      <c r="E42" s="107" t="str">
        <f>IF(ISERROR(IF($J$1="n","",IF($J$1="a",VLOOKUP(C42,vylosovanie!$D$143:$O$191,11,0),"")))=TRUE,"",IF($J$1="n","",IF($J$1="a",VLOOKUP(C42,vylosovanie!$D$143:$O$191,11,0),"")))</f>
        <v>MARUNIAK / VOJTASOVA</v>
      </c>
      <c r="F42" s="114" t="str">
        <f>IF(ISERROR(IF($J$1="n","",IF($J$1="a",VLOOKUP(C42,vylosovanie!$D$143:$O$191,12,0),"")))=TRUE,"",IF($J$1="n","",IF($J$1="a",VLOOKUP(C42,vylosovanie!$D$143:$O$191,12,0),"")))</f>
        <v>MSTK VTJ MARTIN / ZŠ LIETAVSKÁ LÚČKA</v>
      </c>
      <c r="G42" s="168" t="str">
        <f>IF(G41="","",IF(OR(C40="x",C42="x"),"",VLOOKUP($A40,'zapisy k stolom'!$Y$5:$AC$3073,4,0)))</f>
        <v xml:space="preserve">3:1 ( 7,7,-10,5,,, ) </v>
      </c>
      <c r="H42" s="110"/>
      <c r="I42" s="116"/>
      <c r="K42" s="116"/>
      <c r="L42" s="57"/>
      <c r="M42" s="52"/>
      <c r="O42" s="58" t="str">
        <f t="shared" si="1"/>
        <v>MIXP102</v>
      </c>
      <c r="P42" s="58" t="str">
        <f>E42</f>
        <v>MARUNIAK / VOJTASOVA</v>
      </c>
      <c r="R42" s="56"/>
      <c r="S42" s="56"/>
      <c r="AA42" s="198"/>
      <c r="AD42" s="56"/>
      <c r="AE42" s="56"/>
      <c r="AF42" s="56"/>
      <c r="AG42" s="56"/>
      <c r="AH42" s="56"/>
      <c r="AM42" s="63"/>
      <c r="AP42" s="56"/>
      <c r="AQ42" s="56"/>
      <c r="AR42" s="56"/>
      <c r="AS42" s="56"/>
      <c r="AT42" s="56"/>
      <c r="AY42" s="63"/>
      <c r="BB42" s="56"/>
      <c r="BC42" s="56"/>
      <c r="BD42" s="56"/>
      <c r="BE42" s="56"/>
      <c r="BF42" s="56"/>
      <c r="BK42" s="63"/>
      <c r="BN42" s="56"/>
      <c r="BO42" s="56"/>
      <c r="BP42" s="56"/>
      <c r="BQ42" s="56"/>
      <c r="BR42" s="56"/>
    </row>
    <row r="43" spans="1:108" ht="60" customHeight="1" thickBot="1">
      <c r="A43" s="49" t="str">
        <f>CONCATENATE(I51,1)</f>
        <v>MIXP301</v>
      </c>
      <c r="B43" s="550"/>
      <c r="C43" s="537"/>
      <c r="D43" s="538"/>
      <c r="G43" s="106"/>
      <c r="H43" s="159" t="s">
        <v>343</v>
      </c>
      <c r="I43" s="123" t="str">
        <f>VLOOKUP($A39,'zapisy k stolom'!$Y$5:$AC$3073,3,0)</f>
        <v>PINDURA / ŠINKAROVÁ</v>
      </c>
      <c r="J43" s="109"/>
      <c r="K43" s="116"/>
      <c r="L43" s="57"/>
      <c r="M43" s="52"/>
      <c r="O43" s="58" t="str">
        <f t="shared" si="1"/>
        <v>MIXP301</v>
      </c>
      <c r="P43" s="58" t="str">
        <f>I43</f>
        <v>PINDURA / ŠINKAROVÁ</v>
      </c>
      <c r="R43" s="56"/>
      <c r="S43" s="56"/>
      <c r="AA43" s="198"/>
      <c r="AD43" s="56"/>
      <c r="AE43" s="56"/>
      <c r="AF43" s="56"/>
      <c r="AG43" s="56"/>
      <c r="AH43" s="56"/>
      <c r="AM43" s="63"/>
      <c r="AP43" s="56"/>
      <c r="AQ43" s="56"/>
      <c r="AR43" s="56"/>
      <c r="AS43" s="56"/>
      <c r="AT43" s="56"/>
      <c r="AY43" s="63"/>
      <c r="BB43" s="56"/>
      <c r="BC43" s="56"/>
      <c r="BD43" s="56"/>
      <c r="BE43" s="56"/>
      <c r="BF43" s="56"/>
      <c r="BK43" s="63"/>
      <c r="BN43" s="56"/>
      <c r="BO43" s="56"/>
      <c r="BP43" s="56"/>
      <c r="BQ43" s="56"/>
      <c r="BR43" s="56"/>
      <c r="CZ43" s="97" t="str">
        <f>IF(I43=H39,H47,H39)</f>
        <v>TUREK / DZUROVÁ</v>
      </c>
    </row>
    <row r="44" spans="1:108" ht="60" customHeight="1" thickBot="1">
      <c r="A44" s="49" t="str">
        <f>CONCATENATE(F45,1)</f>
        <v>MIXP111</v>
      </c>
      <c r="B44" s="550">
        <v>3</v>
      </c>
      <c r="C44" s="537">
        <f t="shared" ref="C44" si="22">IF(HLOOKUP($H$1,$CB$4:$CR$35,D44+1,0)="x","X",D44)</f>
        <v>21</v>
      </c>
      <c r="D44" s="538">
        <v>21</v>
      </c>
      <c r="E44" s="107" t="str">
        <f>IF(ISERROR(IF($J$1="n","",IF($J$1="a",VLOOKUP(C44,vylosovanie!$D$143:$O$191,11,0),"")))=TRUE,"",IF($J$1="n","",IF($J$1="a",VLOOKUP(C44,vylosovanie!$D$143:$O$191,11,0),"")))</f>
        <v>TUREK / DZUROVÁ</v>
      </c>
      <c r="F44" s="108" t="str">
        <f>IF(ISERROR(IF($J$1="n","",IF($J$1="a",VLOOKUP(C44,vylosovanie!$D$143:$O$191,12,0),"")))=TRUE,"",IF($J$1="n","",IF($J$1="a",VLOOKUP(C44,vylosovanie!$D$143:$O$191,12,0),"")))</f>
        <v>ŠK ŠOG NITRA / STK STARÁ TURÁ</v>
      </c>
      <c r="G44" s="156"/>
      <c r="H44" s="110" t="str">
        <f>VLOOKUP($A39,'zapisy k stolom'!$Y$5:$AC$3073,5,0)</f>
        <v>Tbl.: 6   H: 17.30   D: So</v>
      </c>
      <c r="I44" s="166" t="str">
        <f>IF(I43="","",VLOOKUP($A39,'zapisy k stolom'!$Y$5:$AC$3073,4,0))</f>
        <v xml:space="preserve">3:0 ( 7,6,9,,,, ) </v>
      </c>
      <c r="J44" s="116"/>
      <c r="K44" s="116"/>
      <c r="L44" s="57"/>
      <c r="M44" s="52"/>
      <c r="O44" s="58" t="str">
        <f t="shared" si="1"/>
        <v>MIXP111</v>
      </c>
      <c r="P44" s="58" t="str">
        <f>E44</f>
        <v>TUREK / DZUROVÁ</v>
      </c>
      <c r="R44" s="56"/>
      <c r="S44" s="56"/>
      <c r="AA44" s="198"/>
      <c r="AD44" s="56"/>
      <c r="AE44" s="56"/>
      <c r="AF44" s="56"/>
      <c r="AG44" s="56"/>
      <c r="AH44" s="56"/>
      <c r="AM44" s="63"/>
      <c r="AP44" s="56"/>
      <c r="AQ44" s="56"/>
      <c r="AR44" s="56"/>
      <c r="AS44" s="56"/>
      <c r="AT44" s="56"/>
      <c r="AY44" s="63"/>
      <c r="BB44" s="56"/>
      <c r="BC44" s="56"/>
      <c r="BD44" s="56"/>
      <c r="BE44" s="56"/>
      <c r="BF44" s="56"/>
      <c r="BK44" s="63"/>
      <c r="BN44" s="56"/>
      <c r="BO44" s="56"/>
      <c r="BP44" s="56"/>
      <c r="BQ44" s="56"/>
      <c r="BR44" s="56"/>
    </row>
    <row r="45" spans="1:108" ht="60" customHeight="1" thickBot="1">
      <c r="A45" s="49" t="str">
        <f>CONCATENATE(G47,1)</f>
        <v>MIXP221</v>
      </c>
      <c r="B45" s="550"/>
      <c r="C45" s="537"/>
      <c r="D45" s="538"/>
      <c r="E45" s="111" t="str">
        <f>VLOOKUP($A44,'zapisy k stolom'!$Y$5:$AC$3073,5,0)</f>
        <v>Tbl.: 6   H: 14.25   D: So</v>
      </c>
      <c r="F45" s="157" t="s">
        <v>327</v>
      </c>
      <c r="G45" s="106" t="str">
        <f>IF(C44="x",E46,IF(C46="x",E44,VLOOKUP($A44,'zapisy k stolom'!$Y$5:$AC$3073,3,0)))</f>
        <v>TUREK / DZUROVÁ</v>
      </c>
      <c r="H45" s="156"/>
      <c r="I45" s="116"/>
      <c r="J45" s="116"/>
      <c r="K45" s="116"/>
      <c r="L45" s="57"/>
      <c r="M45" s="52"/>
      <c r="O45" s="58" t="str">
        <f t="shared" si="1"/>
        <v>MIXP221</v>
      </c>
      <c r="P45" s="58" t="str">
        <f>G45</f>
        <v>TUREK / DZUROVÁ</v>
      </c>
      <c r="R45" s="56"/>
      <c r="S45" s="56"/>
      <c r="AA45" s="198"/>
      <c r="AD45" s="56"/>
      <c r="AE45" s="56"/>
      <c r="AF45" s="56"/>
      <c r="AG45" s="56"/>
      <c r="AH45" s="56"/>
      <c r="AM45" s="63"/>
      <c r="AP45" s="56"/>
      <c r="AQ45" s="56"/>
      <c r="AR45" s="56"/>
      <c r="AS45" s="56"/>
      <c r="AT45" s="56"/>
      <c r="AY45" s="63"/>
      <c r="BB45" s="56"/>
      <c r="BC45" s="56"/>
      <c r="BD45" s="56"/>
      <c r="BE45" s="56"/>
      <c r="BF45" s="56"/>
      <c r="BK45" s="63"/>
      <c r="BN45" s="56"/>
      <c r="BO45" s="56"/>
      <c r="BP45" s="56"/>
      <c r="BQ45" s="56"/>
      <c r="BR45" s="56"/>
      <c r="DC45" s="49">
        <f>IF(DD45="x",0,MAX(DC$5:$DY44)+1)</f>
        <v>6</v>
      </c>
      <c r="DD45" s="87" t="str">
        <f>IF(G45=E44,E46,E44)</f>
        <v>FEČO / TEREZKOVÁ</v>
      </c>
    </row>
    <row r="46" spans="1:108" ht="60" customHeight="1" thickBot="1">
      <c r="A46" s="49" t="str">
        <f>CONCATENATE(F45,2)</f>
        <v>MIXP112</v>
      </c>
      <c r="B46" s="548">
        <v>4</v>
      </c>
      <c r="C46" s="537">
        <f t="shared" ref="C46" si="23">IF(HLOOKUP($H$1,$CB$4:$CR$35,D46+1,0)="x","X",D46)</f>
        <v>22</v>
      </c>
      <c r="D46" s="538">
        <v>22</v>
      </c>
      <c r="E46" s="107" t="str">
        <f>IF(ISERROR(IF($J$1="n","",IF($J$1="a",VLOOKUP(C46,vylosovanie!$D$143:$O$191,11,0),"")))=TRUE,"",IF($J$1="n","",IF($J$1="a",VLOOKUP(C46,vylosovanie!$D$143:$O$191,11,0),"")))</f>
        <v>FEČO / TEREZKOVÁ</v>
      </c>
      <c r="F46" s="114" t="str">
        <f>IF(ISERROR(IF($J$1="n","",IF($J$1="a",VLOOKUP(C46,vylosovanie!$D$143:$O$191,12,0),"")))=TRUE,"",IF($J$1="n","",IF($J$1="a",VLOOKUP(C46,vylosovanie!$D$143:$O$191,12,0),"")))</f>
        <v>MŠK VSTK VRANOV NAD TOPĽOU / ŠKST MICHALOVCE</v>
      </c>
      <c r="G46" s="154" t="str">
        <f>IF(G45="","",IF(OR(C44="x",C46="x"),"",VLOOKUP($A44,'zapisy k stolom'!$Y$5:$AC$3073,4,0)))</f>
        <v xml:space="preserve">3:2 ( -9,3,-7,5,9,, ) </v>
      </c>
      <c r="H46" s="116"/>
      <c r="I46" s="116"/>
      <c r="J46" s="116"/>
      <c r="K46" s="116"/>
      <c r="L46" s="57"/>
      <c r="M46" s="52"/>
      <c r="O46" s="58" t="str">
        <f t="shared" si="1"/>
        <v>MIXP112</v>
      </c>
      <c r="P46" s="58" t="str">
        <f>E46</f>
        <v>FEČO / TEREZKOVÁ</v>
      </c>
    </row>
    <row r="47" spans="1:108" ht="60" customHeight="1" thickBot="1">
      <c r="A47" s="49" t="str">
        <f>CONCATENATE(H43,2)</f>
        <v>MIXP272</v>
      </c>
      <c r="B47" s="548"/>
      <c r="C47" s="537"/>
      <c r="D47" s="538"/>
      <c r="G47" s="159" t="s">
        <v>338</v>
      </c>
      <c r="H47" s="123" t="str">
        <f>VLOOKUP($A45,'zapisy k stolom'!$Y$5:$AC$3073,3,0)</f>
        <v>TUREK / DZUROVÁ</v>
      </c>
      <c r="I47" s="116"/>
      <c r="J47" s="116"/>
      <c r="K47" s="116"/>
      <c r="L47" s="57"/>
      <c r="M47" s="52"/>
      <c r="O47" s="58" t="str">
        <f t="shared" si="1"/>
        <v>MIXP272</v>
      </c>
      <c r="P47" s="64" t="str">
        <f>H47</f>
        <v>TUREK / DZUROVÁ</v>
      </c>
      <c r="W47" s="197"/>
      <c r="X47" s="197"/>
      <c r="AA47" s="198"/>
      <c r="AB47" s="64"/>
      <c r="AH47" s="531"/>
      <c r="AI47" s="531"/>
      <c r="AJ47" s="531"/>
      <c r="AM47" s="63"/>
      <c r="AN47" s="64"/>
      <c r="AT47" s="531"/>
      <c r="AU47" s="531"/>
      <c r="AV47" s="531"/>
      <c r="AY47" s="63"/>
      <c r="AZ47" s="64"/>
      <c r="BF47" s="531"/>
      <c r="BG47" s="531"/>
      <c r="BH47" s="531"/>
      <c r="BK47" s="63"/>
      <c r="BL47" s="64"/>
      <c r="BR47" s="531"/>
      <c r="BS47" s="531"/>
      <c r="BT47" s="531"/>
      <c r="DA47" s="96" t="str">
        <f>IF(H47=G45,G49,G45)</f>
        <v>CYPRICH / ŠVAJDLENKOVÁ</v>
      </c>
    </row>
    <row r="48" spans="1:108" ht="60" customHeight="1" thickBot="1">
      <c r="A48" s="49" t="str">
        <f>CONCATENATE(F49,1)</f>
        <v>MIXP121</v>
      </c>
      <c r="B48" s="548">
        <v>4</v>
      </c>
      <c r="C48" s="537" t="str">
        <f t="shared" ref="C48" si="24">IF(HLOOKUP($H$1,$CB$4:$CR$35,D48+1,0)="x","X",D48)</f>
        <v>X</v>
      </c>
      <c r="D48" s="538">
        <v>23</v>
      </c>
      <c r="E48" s="107" t="str">
        <f>IF(ISERROR(IF($J$1="n","",IF($J$1="a",VLOOKUP(C48,vylosovanie!$D$143:$O$191,11,0),"")))=TRUE,"",IF($J$1="n","",IF($J$1="a",VLOOKUP(C48,vylosovanie!$D$143:$O$191,11,0),"")))</f>
        <v>X</v>
      </c>
      <c r="F48" s="108" t="str">
        <f>IF(ISERROR(IF($J$1="n","",IF($J$1="a",VLOOKUP(C48,vylosovanie!$D$143:$O$191,12,0),"")))=TRUE,"",IF($J$1="n","",IF($J$1="a",VLOOKUP(C48,vylosovanie!$D$143:$O$191,12,0),"")))</f>
        <v>X</v>
      </c>
      <c r="G48" s="109" t="str">
        <f>VLOOKUP($A45,'zapisy k stolom'!$Y$5:$AC$3073,5,0)</f>
        <v>Tbl.: 6   H: 14.55   D: So</v>
      </c>
      <c r="H48" s="166" t="str">
        <f>IF(H47="","",VLOOKUP($A45,'zapisy k stolom'!$Y$5:$AC$3073,4,0))</f>
        <v xml:space="preserve">3:0 ( 6,7,5,,,, ) </v>
      </c>
      <c r="J48" s="116"/>
      <c r="K48" s="116"/>
      <c r="L48" s="81"/>
      <c r="O48" s="58" t="str">
        <f t="shared" si="1"/>
        <v>MIXP121</v>
      </c>
      <c r="P48" s="58" t="str">
        <f>E48</f>
        <v>X</v>
      </c>
      <c r="R48" s="56"/>
      <c r="S48" s="56"/>
      <c r="AA48" s="198"/>
      <c r="AD48" s="56"/>
      <c r="AE48" s="56"/>
      <c r="AF48" s="56"/>
      <c r="AG48" s="56"/>
      <c r="AH48" s="56"/>
      <c r="AM48" s="63"/>
      <c r="AP48" s="56"/>
      <c r="AQ48" s="56"/>
      <c r="AR48" s="56"/>
      <c r="AS48" s="56"/>
      <c r="AT48" s="56"/>
      <c r="AY48" s="63"/>
      <c r="BB48" s="56"/>
      <c r="BC48" s="56"/>
      <c r="BD48" s="56"/>
      <c r="BE48" s="56"/>
      <c r="BF48" s="56"/>
      <c r="BK48" s="63"/>
      <c r="BN48" s="56"/>
      <c r="BO48" s="56"/>
      <c r="BP48" s="56"/>
      <c r="BQ48" s="56"/>
      <c r="BR48" s="56"/>
    </row>
    <row r="49" spans="1:108" ht="60" customHeight="1" thickBot="1">
      <c r="A49" s="49" t="str">
        <f>CONCATENATE(G47,2)</f>
        <v>MIXP222</v>
      </c>
      <c r="B49" s="548"/>
      <c r="C49" s="537"/>
      <c r="D49" s="538"/>
      <c r="E49" s="151"/>
      <c r="F49" s="157" t="s">
        <v>328</v>
      </c>
      <c r="G49" s="161" t="str">
        <f>IF(C48="x",E50,IF(C50="x",E48,VLOOKUP($A48,'zapisy k stolom'!$Y$5:$AC$3073,3,0)))</f>
        <v>CYPRICH / ŠVAJDLENKOVÁ</v>
      </c>
      <c r="H49" s="116"/>
      <c r="J49" s="116"/>
      <c r="K49" s="116"/>
      <c r="L49" s="81"/>
      <c r="O49" s="58" t="str">
        <f t="shared" si="1"/>
        <v>MIXP222</v>
      </c>
      <c r="P49" s="58" t="str">
        <f>G49</f>
        <v>CYPRICH / ŠVAJDLENKOVÁ</v>
      </c>
      <c r="R49" s="56"/>
      <c r="S49" s="56"/>
      <c r="AA49" s="198"/>
      <c r="AD49" s="56"/>
      <c r="AE49" s="56"/>
      <c r="AF49" s="56"/>
      <c r="AG49" s="56"/>
      <c r="AH49" s="56"/>
      <c r="AM49" s="63"/>
      <c r="AP49" s="56"/>
      <c r="AQ49" s="56"/>
      <c r="AR49" s="56"/>
      <c r="AS49" s="56"/>
      <c r="AT49" s="56"/>
      <c r="AY49" s="63"/>
      <c r="BB49" s="56"/>
      <c r="BC49" s="56"/>
      <c r="BD49" s="56"/>
      <c r="BE49" s="56"/>
      <c r="BF49" s="56"/>
      <c r="BK49" s="63"/>
      <c r="BN49" s="56"/>
      <c r="BO49" s="56"/>
      <c r="BP49" s="56"/>
      <c r="BQ49" s="56"/>
      <c r="BR49" s="56"/>
      <c r="DC49" s="49">
        <f>IF(DD49="x",0,MAX(DC$5:$DY48)+1)</f>
        <v>0</v>
      </c>
      <c r="DD49" s="87" t="str">
        <f>IF(G49=E48,E50,E48)</f>
        <v>X</v>
      </c>
    </row>
    <row r="50" spans="1:108" ht="60" customHeight="1" thickBot="1">
      <c r="A50" s="49" t="str">
        <f>CONCATENATE(F49,2)</f>
        <v>MIXP122</v>
      </c>
      <c r="B50" s="551">
        <v>2</v>
      </c>
      <c r="C50" s="537">
        <f t="shared" ref="C50" si="25">IF(HLOOKUP($H$1,$CB$4:$CR$35,D50+1,0)="x","X",D50)</f>
        <v>24</v>
      </c>
      <c r="D50" s="538">
        <v>24</v>
      </c>
      <c r="E50" s="107" t="str">
        <f>IF(ISERROR(IF($J$1="n","",IF($J$1="a",VLOOKUP(C50,vylosovanie!$D$143:$O$191,11,0),"")))=TRUE,"",IF($J$1="n","",IF($J$1="a",VLOOKUP(C50,vylosovanie!$D$143:$O$191,11,0),"")))</f>
        <v>CYPRICH / ŠVAJDLENKOVÁ</v>
      </c>
      <c r="F50" s="114" t="str">
        <f>IF(ISERROR(IF($J$1="n","",IF($J$1="a",VLOOKUP(C50,vylosovanie!$D$143:$O$191,12,0),"")))=TRUE,"",IF($J$1="n","",IF($J$1="a",VLOOKUP(C50,vylosovanie!$D$143:$O$191,12,0),"")))</f>
        <v>MSK ČADCA / MSK MALACKY</v>
      </c>
      <c r="G50" s="106" t="str">
        <f>IF(G49="","",IF(OR(C48="x",C50="x"),"",VLOOKUP($A48,'zapisy k stolom'!$Y$5:$AC$3073,4,0)))</f>
        <v/>
      </c>
      <c r="H50" s="110"/>
      <c r="J50" s="116"/>
      <c r="K50" s="116"/>
      <c r="L50" s="81"/>
      <c r="O50" s="58" t="str">
        <f t="shared" si="1"/>
        <v>MIXP122</v>
      </c>
      <c r="P50" s="58" t="str">
        <f>E50</f>
        <v>CYPRICH / ŠVAJDLENKOVÁ</v>
      </c>
      <c r="R50" s="56"/>
      <c r="S50" s="56"/>
      <c r="W50" s="197"/>
      <c r="AA50" s="198"/>
      <c r="AD50" s="56"/>
      <c r="AE50" s="56"/>
      <c r="AF50" s="56"/>
      <c r="AG50" s="56"/>
      <c r="AH50" s="56"/>
      <c r="AM50" s="63"/>
      <c r="AP50" s="56"/>
      <c r="AQ50" s="56"/>
      <c r="AR50" s="56"/>
      <c r="AS50" s="56"/>
      <c r="AT50" s="56"/>
      <c r="AY50" s="63"/>
      <c r="BB50" s="56"/>
      <c r="BC50" s="56"/>
      <c r="BD50" s="56"/>
      <c r="BE50" s="56"/>
      <c r="BF50" s="56"/>
      <c r="BK50" s="63"/>
      <c r="BN50" s="56"/>
      <c r="BO50" s="56"/>
      <c r="BP50" s="56"/>
      <c r="BQ50" s="56"/>
      <c r="BR50" s="56"/>
    </row>
    <row r="51" spans="1:108" ht="60" customHeight="1" thickBot="1">
      <c r="A51" s="49" t="str">
        <f>CONCATENATE(J35,2)</f>
        <v>MIXP312</v>
      </c>
      <c r="B51" s="551"/>
      <c r="C51" s="537"/>
      <c r="D51" s="538"/>
      <c r="G51" s="106"/>
      <c r="H51" s="110"/>
      <c r="I51" s="159" t="s">
        <v>346</v>
      </c>
      <c r="J51" s="123" t="str">
        <f>VLOOKUP($A43,'zapisy k stolom'!$Y$5:$AC$3073,3,0)</f>
        <v>PINDURA / ŠINKAROVÁ</v>
      </c>
      <c r="K51" s="116"/>
      <c r="L51" s="81"/>
      <c r="O51" s="58" t="str">
        <f t="shared" si="1"/>
        <v>MIXP312</v>
      </c>
      <c r="P51" s="58" t="str">
        <f>J51</f>
        <v>PINDURA / ŠINKAROVÁ</v>
      </c>
      <c r="R51" s="56"/>
      <c r="S51" s="56"/>
      <c r="W51" s="197"/>
      <c r="AA51" s="198"/>
      <c r="AD51" s="56"/>
      <c r="AE51" s="56"/>
      <c r="AF51" s="56"/>
      <c r="AG51" s="56"/>
      <c r="AH51" s="56"/>
      <c r="AM51" s="63"/>
      <c r="AP51" s="56"/>
      <c r="AQ51" s="56"/>
      <c r="AR51" s="56"/>
      <c r="AS51" s="56"/>
      <c r="AT51" s="56"/>
      <c r="AY51" s="63"/>
      <c r="BB51" s="56"/>
      <c r="BC51" s="56"/>
      <c r="BD51" s="56"/>
      <c r="BE51" s="56"/>
      <c r="BF51" s="56"/>
      <c r="BK51" s="63"/>
      <c r="BN51" s="56"/>
      <c r="BO51" s="56"/>
      <c r="BP51" s="56"/>
      <c r="BQ51" s="56"/>
      <c r="BR51" s="56"/>
    </row>
    <row r="52" spans="1:108" ht="60" customHeight="1" thickBot="1">
      <c r="A52" s="49" t="str">
        <f>CONCATENATE(F53,1)</f>
        <v>MIXP131</v>
      </c>
      <c r="B52" s="551">
        <v>2</v>
      </c>
      <c r="C52" s="537">
        <f t="shared" ref="C52" si="26">IF(HLOOKUP($H$1,$CB$4:$CR$35,D52+1,0)="x","X",D52)</f>
        <v>25</v>
      </c>
      <c r="D52" s="538">
        <v>25</v>
      </c>
      <c r="E52" s="107" t="str">
        <f>IF(ISERROR(IF($J$1="n","",IF($J$1="a",VLOOKUP(C52,vylosovanie!$D$143:$O$191,11,0),"")))=TRUE,"",IF($J$1="n","",IF($J$1="a",VLOOKUP(C52,vylosovanie!$D$143:$O$191,11,0),"")))</f>
        <v>PETRÍK / PAPCUNOVÁ</v>
      </c>
      <c r="F52" s="108" t="str">
        <f>IF(ISERROR(IF($J$1="n","",IF($J$1="a",VLOOKUP(C52,vylosovanie!$D$143:$O$191,12,0),"")))=TRUE,"",IF($J$1="n","",IF($J$1="a",VLOOKUP(C52,vylosovanie!$D$143:$O$191,12,0),"")))</f>
        <v>KST PLUS40 TREBIŠOV/ŠKST MICHALOVCE / ŠSTK JUNIOR ČAŇA</v>
      </c>
      <c r="G52" s="156"/>
      <c r="H52" s="110"/>
      <c r="I52" s="110" t="str">
        <f>VLOOKUP($A43,'zapisy k stolom'!$Y$5:$AC$3073,5,0)</f>
        <v>Tbl.: 2   H: 10.30   D: Ne</v>
      </c>
      <c r="J52" s="146" t="str">
        <f>IF(J51="","",VLOOKUP($A43,'zapisy k stolom'!$Y$5:$AC$3073,4,0))</f>
        <v xml:space="preserve">3:2 ( -11,10,7,-6,2,, ) </v>
      </c>
      <c r="L52" s="81"/>
      <c r="O52" s="58" t="str">
        <f t="shared" si="1"/>
        <v>MIXP131</v>
      </c>
      <c r="P52" s="58" t="str">
        <f>E52</f>
        <v>PETRÍK / PAPCUNOVÁ</v>
      </c>
      <c r="W52" s="197"/>
    </row>
    <row r="53" spans="1:108" ht="60" customHeight="1" thickBot="1">
      <c r="A53" s="49" t="str">
        <f>CONCATENATE(G55,1)</f>
        <v>MIXP231</v>
      </c>
      <c r="B53" s="551"/>
      <c r="C53" s="537"/>
      <c r="D53" s="538"/>
      <c r="E53" s="151"/>
      <c r="F53" s="157" t="s">
        <v>329</v>
      </c>
      <c r="G53" s="106" t="str">
        <f>IF(C52="x",E54,IF(C54="x",E52,VLOOKUP($A52,'zapisy k stolom'!$Y$5:$AC$3073,3,0)))</f>
        <v>PETRÍK / PAPCUNOVÁ</v>
      </c>
      <c r="H53" s="156"/>
      <c r="J53" s="116"/>
      <c r="L53" s="81"/>
      <c r="O53" s="58" t="str">
        <f t="shared" si="1"/>
        <v>MIXP231</v>
      </c>
      <c r="P53" s="64" t="str">
        <f>G53</f>
        <v>PETRÍK / PAPCUNOVÁ</v>
      </c>
      <c r="W53" s="197"/>
      <c r="X53" s="197"/>
      <c r="AA53" s="198"/>
      <c r="AB53" s="64"/>
      <c r="AH53" s="531"/>
      <c r="AI53" s="531"/>
      <c r="AJ53" s="531"/>
      <c r="AM53" s="63"/>
      <c r="AN53" s="64"/>
      <c r="AT53" s="531"/>
      <c r="AU53" s="531"/>
      <c r="AV53" s="531"/>
      <c r="AY53" s="63"/>
      <c r="AZ53" s="64"/>
      <c r="BF53" s="531"/>
      <c r="BG53" s="531"/>
      <c r="BH53" s="531"/>
      <c r="BK53" s="63"/>
      <c r="BL53" s="64"/>
      <c r="BR53" s="531"/>
      <c r="BS53" s="531"/>
      <c r="BT53" s="531"/>
      <c r="DC53" s="49">
        <f>IF(DD53="x",0,MAX(DC$5:$DY52)+1)</f>
        <v>0</v>
      </c>
      <c r="DD53" s="87" t="str">
        <f>IF(G53=E52,E54,E52)</f>
        <v>X</v>
      </c>
    </row>
    <row r="54" spans="1:108" ht="60" customHeight="1" thickBot="1">
      <c r="A54" s="49" t="str">
        <f>CONCATENATE(F53,2)</f>
        <v>MIXP132</v>
      </c>
      <c r="B54" s="548">
        <v>4</v>
      </c>
      <c r="C54" s="537" t="str">
        <f t="shared" ref="C54" si="27">IF(HLOOKUP($H$1,$CB$4:$CR$35,D54+1,0)="x","X",D54)</f>
        <v>X</v>
      </c>
      <c r="D54" s="538">
        <v>26</v>
      </c>
      <c r="E54" s="107" t="str">
        <f>IF(ISERROR(IF($J$1="n","",IF($J$1="a",VLOOKUP(C54,vylosovanie!$D$143:$O$191,11,0),"")))=TRUE,"",IF($J$1="n","",IF($J$1="a",VLOOKUP(C54,vylosovanie!$D$143:$O$191,11,0),"")))</f>
        <v>X</v>
      </c>
      <c r="F54" s="114" t="str">
        <f>IF(ISERROR(IF($J$1="n","",IF($J$1="a",VLOOKUP(C54,vylosovanie!$D$143:$O$191,12,0),"")))=TRUE,"",IF($J$1="n","",IF($J$1="a",VLOOKUP(C54,vylosovanie!$D$143:$O$191,12,0),"")))</f>
        <v>X</v>
      </c>
      <c r="G54" s="152" t="str">
        <f>IF(G53="","",IF(OR(C52="x",C54="x"),"",VLOOKUP($A52,'zapisy k stolom'!$Y$5:$AC$3073,4,0)))</f>
        <v/>
      </c>
      <c r="H54" s="116"/>
      <c r="J54" s="116"/>
      <c r="L54" s="81"/>
      <c r="O54" s="58" t="str">
        <f t="shared" si="1"/>
        <v>MIXP132</v>
      </c>
      <c r="P54" s="58" t="str">
        <f>E54</f>
        <v>X</v>
      </c>
      <c r="R54" s="56"/>
      <c r="S54" s="56"/>
      <c r="W54" s="197"/>
      <c r="AA54" s="199"/>
      <c r="AD54" s="56"/>
      <c r="AE54" s="56"/>
      <c r="AF54" s="56"/>
      <c r="AG54" s="56"/>
      <c r="AH54" s="56"/>
      <c r="AM54" s="63"/>
      <c r="AP54" s="56"/>
      <c r="AQ54" s="56"/>
      <c r="AR54" s="56"/>
      <c r="AS54" s="56"/>
      <c r="AT54" s="56"/>
      <c r="AY54" s="63"/>
      <c r="BB54" s="56"/>
      <c r="BC54" s="56"/>
      <c r="BD54" s="56"/>
      <c r="BE54" s="56"/>
      <c r="BF54" s="56"/>
      <c r="BK54" s="63"/>
      <c r="BN54" s="56"/>
      <c r="BO54" s="56"/>
      <c r="BP54" s="56"/>
      <c r="BQ54" s="56"/>
      <c r="BR54" s="56"/>
    </row>
    <row r="55" spans="1:108" ht="60" customHeight="1" thickBot="1">
      <c r="A55" s="49" t="str">
        <f>CONCATENATE(H59,1)</f>
        <v>MIXP281</v>
      </c>
      <c r="B55" s="548"/>
      <c r="C55" s="537"/>
      <c r="D55" s="538"/>
      <c r="G55" s="159" t="s">
        <v>339</v>
      </c>
      <c r="H55" s="123" t="str">
        <f>VLOOKUP($A53,'zapisy k stolom'!$Y$5:$AC$3073,3,0)</f>
        <v>PETRÍK / PAPCUNOVÁ</v>
      </c>
      <c r="I55" s="109"/>
      <c r="J55" s="127"/>
      <c r="L55" s="81"/>
      <c r="O55" s="58" t="str">
        <f t="shared" si="1"/>
        <v>MIXP281</v>
      </c>
      <c r="P55" s="58" t="str">
        <f>H55</f>
        <v>PETRÍK / PAPCUNOVÁ</v>
      </c>
      <c r="R55" s="56"/>
      <c r="S55" s="56"/>
      <c r="W55" s="197"/>
      <c r="AA55" s="198"/>
      <c r="AD55" s="56"/>
      <c r="AE55" s="56"/>
      <c r="AF55" s="56"/>
      <c r="AG55" s="56"/>
      <c r="AH55" s="56"/>
      <c r="AM55" s="63"/>
      <c r="AP55" s="56"/>
      <c r="AQ55" s="56"/>
      <c r="AR55" s="56"/>
      <c r="AS55" s="56"/>
      <c r="AT55" s="56"/>
      <c r="AY55" s="63"/>
      <c r="BB55" s="56"/>
      <c r="BC55" s="56"/>
      <c r="BD55" s="56"/>
      <c r="BE55" s="56"/>
      <c r="BF55" s="56"/>
      <c r="BK55" s="63"/>
      <c r="BN55" s="56"/>
      <c r="BO55" s="56"/>
      <c r="BP55" s="56"/>
      <c r="BQ55" s="56"/>
      <c r="BR55" s="56"/>
      <c r="DA55" s="96" t="str">
        <f>IF(H55=G53,G57,G53)</f>
        <v>MAKÚCH / GALČÍKOVÁ</v>
      </c>
    </row>
    <row r="56" spans="1:108" ht="60" customHeight="1" thickBot="1">
      <c r="A56" s="49" t="str">
        <f>CONCATENATE(F57,1)</f>
        <v>MIXP141</v>
      </c>
      <c r="B56" s="548">
        <v>4</v>
      </c>
      <c r="C56" s="537">
        <f t="shared" ref="C56" si="28">IF(HLOOKUP($H$1,$CB$4:$CR$35,D56+1,0)="x","X",D56)</f>
        <v>27</v>
      </c>
      <c r="D56" s="538">
        <v>27</v>
      </c>
      <c r="E56" s="107" t="str">
        <f>IF(ISERROR(IF($J$1="n","",IF($J$1="a",VLOOKUP(C56,vylosovanie!$D$143:$O$191,11,0),"")))=TRUE,"",IF($J$1="n","",IF($J$1="a",VLOOKUP(C56,vylosovanie!$D$143:$O$191,11,0),"")))</f>
        <v>MAKÚCH / GALČÍKOVÁ</v>
      </c>
      <c r="F56" s="108" t="str">
        <f>IF(ISERROR(IF($J$1="n","",IF($J$1="a",VLOOKUP(C56,vylosovanie!$D$143:$O$191,12,0),"")))=TRUE,"",IF($J$1="n","",IF($J$1="a",VLOOKUP(C56,vylosovanie!$D$143:$O$191,12,0),"")))</f>
        <v>TJ ORAVAN NÁMESTOVO/TATRAN KRUŠETNICA / TJ ORAVAN NÁMESTOVO</v>
      </c>
      <c r="G56" s="109" t="str">
        <f>VLOOKUP($A53,'zapisy k stolom'!$Y$5:$AC$3073,5,0)</f>
        <v>Tbl.: 7   H: 14.55   D: So</v>
      </c>
      <c r="H56" s="166" t="str">
        <f>IF(H55="","",VLOOKUP($A53,'zapisy k stolom'!$Y$5:$AC$3073,4,0))</f>
        <v xml:space="preserve">3:1 ( -9,3,8,12,,, ) </v>
      </c>
      <c r="I56" s="116"/>
      <c r="J56" s="116"/>
      <c r="L56" s="57"/>
      <c r="M56" s="52"/>
      <c r="O56" s="58" t="str">
        <f t="shared" si="1"/>
        <v>MIXP141</v>
      </c>
      <c r="P56" s="58" t="str">
        <f>E56</f>
        <v>MAKÚCH / GALČÍKOVÁ</v>
      </c>
      <c r="R56" s="56"/>
      <c r="S56" s="56"/>
      <c r="W56" s="197"/>
      <c r="AA56" s="198"/>
      <c r="AD56" s="56"/>
      <c r="AE56" s="56"/>
      <c r="AF56" s="56"/>
      <c r="AG56" s="56"/>
      <c r="AH56" s="56"/>
      <c r="AM56" s="63"/>
      <c r="AP56" s="56"/>
      <c r="AQ56" s="56"/>
      <c r="AR56" s="56"/>
      <c r="AS56" s="56"/>
      <c r="AT56" s="56"/>
      <c r="AY56" s="63"/>
      <c r="BB56" s="56"/>
      <c r="BC56" s="56"/>
      <c r="BD56" s="56"/>
      <c r="BE56" s="56"/>
      <c r="BF56" s="56"/>
      <c r="BK56" s="63"/>
      <c r="BN56" s="56"/>
      <c r="BO56" s="56"/>
      <c r="BP56" s="56"/>
      <c r="BQ56" s="56"/>
      <c r="BR56" s="56"/>
    </row>
    <row r="57" spans="1:108" ht="60" customHeight="1" thickBot="1">
      <c r="A57" s="49" t="str">
        <f>CONCATENATE(G55,2)</f>
        <v>MIXP232</v>
      </c>
      <c r="B57" s="548"/>
      <c r="C57" s="537"/>
      <c r="D57" s="538"/>
      <c r="E57" s="111" t="str">
        <f>VLOOKUP($A56,'zapisy k stolom'!$Y$5:$AC$3073,5,0)</f>
        <v>Tbl.: 7   H: 14.25   D: So</v>
      </c>
      <c r="F57" s="157" t="s">
        <v>330</v>
      </c>
      <c r="G57" s="161" t="str">
        <f>IF(C56="x",E58,IF(C58="x",E56,VLOOKUP($A56,'zapisy k stolom'!$Y$5:$AC$3073,3,0)))</f>
        <v>MAKÚCH / GALČÍKOVÁ</v>
      </c>
      <c r="H57" s="116"/>
      <c r="I57" s="116"/>
      <c r="J57" s="116"/>
      <c r="L57" s="57"/>
      <c r="M57" s="52"/>
      <c r="O57" s="58" t="str">
        <f t="shared" si="1"/>
        <v>MIXP232</v>
      </c>
      <c r="P57" s="58" t="str">
        <f>G57</f>
        <v>MAKÚCH / GALČÍKOVÁ</v>
      </c>
      <c r="R57" s="56"/>
      <c r="S57" s="56"/>
      <c r="W57" s="197"/>
      <c r="AA57" s="198"/>
      <c r="AD57" s="56"/>
      <c r="AE57" s="56"/>
      <c r="AF57" s="56"/>
      <c r="AG57" s="56"/>
      <c r="AH57" s="56"/>
      <c r="AM57" s="63"/>
      <c r="AP57" s="56"/>
      <c r="AQ57" s="56"/>
      <c r="AR57" s="56"/>
      <c r="AS57" s="56"/>
      <c r="AT57" s="56"/>
      <c r="AY57" s="63"/>
      <c r="BB57" s="56"/>
      <c r="BC57" s="56"/>
      <c r="BD57" s="56"/>
      <c r="BE57" s="56"/>
      <c r="BF57" s="56"/>
      <c r="BK57" s="63"/>
      <c r="BN57" s="56"/>
      <c r="BO57" s="56"/>
      <c r="BP57" s="56"/>
      <c r="BQ57" s="56"/>
      <c r="BR57" s="56"/>
      <c r="DC57" s="49">
        <f>IF(DD57="x",0,MAX(DC$5:$DY56)+1)</f>
        <v>7</v>
      </c>
      <c r="DD57" s="87" t="str">
        <f>IF(G57=E56,E58,E56)</f>
        <v>IVANČO / HURBANOVÁ</v>
      </c>
    </row>
    <row r="58" spans="1:108" ht="60" customHeight="1" thickBot="1">
      <c r="A58" s="49" t="str">
        <f>CONCATENATE(F57,2)</f>
        <v>MIXP142</v>
      </c>
      <c r="B58" s="550">
        <v>3</v>
      </c>
      <c r="C58" s="537">
        <f t="shared" ref="C58" si="29">IF(HLOOKUP($H$1,$CB$4:$CR$35,D58+1,0)="x","X",D58)</f>
        <v>28</v>
      </c>
      <c r="D58" s="538">
        <v>28</v>
      </c>
      <c r="E58" s="107" t="str">
        <f>IF(ISERROR(IF($J$1="n","",IF($J$1="a",VLOOKUP(C58,vylosovanie!$D$143:$O$191,11,0),"")))=TRUE,"",IF($J$1="n","",IF($J$1="a",VLOOKUP(C58,vylosovanie!$D$143:$O$191,11,0),"")))</f>
        <v>IVANČO / HURBANOVÁ</v>
      </c>
      <c r="F58" s="114" t="str">
        <f>IF(ISERROR(IF($J$1="n","",IF($J$1="a",VLOOKUP(C58,vylosovanie!$D$143:$O$191,12,0),"")))=TRUE,"",IF($J$1="n","",IF($J$1="a",VLOOKUP(C58,vylosovanie!$D$143:$O$191,12,0),"")))</f>
        <v>MSK MALACKY / MSK MALACKY</v>
      </c>
      <c r="G58" s="168" t="str">
        <f>IF(G57="","",IF(OR(C56="x",C58="x"),"",VLOOKUP($A56,'zapisy k stolom'!$Y$5:$AC$3073,4,0)))</f>
        <v xml:space="preserve">3:1 ( 5,8,-10,10,,, ) </v>
      </c>
      <c r="H58" s="110"/>
      <c r="I58" s="116"/>
      <c r="J58" s="116"/>
      <c r="L58" s="57"/>
      <c r="M58" s="52"/>
      <c r="O58" s="58" t="str">
        <f t="shared" si="1"/>
        <v>MIXP142</v>
      </c>
      <c r="P58" s="58" t="str">
        <f>E58</f>
        <v>IVANČO / HURBANOVÁ</v>
      </c>
      <c r="W58" s="197"/>
    </row>
    <row r="59" spans="1:108" ht="60" customHeight="1" thickBot="1">
      <c r="A59" s="49" t="str">
        <f>CONCATENATE(I51,2)</f>
        <v>MIXP302</v>
      </c>
      <c r="B59" s="550"/>
      <c r="C59" s="537"/>
      <c r="D59" s="538"/>
      <c r="G59" s="106"/>
      <c r="H59" s="159" t="s">
        <v>344</v>
      </c>
      <c r="I59" s="123" t="str">
        <f>VLOOKUP($A55,'zapisy k stolom'!$Y$5:$AC$3073,3,0)</f>
        <v>DIKO / PEKOVÁ</v>
      </c>
      <c r="J59" s="116"/>
      <c r="L59" s="57"/>
      <c r="M59" s="52"/>
      <c r="O59" s="58" t="str">
        <f t="shared" si="1"/>
        <v>MIXP302</v>
      </c>
      <c r="P59" s="64" t="str">
        <f>I59</f>
        <v>DIKO / PEKOVÁ</v>
      </c>
      <c r="W59" s="197"/>
      <c r="X59" s="197"/>
      <c r="AA59" s="198"/>
      <c r="AB59" s="64"/>
      <c r="AH59" s="531"/>
      <c r="AI59" s="531"/>
      <c r="AJ59" s="531"/>
      <c r="AM59" s="63"/>
      <c r="AN59" s="64"/>
      <c r="AT59" s="531"/>
      <c r="AU59" s="531"/>
      <c r="AV59" s="531"/>
      <c r="AY59" s="63"/>
      <c r="AZ59" s="64"/>
      <c r="BF59" s="531"/>
      <c r="BG59" s="531"/>
      <c r="BH59" s="531"/>
      <c r="BK59" s="63"/>
      <c r="BL59" s="64"/>
      <c r="BR59" s="531"/>
      <c r="BS59" s="531"/>
      <c r="BT59" s="531"/>
      <c r="CZ59" s="97" t="str">
        <f>IF(I59=H55,H63,H55)</f>
        <v>PETRÍK / PAPCUNOVÁ</v>
      </c>
    </row>
    <row r="60" spans="1:108" ht="60" customHeight="1" thickBot="1">
      <c r="A60" s="49" t="str">
        <f>CONCATENATE(F61,1)</f>
        <v>MIXP151</v>
      </c>
      <c r="B60" s="550">
        <v>3</v>
      </c>
      <c r="C60" s="537">
        <f t="shared" ref="C60" si="30">IF(HLOOKUP($H$1,$CB$4:$CR$35,D60+1,0)="x","X",D60)</f>
        <v>29</v>
      </c>
      <c r="D60" s="538">
        <v>29</v>
      </c>
      <c r="E60" s="107" t="str">
        <f>IF(ISERROR(IF($J$1="n","",IF($J$1="a",VLOOKUP(C60,vylosovanie!$D$143:$O$191,11,0),"")))=TRUE,"",IF($J$1="n","",IF($J$1="a",VLOOKUP(C60,vylosovanie!$D$143:$O$191,11,0),"")))</f>
        <v>MIKLUŠČÁK / LACENOVÁ</v>
      </c>
      <c r="F60" s="108" t="str">
        <f>IF(ISERROR(IF($J$1="n","",IF($J$1="a",VLOOKUP(C60,vylosovanie!$D$143:$O$191,12,0),"")))=TRUE,"",IF($J$1="n","",IF($J$1="a",VLOOKUP(C60,vylosovanie!$D$143:$O$191,12,0),"")))</f>
        <v>ŠKST KARLOVA VES / ŠKST TOPOĽČANY</v>
      </c>
      <c r="G60" s="156"/>
      <c r="H60" s="110" t="str">
        <f>VLOOKUP($A55,'zapisy k stolom'!$Y$5:$AC$3073,5,0)</f>
        <v>Tbl.: 8   H: 17.30   D: So</v>
      </c>
      <c r="I60" s="166" t="str">
        <f>IF(I59="","",VLOOKUP($A55,'zapisy k stolom'!$Y$5:$AC$3073,4,0))</f>
        <v xml:space="preserve">3:0 ( 3,4,7,,,, ) </v>
      </c>
      <c r="L60" s="57"/>
      <c r="M60" s="52"/>
      <c r="O60" s="58" t="str">
        <f t="shared" si="1"/>
        <v>MIXP151</v>
      </c>
      <c r="P60" s="58" t="str">
        <f>E60</f>
        <v>MIKLUŠČÁK / LACENOVÁ</v>
      </c>
      <c r="R60" s="56"/>
      <c r="S60" s="56"/>
      <c r="W60" s="197"/>
      <c r="AA60" s="198"/>
      <c r="AD60" s="56"/>
      <c r="AE60" s="56"/>
      <c r="AF60" s="56"/>
      <c r="AG60" s="56"/>
      <c r="AH60" s="56"/>
      <c r="AM60" s="63"/>
      <c r="AP60" s="56"/>
      <c r="AQ60" s="56"/>
      <c r="AR60" s="56"/>
      <c r="AS60" s="56"/>
      <c r="AT60" s="56"/>
      <c r="AY60" s="63"/>
      <c r="BB60" s="56"/>
      <c r="BC60" s="56"/>
      <c r="BD60" s="56"/>
      <c r="BE60" s="56"/>
      <c r="BF60" s="56"/>
      <c r="BK60" s="63"/>
      <c r="BN60" s="56"/>
      <c r="BO60" s="56"/>
      <c r="BP60" s="56"/>
      <c r="BQ60" s="56"/>
      <c r="BR60" s="56"/>
    </row>
    <row r="61" spans="1:108" ht="60" customHeight="1" thickBot="1">
      <c r="A61" s="49" t="str">
        <f>CONCATENATE(G63,1)</f>
        <v>MIXP241</v>
      </c>
      <c r="B61" s="550"/>
      <c r="C61" s="537"/>
      <c r="D61" s="538"/>
      <c r="E61" s="111" t="str">
        <f>VLOOKUP($A60,'zapisy k stolom'!$Y$5:$AC$3073,5,0)</f>
        <v>Tbl.: 8   H: 14.25   D: So</v>
      </c>
      <c r="F61" s="157" t="s">
        <v>331</v>
      </c>
      <c r="G61" s="106" t="str">
        <f>IF(C60="x",E62,IF(C62="x",E60,VLOOKUP($A60,'zapisy k stolom'!$Y$5:$AC$3073,3,0)))</f>
        <v>MIKLUŠČÁK / LACENOVÁ</v>
      </c>
      <c r="H61" s="156"/>
      <c r="I61" s="116"/>
      <c r="K61" s="109"/>
      <c r="L61" s="57"/>
      <c r="O61" s="58" t="str">
        <f t="shared" si="1"/>
        <v>MIXP241</v>
      </c>
      <c r="P61" s="58" t="str">
        <f>G61</f>
        <v>MIKLUŠČÁK / LACENOVÁ</v>
      </c>
      <c r="R61" s="56"/>
      <c r="S61" s="56"/>
      <c r="W61" s="197"/>
      <c r="Y61" s="200"/>
      <c r="Z61" s="201"/>
      <c r="AA61" s="198"/>
      <c r="AD61" s="56"/>
      <c r="AE61" s="56"/>
      <c r="AF61" s="56"/>
      <c r="AG61" s="56"/>
      <c r="AH61" s="56"/>
      <c r="AM61" s="63"/>
      <c r="AP61" s="56"/>
      <c r="AQ61" s="56"/>
      <c r="AR61" s="56"/>
      <c r="AS61" s="56"/>
      <c r="AT61" s="56"/>
      <c r="AY61" s="63"/>
      <c r="BB61" s="56"/>
      <c r="BC61" s="56"/>
      <c r="BD61" s="56"/>
      <c r="BE61" s="56"/>
      <c r="BF61" s="56"/>
      <c r="BK61" s="63"/>
      <c r="BN61" s="56"/>
      <c r="BO61" s="56"/>
      <c r="BP61" s="56"/>
      <c r="BQ61" s="56"/>
      <c r="BR61" s="56"/>
      <c r="DC61" s="49">
        <f>IF(DD61="x",0,MAX(DC$5:$DY60)+1)</f>
        <v>8</v>
      </c>
      <c r="DD61" s="87" t="str">
        <f>IF(G61=E60,E62,E60)</f>
        <v>DELINČAK / PISARČIKOVÁ</v>
      </c>
    </row>
    <row r="62" spans="1:108" ht="60" customHeight="1" thickBot="1">
      <c r="A62" s="49" t="str">
        <f>CONCATENATE(F61,2)</f>
        <v>MIXP152</v>
      </c>
      <c r="B62" s="548">
        <v>4</v>
      </c>
      <c r="C62" s="537">
        <f t="shared" ref="C62" si="31">IF(HLOOKUP($H$1,$CB$4:$CR$35,D62+1,0)="x","X",D62)</f>
        <v>30</v>
      </c>
      <c r="D62" s="538">
        <v>30</v>
      </c>
      <c r="E62" s="107" t="str">
        <f>IF(ISERROR(IF($J$1="n","",IF($J$1="a",VLOOKUP(C62,vylosovanie!$D$143:$O$191,11,0),"")))=TRUE,"",IF($J$1="n","",IF($J$1="a",VLOOKUP(C62,vylosovanie!$D$143:$O$191,11,0),"")))</f>
        <v>DELINČAK / PISARČIKOVÁ</v>
      </c>
      <c r="F62" s="114" t="str">
        <f>IF(ISERROR(IF($J$1="n","",IF($J$1="a",VLOOKUP(C62,vylosovanie!$D$143:$O$191,12,0),"")))=TRUE,"",IF($J$1="n","",IF($J$1="a",VLOOKUP(C62,vylosovanie!$D$143:$O$191,12,0),"")))</f>
        <v>MSK ČADCA / ŠKST RUŽOMBEROK</v>
      </c>
      <c r="G62" s="154" t="str">
        <f>IF(G61="","",IF(OR(C60="x",C62="x"),"",VLOOKUP($A60,'zapisy k stolom'!$Y$5:$AC$3073,4,0)))</f>
        <v xml:space="preserve">3:1 ( 9,-7,13,8,,, ) </v>
      </c>
      <c r="H62" s="116"/>
      <c r="I62" s="116"/>
      <c r="L62" s="57"/>
      <c r="M62" s="52"/>
      <c r="O62" s="58" t="str">
        <f t="shared" si="1"/>
        <v>MIXP152</v>
      </c>
      <c r="P62" s="58" t="str">
        <f>E62</f>
        <v>DELINČAK / PISARČIKOVÁ</v>
      </c>
      <c r="R62" s="56"/>
      <c r="S62" s="56"/>
      <c r="W62" s="197"/>
      <c r="Y62" s="200"/>
      <c r="Z62" s="201"/>
      <c r="AA62" s="198"/>
      <c r="AD62" s="56"/>
      <c r="AE62" s="56"/>
      <c r="AF62" s="56"/>
      <c r="AG62" s="56"/>
      <c r="AH62" s="56"/>
      <c r="AM62" s="63"/>
      <c r="AP62" s="56"/>
      <c r="AQ62" s="56"/>
      <c r="AR62" s="56"/>
      <c r="AS62" s="56"/>
      <c r="AT62" s="56"/>
      <c r="AY62" s="63"/>
      <c r="BB62" s="56"/>
      <c r="BC62" s="56"/>
      <c r="BD62" s="56"/>
      <c r="BE62" s="56"/>
      <c r="BF62" s="56"/>
      <c r="BK62" s="63"/>
      <c r="BN62" s="56"/>
      <c r="BO62" s="56"/>
      <c r="BP62" s="56"/>
      <c r="BQ62" s="56"/>
      <c r="BR62" s="56"/>
    </row>
    <row r="63" spans="1:108" ht="60" customHeight="1" thickBot="1">
      <c r="A63" s="49" t="str">
        <f>CONCATENATE(H59,2)</f>
        <v>MIXP282</v>
      </c>
      <c r="B63" s="548"/>
      <c r="C63" s="537"/>
      <c r="D63" s="538"/>
      <c r="G63" s="159" t="s">
        <v>340</v>
      </c>
      <c r="H63" s="123" t="str">
        <f>VLOOKUP($A61,'zapisy k stolom'!$Y$5:$AC$3073,3,0)</f>
        <v>DIKO / PEKOVÁ</v>
      </c>
      <c r="I63" s="116"/>
      <c r="L63" s="86"/>
      <c r="M63" s="52"/>
      <c r="O63" s="58" t="str">
        <f t="shared" si="1"/>
        <v>MIXP282</v>
      </c>
      <c r="P63" s="58" t="str">
        <f>H63</f>
        <v>DIKO / PEKOVÁ</v>
      </c>
      <c r="R63" s="56"/>
      <c r="S63" s="56"/>
      <c r="W63" s="197"/>
      <c r="Y63" s="200"/>
      <c r="Z63" s="201"/>
      <c r="AA63" s="198"/>
      <c r="AD63" s="56"/>
      <c r="AE63" s="56"/>
      <c r="AF63" s="56"/>
      <c r="AG63" s="56"/>
      <c r="AH63" s="56"/>
      <c r="AM63" s="63"/>
      <c r="AP63" s="56"/>
      <c r="AQ63" s="56"/>
      <c r="AR63" s="56"/>
      <c r="AS63" s="56"/>
      <c r="AT63" s="56"/>
      <c r="AY63" s="63"/>
      <c r="BB63" s="56"/>
      <c r="BC63" s="56"/>
      <c r="BD63" s="56"/>
      <c r="BE63" s="56"/>
      <c r="BF63" s="56"/>
      <c r="BK63" s="63"/>
      <c r="BN63" s="56"/>
      <c r="BO63" s="56"/>
      <c r="BP63" s="56"/>
      <c r="BQ63" s="56"/>
      <c r="BR63" s="56"/>
      <c r="DA63" s="96" t="str">
        <f>IF(H63=G61,G65,G61)</f>
        <v>MIKLUŠČÁK / LACENOVÁ</v>
      </c>
    </row>
    <row r="64" spans="1:108" ht="60" customHeight="1" thickBot="1">
      <c r="A64" s="49" t="str">
        <f>CONCATENATE(F65,1)</f>
        <v>MIXP161</v>
      </c>
      <c r="B64" s="548">
        <v>4</v>
      </c>
      <c r="C64" s="537" t="str">
        <f t="shared" ref="C64" si="32">IF(HLOOKUP($H$1,$CB$4:$CR$35,D64+1,0)="x","X",D64)</f>
        <v>X</v>
      </c>
      <c r="D64" s="538">
        <v>31</v>
      </c>
      <c r="E64" s="107" t="str">
        <f>IF(ISERROR(IF($J$1="n","",IF($J$1="a",VLOOKUP(C64,vylosovanie!$D$143:$O$191,11,0),"")))=TRUE,"",IF($J$1="n","",IF($J$1="a",VLOOKUP(C64,vylosovanie!$D$143:$O$191,11,0),"")))</f>
        <v>X</v>
      </c>
      <c r="F64" s="108" t="str">
        <f>IF(ISERROR(IF($J$1="n","",IF($J$1="a",VLOOKUP(C64,vylosovanie!$D$143:$O$191,12,0),"")))=TRUE,"",IF($J$1="n","",IF($J$1="a",VLOOKUP(C64,vylosovanie!$D$143:$O$191,12,0),"")))</f>
        <v>X</v>
      </c>
      <c r="G64" s="140" t="str">
        <f>VLOOKUP($A61,'zapisy k stolom'!$Y$5:$AC$3073,5,0)</f>
        <v>Tbl.: 8   H: 14.55   D: So</v>
      </c>
      <c r="H64" s="168" t="str">
        <f>IF(H63="","",VLOOKUP($A61,'zapisy k stolom'!$Y$5:$AC$3073,4,0))</f>
        <v xml:space="preserve">3:0 ( 11,5,2,,,, ) </v>
      </c>
      <c r="L64" s="86"/>
      <c r="M64" s="52"/>
      <c r="O64" s="58" t="str">
        <f t="shared" si="1"/>
        <v>MIXP161</v>
      </c>
      <c r="P64" s="58" t="str">
        <f>E64</f>
        <v>X</v>
      </c>
      <c r="W64" s="197"/>
      <c r="Y64" s="200"/>
      <c r="Z64" s="201"/>
    </row>
    <row r="65" spans="1:108" ht="60" customHeight="1" thickBot="1">
      <c r="A65" s="49" t="str">
        <f>CONCATENATE(G63,2)</f>
        <v>MIXP242</v>
      </c>
      <c r="B65" s="548"/>
      <c r="C65" s="537"/>
      <c r="D65" s="538"/>
      <c r="E65" s="151"/>
      <c r="F65" s="157" t="s">
        <v>332</v>
      </c>
      <c r="G65" s="161" t="str">
        <f>IF(C64="x",E66,IF(C66="x",E64,VLOOKUP($A64,'zapisy k stolom'!$Y$5:$AC$3073,3,0)))</f>
        <v>DIKO / PEKOVÁ</v>
      </c>
      <c r="H65" s="106"/>
      <c r="L65" s="57"/>
      <c r="O65" s="58" t="str">
        <f t="shared" si="1"/>
        <v>MIXP242</v>
      </c>
      <c r="P65" s="64" t="str">
        <f>G65</f>
        <v>DIKO / PEKOVÁ</v>
      </c>
      <c r="W65" s="197"/>
      <c r="X65" s="197"/>
      <c r="Y65" s="200"/>
      <c r="Z65" s="201"/>
      <c r="AA65" s="198"/>
      <c r="AB65" s="64"/>
      <c r="AH65" s="531"/>
      <c r="AI65" s="531"/>
      <c r="AJ65" s="531"/>
      <c r="AM65" s="63"/>
      <c r="AN65" s="64"/>
      <c r="AT65" s="531"/>
      <c r="AU65" s="531"/>
      <c r="AV65" s="531"/>
      <c r="AY65" s="63"/>
      <c r="AZ65" s="64"/>
      <c r="BF65" s="531"/>
      <c r="BG65" s="531"/>
      <c r="BH65" s="531"/>
      <c r="BK65" s="63"/>
      <c r="BL65" s="64"/>
      <c r="BR65" s="531"/>
      <c r="BS65" s="531"/>
      <c r="BT65" s="531"/>
      <c r="DC65" s="49">
        <f>IF(DD65="x",0,MAX(DC$5:$DY64)+1)</f>
        <v>0</v>
      </c>
      <c r="DD65" s="87" t="str">
        <f>IF(G65=E64,E66,E64)</f>
        <v>X</v>
      </c>
    </row>
    <row r="66" spans="1:108" ht="60" customHeight="1" thickBot="1">
      <c r="A66" s="49" t="str">
        <f>CONCATENATE(F65,2)</f>
        <v>MIXP162</v>
      </c>
      <c r="B66" s="549"/>
      <c r="C66" s="537">
        <v>32</v>
      </c>
      <c r="D66" s="538">
        <v>32</v>
      </c>
      <c r="E66" s="107" t="str">
        <f>IF(ISERROR(IF($J$1="n","",IF($J$1="a",VLOOKUP(C66,vylosovanie!$D$143:$O$191,11,0),"")))=TRUE,"",IF($J$1="n","",IF($J$1="a",VLOOKUP(C66,vylosovanie!$D$143:$O$191,11,0),"")))</f>
        <v>DIKO / PEKOVÁ</v>
      </c>
      <c r="F66" s="114" t="str">
        <f>IF(ISERROR(IF($J$1="n","",IF($J$1="a",VLOOKUP(C66,vylosovanie!$D$143:$O$191,12,0),"")))=TRUE,"",IF($J$1="n","",IF($J$1="a",VLOOKUP(C66,vylosovanie!$D$143:$O$191,12,0),"")))</f>
        <v>TJ ORAVAN NÁMESTOVO / KST VIKTÓRIA TRNAVA</v>
      </c>
      <c r="G66" s="106" t="str">
        <f>IF(G65="","",IF(OR(C64="x",C66="x"),"",VLOOKUP($A64,'zapisy k stolom'!$Y$5:$AC$3073,4,0)))</f>
        <v/>
      </c>
      <c r="H66" s="106"/>
      <c r="L66" s="57"/>
      <c r="O66" s="58" t="str">
        <f t="shared" si="1"/>
        <v>MIXP162</v>
      </c>
      <c r="P66" s="58" t="str">
        <f>E66</f>
        <v>DIKO / PEKOVÁ</v>
      </c>
      <c r="R66" s="56"/>
      <c r="S66" s="56"/>
      <c r="W66" s="197"/>
      <c r="Y66" s="200"/>
      <c r="Z66" s="201"/>
      <c r="AA66" s="198"/>
      <c r="AD66" s="56"/>
      <c r="AE66" s="56"/>
      <c r="AF66" s="56"/>
      <c r="AG66" s="56"/>
      <c r="AH66" s="56"/>
      <c r="AM66" s="63"/>
      <c r="AP66" s="56"/>
      <c r="AQ66" s="56"/>
      <c r="AR66" s="56"/>
      <c r="AS66" s="56"/>
      <c r="AT66" s="56"/>
      <c r="AY66" s="63"/>
      <c r="BB66" s="56"/>
      <c r="BC66" s="56"/>
      <c r="BD66" s="56"/>
      <c r="BE66" s="56"/>
      <c r="BF66" s="56"/>
      <c r="BK66" s="63"/>
      <c r="BN66" s="56"/>
      <c r="BO66" s="56"/>
      <c r="BP66" s="56"/>
      <c r="BQ66" s="56"/>
      <c r="BR66" s="56"/>
    </row>
    <row r="67" spans="1:108" ht="60" customHeight="1">
      <c r="B67" s="549"/>
      <c r="C67" s="537"/>
      <c r="D67" s="538"/>
      <c r="G67" s="106"/>
      <c r="H67" s="106"/>
      <c r="L67" s="57"/>
      <c r="O67" s="58">
        <f t="shared" si="1"/>
        <v>0</v>
      </c>
      <c r="R67" s="56"/>
      <c r="S67" s="56"/>
      <c r="W67" s="197"/>
      <c r="Y67" s="200"/>
      <c r="Z67" s="201"/>
      <c r="AA67" s="198"/>
      <c r="AD67" s="56"/>
      <c r="AE67" s="56"/>
      <c r="AF67" s="56"/>
      <c r="AG67" s="56"/>
      <c r="AH67" s="56"/>
      <c r="AM67" s="63"/>
      <c r="AP67" s="56"/>
      <c r="AQ67" s="56"/>
      <c r="AR67" s="56"/>
      <c r="AS67" s="56"/>
      <c r="AT67" s="56"/>
      <c r="AY67" s="63"/>
      <c r="BB67" s="56"/>
      <c r="BC67" s="56"/>
      <c r="BD67" s="56"/>
      <c r="BE67" s="56"/>
      <c r="BF67" s="56"/>
      <c r="BK67" s="63"/>
      <c r="BN67" s="56"/>
      <c r="BO67" s="56"/>
      <c r="BP67" s="56"/>
      <c r="BQ67" s="56"/>
      <c r="BR67" s="56"/>
    </row>
    <row r="68" spans="1:108" ht="39.950000000000003" customHeight="1">
      <c r="C68" s="155" t="s">
        <v>120</v>
      </c>
      <c r="O68" s="63"/>
      <c r="R68" s="56"/>
      <c r="S68" s="56"/>
      <c r="W68" s="197"/>
      <c r="Y68" s="200"/>
      <c r="Z68" s="201"/>
      <c r="AA68" s="198"/>
      <c r="AD68" s="56"/>
      <c r="AE68" s="56"/>
      <c r="AF68" s="56"/>
      <c r="AG68" s="56"/>
      <c r="AH68" s="56"/>
      <c r="AM68" s="63"/>
      <c r="AP68" s="56"/>
      <c r="AQ68" s="56"/>
      <c r="AR68" s="56"/>
      <c r="AS68" s="56"/>
      <c r="AT68" s="56"/>
      <c r="AY68" s="63"/>
      <c r="BB68" s="56"/>
      <c r="BC68" s="56"/>
      <c r="BD68" s="56"/>
      <c r="BE68" s="56"/>
      <c r="BF68" s="56"/>
      <c r="BK68" s="63"/>
      <c r="BN68" s="56"/>
      <c r="BO68" s="56"/>
      <c r="BP68" s="56"/>
      <c r="BQ68" s="56"/>
      <c r="BR68" s="56"/>
    </row>
    <row r="69" spans="1:108" ht="39.950000000000003" customHeight="1">
      <c r="O69" s="63"/>
      <c r="R69" s="56"/>
      <c r="S69" s="56"/>
      <c r="W69" s="197"/>
      <c r="Y69" s="200"/>
      <c r="Z69" s="201"/>
      <c r="AA69" s="198"/>
      <c r="AD69" s="56"/>
      <c r="AE69" s="56"/>
      <c r="AF69" s="56"/>
      <c r="AG69" s="56"/>
      <c r="AH69" s="56"/>
      <c r="AM69" s="63"/>
      <c r="AP69" s="56"/>
      <c r="AQ69" s="56"/>
      <c r="AR69" s="56"/>
      <c r="AS69" s="56"/>
      <c r="AT69" s="56"/>
      <c r="AY69" s="63"/>
      <c r="BB69" s="56"/>
      <c r="BC69" s="56"/>
      <c r="BD69" s="56"/>
      <c r="BE69" s="56"/>
      <c r="BF69" s="56"/>
      <c r="BK69" s="63"/>
      <c r="BN69" s="56"/>
      <c r="BO69" s="56"/>
      <c r="BP69" s="56"/>
      <c r="BQ69" s="56"/>
      <c r="BR69" s="56"/>
    </row>
    <row r="70" spans="1:108" ht="39.950000000000003" customHeight="1">
      <c r="F70" s="162" t="s">
        <v>122</v>
      </c>
      <c r="G70" s="162"/>
      <c r="W70" s="197"/>
      <c r="Y70" s="200"/>
      <c r="Z70" s="201"/>
    </row>
    <row r="71" spans="1:108" ht="39.950000000000003" customHeight="1">
      <c r="F71" s="163" t="s">
        <v>124</v>
      </c>
      <c r="G71" s="163"/>
      <c r="I71" s="109"/>
      <c r="O71" s="63"/>
      <c r="P71" s="64"/>
      <c r="W71" s="197"/>
      <c r="X71" s="197"/>
      <c r="Y71" s="200"/>
      <c r="Z71" s="201"/>
      <c r="AA71" s="198"/>
      <c r="AB71" s="64"/>
      <c r="AH71" s="531"/>
      <c r="AI71" s="531"/>
      <c r="AJ71" s="531"/>
      <c r="AM71" s="63"/>
      <c r="AN71" s="64"/>
      <c r="AT71" s="531"/>
      <c r="AU71" s="531"/>
      <c r="AV71" s="531"/>
      <c r="AY71" s="63"/>
      <c r="AZ71" s="64"/>
      <c r="BF71" s="531"/>
      <c r="BG71" s="531"/>
      <c r="BH71" s="531"/>
      <c r="BK71" s="63"/>
      <c r="BL71" s="64"/>
      <c r="BR71" s="531"/>
      <c r="BS71" s="531"/>
      <c r="BT71" s="531"/>
    </row>
    <row r="72" spans="1:108" ht="39.950000000000003" customHeight="1">
      <c r="F72" s="164" t="s">
        <v>126</v>
      </c>
      <c r="G72" s="164"/>
      <c r="O72" s="63"/>
      <c r="R72" s="56"/>
      <c r="S72" s="56"/>
      <c r="W72" s="197"/>
      <c r="Y72" s="200"/>
      <c r="Z72" s="201"/>
      <c r="AA72" s="198"/>
      <c r="AD72" s="56"/>
      <c r="AE72" s="56"/>
      <c r="AF72" s="56"/>
      <c r="AG72" s="56"/>
      <c r="AH72" s="56"/>
      <c r="AM72" s="63"/>
      <c r="AP72" s="56"/>
      <c r="AQ72" s="56"/>
      <c r="AR72" s="56"/>
      <c r="AS72" s="56"/>
      <c r="AT72" s="56"/>
      <c r="AY72" s="63"/>
      <c r="BB72" s="56"/>
      <c r="BC72" s="56"/>
      <c r="BD72" s="56"/>
      <c r="BE72" s="56"/>
      <c r="BF72" s="56"/>
      <c r="BK72" s="63"/>
      <c r="BN72" s="56"/>
      <c r="BO72" s="56"/>
      <c r="BP72" s="56"/>
      <c r="BQ72" s="56"/>
      <c r="BR72" s="56"/>
    </row>
    <row r="73" spans="1:108" ht="39.950000000000003" customHeight="1">
      <c r="F73" s="165" t="s">
        <v>314</v>
      </c>
      <c r="G73" s="165"/>
      <c r="H73" s="165"/>
      <c r="O73" s="63"/>
      <c r="R73" s="56"/>
      <c r="S73" s="56"/>
      <c r="W73" s="197"/>
      <c r="Y73" s="200"/>
      <c r="Z73" s="201"/>
      <c r="AA73" s="198"/>
      <c r="AD73" s="56"/>
      <c r="AE73" s="56"/>
      <c r="AF73" s="56"/>
      <c r="AG73" s="56"/>
      <c r="AH73" s="56"/>
      <c r="AM73" s="63"/>
      <c r="AP73" s="56"/>
      <c r="AQ73" s="56"/>
      <c r="AR73" s="56"/>
      <c r="AS73" s="56"/>
      <c r="AT73" s="56"/>
      <c r="AY73" s="63"/>
      <c r="BB73" s="56"/>
      <c r="BC73" s="56"/>
      <c r="BD73" s="56"/>
      <c r="BE73" s="56"/>
      <c r="BF73" s="56"/>
      <c r="BK73" s="63"/>
      <c r="BN73" s="56"/>
      <c r="BO73" s="56"/>
      <c r="BP73" s="56"/>
      <c r="BQ73" s="56"/>
      <c r="BR73" s="56"/>
    </row>
    <row r="74" spans="1:108" ht="39.950000000000003" customHeight="1">
      <c r="O74" s="63"/>
      <c r="R74" s="56"/>
      <c r="S74" s="56"/>
      <c r="W74" s="197"/>
      <c r="Y74" s="200"/>
      <c r="Z74" s="201"/>
      <c r="AA74" s="198"/>
      <c r="AD74" s="56"/>
      <c r="AE74" s="56"/>
      <c r="AF74" s="56"/>
      <c r="AG74" s="56"/>
      <c r="AH74" s="56"/>
      <c r="AM74" s="63"/>
      <c r="AP74" s="56"/>
      <c r="AQ74" s="56"/>
      <c r="AR74" s="56"/>
      <c r="AS74" s="56"/>
      <c r="AT74" s="56"/>
      <c r="AY74" s="63"/>
      <c r="BB74" s="56"/>
      <c r="BC74" s="56"/>
      <c r="BD74" s="56"/>
      <c r="BE74" s="56"/>
      <c r="BF74" s="56"/>
      <c r="BK74" s="63"/>
      <c r="BN74" s="56"/>
      <c r="BO74" s="56"/>
      <c r="BP74" s="56"/>
      <c r="BQ74" s="56"/>
      <c r="BR74" s="56"/>
    </row>
    <row r="75" spans="1:108" ht="39.950000000000003" customHeight="1">
      <c r="O75" s="63"/>
      <c r="R75" s="56"/>
      <c r="S75" s="56"/>
      <c r="W75" s="197"/>
      <c r="Y75" s="200"/>
      <c r="Z75" s="201"/>
      <c r="AA75" s="198"/>
      <c r="AD75" s="56"/>
      <c r="AE75" s="56"/>
      <c r="AF75" s="56"/>
      <c r="AG75" s="56"/>
      <c r="AH75" s="56"/>
      <c r="AM75" s="63"/>
      <c r="AP75" s="56"/>
      <c r="AQ75" s="56"/>
      <c r="AR75" s="56"/>
      <c r="AS75" s="56"/>
      <c r="AT75" s="56"/>
      <c r="AY75" s="63"/>
      <c r="BB75" s="56"/>
      <c r="BC75" s="56"/>
      <c r="BD75" s="56"/>
      <c r="BE75" s="56"/>
      <c r="BF75" s="56"/>
      <c r="BK75" s="63"/>
      <c r="BN75" s="56"/>
      <c r="BO75" s="56"/>
      <c r="BP75" s="56"/>
      <c r="BQ75" s="56"/>
      <c r="BR75" s="56"/>
    </row>
    <row r="76" spans="1:108" ht="39.950000000000003" customHeight="1">
      <c r="W76" s="197"/>
      <c r="Y76" s="200"/>
      <c r="Z76" s="201"/>
    </row>
    <row r="77" spans="1:108" ht="39.950000000000003" customHeight="1">
      <c r="O77" s="63"/>
      <c r="P77" s="64"/>
      <c r="W77" s="197"/>
      <c r="X77" s="197"/>
      <c r="Y77" s="200"/>
      <c r="Z77" s="201"/>
      <c r="AA77" s="198"/>
      <c r="AB77" s="64"/>
      <c r="AH77" s="531"/>
      <c r="AI77" s="531"/>
      <c r="AJ77" s="531"/>
      <c r="AL77" s="81"/>
      <c r="AM77" s="63"/>
      <c r="AN77" s="64"/>
      <c r="AT77" s="531"/>
      <c r="AU77" s="531"/>
      <c r="AV77" s="531"/>
      <c r="AY77" s="63"/>
      <c r="AZ77" s="64"/>
      <c r="BF77" s="531"/>
      <c r="BG77" s="531"/>
      <c r="BH77" s="531"/>
      <c r="BK77" s="63"/>
      <c r="BL77" s="64"/>
      <c r="BR77" s="531"/>
      <c r="BS77" s="531"/>
      <c r="BT77" s="531"/>
    </row>
    <row r="78" spans="1:108" ht="39.950000000000003" customHeight="1">
      <c r="O78" s="63"/>
      <c r="R78" s="56"/>
      <c r="S78" s="56"/>
      <c r="W78" s="197"/>
      <c r="Y78" s="200"/>
      <c r="Z78" s="201"/>
      <c r="AA78" s="199"/>
      <c r="AD78" s="56"/>
      <c r="AE78" s="56"/>
      <c r="AF78" s="56"/>
      <c r="AG78" s="56"/>
      <c r="AH78" s="56"/>
      <c r="AL78" s="81"/>
      <c r="AM78" s="63"/>
      <c r="AP78" s="56"/>
      <c r="AQ78" s="56"/>
      <c r="AR78" s="56"/>
      <c r="AS78" s="56"/>
      <c r="AT78" s="56"/>
      <c r="AY78" s="63"/>
      <c r="BB78" s="56"/>
      <c r="BC78" s="56"/>
      <c r="BD78" s="56"/>
      <c r="BE78" s="56"/>
      <c r="BF78" s="56"/>
      <c r="BK78" s="63"/>
      <c r="BN78" s="56"/>
      <c r="BO78" s="56"/>
      <c r="BP78" s="56"/>
      <c r="BQ78" s="56"/>
      <c r="BR78" s="56"/>
    </row>
    <row r="79" spans="1:108" ht="39.950000000000003" customHeight="1">
      <c r="O79" s="63"/>
      <c r="R79" s="56"/>
      <c r="S79" s="56"/>
      <c r="W79" s="197"/>
      <c r="Y79" s="200"/>
      <c r="Z79" s="201"/>
      <c r="AA79" s="198"/>
      <c r="AD79" s="56"/>
      <c r="AE79" s="56"/>
      <c r="AF79" s="56"/>
      <c r="AG79" s="56"/>
      <c r="AH79" s="56"/>
      <c r="AL79" s="81"/>
      <c r="AM79" s="63"/>
      <c r="AP79" s="56"/>
      <c r="AQ79" s="56"/>
      <c r="AR79" s="56"/>
      <c r="AS79" s="56"/>
      <c r="AT79" s="56"/>
      <c r="AY79" s="63"/>
      <c r="BB79" s="56"/>
      <c r="BC79" s="56"/>
      <c r="BD79" s="56"/>
      <c r="BE79" s="56"/>
      <c r="BF79" s="56"/>
      <c r="BK79" s="63"/>
      <c r="BN79" s="56"/>
      <c r="BO79" s="56"/>
      <c r="BP79" s="56"/>
      <c r="BQ79" s="56"/>
      <c r="BR79" s="56"/>
    </row>
    <row r="80" spans="1:108" ht="39.950000000000003" customHeight="1">
      <c r="O80" s="63"/>
      <c r="R80" s="56"/>
      <c r="S80" s="56"/>
      <c r="W80" s="197"/>
      <c r="Y80" s="200"/>
      <c r="Z80" s="201"/>
      <c r="AA80" s="198"/>
      <c r="AD80" s="56"/>
      <c r="AE80" s="56"/>
      <c r="AF80" s="56"/>
      <c r="AG80" s="56"/>
      <c r="AH80" s="56"/>
      <c r="AL80" s="81"/>
      <c r="AM80" s="63"/>
      <c r="AP80" s="56"/>
      <c r="AQ80" s="56"/>
      <c r="AR80" s="56"/>
      <c r="AS80" s="56"/>
      <c r="AT80" s="56"/>
      <c r="AY80" s="63"/>
      <c r="BB80" s="56"/>
      <c r="BC80" s="56"/>
      <c r="BD80" s="56"/>
      <c r="BE80" s="56"/>
      <c r="BF80" s="56"/>
      <c r="BK80" s="63"/>
      <c r="BN80" s="56"/>
      <c r="BO80" s="56"/>
      <c r="BP80" s="56"/>
      <c r="BQ80" s="56"/>
      <c r="BR80" s="56"/>
    </row>
    <row r="81" spans="15:72" ht="39.950000000000003" customHeight="1">
      <c r="O81" s="63"/>
      <c r="R81" s="56"/>
      <c r="S81" s="56"/>
      <c r="W81" s="197"/>
      <c r="Y81" s="200"/>
      <c r="Z81" s="201"/>
      <c r="AA81" s="198"/>
      <c r="AD81" s="56"/>
      <c r="AE81" s="56"/>
      <c r="AF81" s="56"/>
      <c r="AG81" s="56"/>
      <c r="AH81" s="56"/>
      <c r="AL81" s="81"/>
      <c r="AM81" s="63"/>
      <c r="AP81" s="56"/>
      <c r="AQ81" s="56"/>
      <c r="AR81" s="56"/>
      <c r="AS81" s="56"/>
      <c r="AT81" s="56"/>
      <c r="AY81" s="63"/>
      <c r="BB81" s="56"/>
      <c r="BC81" s="56"/>
      <c r="BD81" s="56"/>
      <c r="BE81" s="56"/>
      <c r="BF81" s="56"/>
      <c r="BK81" s="63"/>
      <c r="BN81" s="56"/>
      <c r="BO81" s="56"/>
      <c r="BP81" s="56"/>
      <c r="BQ81" s="56"/>
      <c r="BR81" s="56"/>
    </row>
    <row r="82" spans="15:72" ht="39.950000000000003" customHeight="1">
      <c r="W82" s="197"/>
      <c r="Y82" s="200"/>
      <c r="Z82" s="201"/>
      <c r="AL82" s="81"/>
    </row>
    <row r="83" spans="15:72" ht="39.950000000000003" customHeight="1">
      <c r="O83" s="63"/>
      <c r="P83" s="64"/>
      <c r="W83" s="197"/>
      <c r="X83" s="197"/>
      <c r="Y83" s="200"/>
      <c r="Z83" s="201"/>
      <c r="AA83" s="198"/>
      <c r="AB83" s="64"/>
      <c r="AH83" s="531"/>
      <c r="AI83" s="531"/>
      <c r="AJ83" s="531"/>
      <c r="AL83" s="81"/>
      <c r="AM83" s="63"/>
      <c r="AN83" s="64"/>
      <c r="AT83" s="531"/>
      <c r="AU83" s="531"/>
      <c r="AV83" s="531"/>
      <c r="AY83" s="63"/>
      <c r="AZ83" s="64"/>
      <c r="BF83" s="531"/>
      <c r="BG83" s="531"/>
      <c r="BH83" s="531"/>
      <c r="BK83" s="63"/>
      <c r="BL83" s="64"/>
      <c r="BR83" s="531"/>
      <c r="BS83" s="531"/>
      <c r="BT83" s="531"/>
    </row>
    <row r="84" spans="15:72" ht="39.950000000000003" customHeight="1">
      <c r="O84" s="63"/>
      <c r="R84" s="56"/>
      <c r="S84" s="56"/>
      <c r="W84" s="197"/>
      <c r="Y84" s="200"/>
      <c r="Z84" s="201"/>
      <c r="AA84" s="198"/>
      <c r="AD84" s="56"/>
      <c r="AE84" s="56"/>
      <c r="AF84" s="56"/>
      <c r="AG84" s="56"/>
      <c r="AH84" s="56"/>
      <c r="AL84" s="81"/>
      <c r="AM84" s="63"/>
      <c r="AP84" s="56"/>
      <c r="AQ84" s="56"/>
      <c r="AR84" s="56"/>
      <c r="AS84" s="56"/>
      <c r="AT84" s="56"/>
      <c r="AY84" s="63"/>
      <c r="BB84" s="56"/>
      <c r="BC84" s="56"/>
      <c r="BD84" s="56"/>
      <c r="BE84" s="56"/>
      <c r="BF84" s="56"/>
      <c r="BK84" s="63"/>
      <c r="BN84" s="56"/>
      <c r="BO84" s="56"/>
      <c r="BP84" s="56"/>
      <c r="BQ84" s="56"/>
      <c r="BR84" s="56"/>
    </row>
    <row r="85" spans="15:72" ht="39.950000000000003" customHeight="1">
      <c r="O85" s="63"/>
      <c r="R85" s="56"/>
      <c r="S85" s="56"/>
      <c r="W85" s="197"/>
      <c r="Y85" s="200"/>
      <c r="Z85" s="201"/>
      <c r="AA85" s="198"/>
      <c r="AD85" s="56"/>
      <c r="AE85" s="56"/>
      <c r="AF85" s="56"/>
      <c r="AG85" s="56"/>
      <c r="AH85" s="56"/>
      <c r="AL85" s="81"/>
      <c r="AM85" s="63"/>
      <c r="AP85" s="56"/>
      <c r="AQ85" s="56"/>
      <c r="AR85" s="56"/>
      <c r="AS85" s="56"/>
      <c r="AT85" s="56"/>
      <c r="AY85" s="63"/>
      <c r="BB85" s="56"/>
      <c r="BC85" s="56"/>
      <c r="BD85" s="56"/>
      <c r="BE85" s="56"/>
      <c r="BF85" s="56"/>
      <c r="BK85" s="63"/>
      <c r="BN85" s="56"/>
      <c r="BO85" s="56"/>
      <c r="BP85" s="56"/>
      <c r="BQ85" s="56"/>
      <c r="BR85" s="56"/>
    </row>
    <row r="86" spans="15:72" ht="39.950000000000003" customHeight="1">
      <c r="O86" s="63"/>
      <c r="R86" s="56"/>
      <c r="S86" s="56"/>
      <c r="W86" s="197"/>
      <c r="Y86" s="200"/>
      <c r="Z86" s="201"/>
      <c r="AA86" s="198"/>
      <c r="AD86" s="56"/>
      <c r="AE86" s="56"/>
      <c r="AF86" s="56"/>
      <c r="AG86" s="56"/>
      <c r="AH86" s="56"/>
      <c r="AL86" s="81"/>
      <c r="AM86" s="63"/>
      <c r="AP86" s="56"/>
      <c r="AQ86" s="56"/>
      <c r="AR86" s="56"/>
      <c r="AS86" s="56"/>
      <c r="AT86" s="56"/>
      <c r="AY86" s="63"/>
      <c r="BB86" s="56"/>
      <c r="BC86" s="56"/>
      <c r="BD86" s="56"/>
      <c r="BE86" s="56"/>
      <c r="BF86" s="56"/>
      <c r="BK86" s="63"/>
      <c r="BN86" s="56"/>
      <c r="BO86" s="56"/>
      <c r="BP86" s="56"/>
      <c r="BQ86" s="56"/>
      <c r="BR86" s="56"/>
    </row>
    <row r="87" spans="15:72" ht="39.950000000000003" customHeight="1">
      <c r="O87" s="63"/>
      <c r="R87" s="56"/>
      <c r="S87" s="56"/>
      <c r="W87" s="197"/>
      <c r="Y87" s="200"/>
      <c r="Z87" s="201"/>
      <c r="AA87" s="198"/>
      <c r="AD87" s="56"/>
      <c r="AE87" s="56"/>
      <c r="AF87" s="56"/>
      <c r="AG87" s="56"/>
      <c r="AH87" s="56"/>
      <c r="AL87" s="81"/>
      <c r="AM87" s="63"/>
      <c r="AP87" s="56"/>
      <c r="AQ87" s="56"/>
      <c r="AR87" s="56"/>
      <c r="AS87" s="56"/>
      <c r="AT87" s="56"/>
      <c r="AY87" s="63"/>
      <c r="BB87" s="56"/>
      <c r="BC87" s="56"/>
      <c r="BD87" s="56"/>
      <c r="BE87" s="56"/>
      <c r="BF87" s="56"/>
      <c r="BK87" s="63"/>
      <c r="BN87" s="56"/>
      <c r="BO87" s="56"/>
      <c r="BP87" s="56"/>
      <c r="BQ87" s="56"/>
      <c r="BR87" s="56"/>
    </row>
    <row r="88" spans="15:72" ht="39.950000000000003" customHeight="1">
      <c r="W88" s="197"/>
      <c r="Y88" s="200"/>
      <c r="Z88" s="201"/>
      <c r="AL88" s="81"/>
    </row>
    <row r="89" spans="15:72" ht="39.950000000000003" customHeight="1">
      <c r="O89" s="63"/>
      <c r="P89" s="64"/>
      <c r="W89" s="197"/>
      <c r="X89" s="197"/>
      <c r="Y89" s="200"/>
      <c r="Z89" s="201"/>
      <c r="AA89" s="198"/>
      <c r="AB89" s="64"/>
      <c r="AH89" s="531"/>
      <c r="AI89" s="531"/>
      <c r="AJ89" s="531"/>
      <c r="AL89" s="81"/>
      <c r="AM89" s="63"/>
      <c r="AN89" s="64"/>
      <c r="AT89" s="531"/>
      <c r="AU89" s="531"/>
      <c r="AV89" s="531"/>
      <c r="AY89" s="63"/>
      <c r="AZ89" s="64"/>
      <c r="BF89" s="531"/>
      <c r="BG89" s="531"/>
      <c r="BH89" s="531"/>
      <c r="BK89" s="63"/>
      <c r="BL89" s="64"/>
      <c r="BR89" s="531"/>
      <c r="BS89" s="531"/>
      <c r="BT89" s="531"/>
    </row>
    <row r="90" spans="15:72" ht="39.950000000000003" customHeight="1">
      <c r="O90" s="63"/>
      <c r="R90" s="56"/>
      <c r="S90" s="56"/>
      <c r="W90" s="197"/>
      <c r="Y90" s="200"/>
      <c r="Z90" s="201"/>
      <c r="AA90" s="198"/>
      <c r="AD90" s="56"/>
      <c r="AE90" s="56"/>
      <c r="AF90" s="56"/>
      <c r="AG90" s="56"/>
      <c r="AH90" s="56"/>
      <c r="AL90" s="81"/>
      <c r="AM90" s="63"/>
      <c r="AP90" s="56"/>
      <c r="AQ90" s="56"/>
      <c r="AR90" s="56"/>
      <c r="AS90" s="56"/>
      <c r="AT90" s="56"/>
      <c r="AY90" s="63"/>
      <c r="BB90" s="56"/>
      <c r="BC90" s="56"/>
      <c r="BD90" s="56"/>
      <c r="BE90" s="56"/>
      <c r="BF90" s="56"/>
      <c r="BK90" s="63"/>
      <c r="BN90" s="56"/>
      <c r="BO90" s="56"/>
      <c r="BP90" s="56"/>
      <c r="BQ90" s="56"/>
      <c r="BR90" s="56"/>
    </row>
    <row r="91" spans="15:72" ht="39.950000000000003" customHeight="1">
      <c r="O91" s="63"/>
      <c r="R91" s="56"/>
      <c r="S91" s="56"/>
      <c r="W91" s="197"/>
      <c r="Y91" s="200"/>
      <c r="Z91" s="201"/>
      <c r="AA91" s="198"/>
      <c r="AD91" s="56"/>
      <c r="AE91" s="56"/>
      <c r="AF91" s="56"/>
      <c r="AG91" s="56"/>
      <c r="AH91" s="56"/>
      <c r="AL91" s="81"/>
      <c r="AM91" s="63"/>
      <c r="AP91" s="56"/>
      <c r="AQ91" s="56"/>
      <c r="AR91" s="56"/>
      <c r="AS91" s="56"/>
      <c r="AT91" s="56"/>
      <c r="AY91" s="63"/>
      <c r="BB91" s="56"/>
      <c r="BC91" s="56"/>
      <c r="BD91" s="56"/>
      <c r="BE91" s="56"/>
      <c r="BF91" s="56"/>
      <c r="BK91" s="63"/>
      <c r="BN91" s="56"/>
      <c r="BO91" s="56"/>
      <c r="BP91" s="56"/>
      <c r="BQ91" s="56"/>
      <c r="BR91" s="56"/>
    </row>
    <row r="92" spans="15:72" ht="39.950000000000003" customHeight="1">
      <c r="O92" s="63"/>
      <c r="R92" s="56"/>
      <c r="S92" s="56"/>
      <c r="W92" s="197"/>
      <c r="Y92" s="200"/>
      <c r="Z92" s="201"/>
      <c r="AA92" s="198"/>
      <c r="AD92" s="56"/>
      <c r="AE92" s="56"/>
      <c r="AF92" s="56"/>
      <c r="AG92" s="56"/>
      <c r="AH92" s="56"/>
      <c r="AL92" s="81"/>
      <c r="AM92" s="63"/>
      <c r="AP92" s="56"/>
      <c r="AQ92" s="56"/>
      <c r="AR92" s="56"/>
      <c r="AS92" s="56"/>
      <c r="AT92" s="56"/>
      <c r="AY92" s="63"/>
      <c r="BB92" s="56"/>
      <c r="BC92" s="56"/>
      <c r="BD92" s="56"/>
      <c r="BE92" s="56"/>
      <c r="BF92" s="56"/>
      <c r="BK92" s="63"/>
      <c r="BN92" s="56"/>
      <c r="BO92" s="56"/>
      <c r="BP92" s="56"/>
      <c r="BQ92" s="56"/>
      <c r="BR92" s="56"/>
    </row>
    <row r="93" spans="15:72" ht="39.950000000000003" customHeight="1">
      <c r="O93" s="63"/>
      <c r="R93" s="56"/>
      <c r="S93" s="56"/>
      <c r="W93" s="197"/>
      <c r="Y93" s="200"/>
      <c r="Z93" s="201"/>
      <c r="AA93" s="198"/>
      <c r="AD93" s="56"/>
      <c r="AE93" s="56"/>
      <c r="AF93" s="56"/>
      <c r="AG93" s="56"/>
      <c r="AH93" s="56"/>
      <c r="AL93" s="81"/>
      <c r="AM93" s="63"/>
      <c r="AP93" s="56"/>
      <c r="AQ93" s="56"/>
      <c r="AR93" s="56"/>
      <c r="AS93" s="56"/>
      <c r="AT93" s="56"/>
      <c r="AY93" s="63"/>
      <c r="BB93" s="56"/>
      <c r="BC93" s="56"/>
      <c r="BD93" s="56"/>
      <c r="BE93" s="56"/>
      <c r="BF93" s="56"/>
      <c r="BK93" s="63"/>
      <c r="BN93" s="56"/>
      <c r="BO93" s="56"/>
      <c r="BP93" s="56"/>
      <c r="BQ93" s="56"/>
      <c r="BR93" s="56"/>
    </row>
    <row r="94" spans="15:72" ht="39.950000000000003" customHeight="1">
      <c r="W94" s="197"/>
      <c r="Y94" s="200"/>
      <c r="Z94" s="201"/>
      <c r="AL94" s="81"/>
    </row>
    <row r="95" spans="15:72" ht="39.950000000000003" customHeight="1">
      <c r="O95" s="63"/>
      <c r="P95" s="64"/>
      <c r="W95" s="197"/>
      <c r="X95" s="197"/>
      <c r="Y95" s="200"/>
      <c r="Z95" s="201"/>
      <c r="AA95" s="198"/>
      <c r="AB95" s="64"/>
      <c r="AH95" s="531"/>
      <c r="AI95" s="531"/>
      <c r="AJ95" s="531"/>
      <c r="AL95" s="81"/>
      <c r="AM95" s="63"/>
      <c r="AN95" s="64"/>
      <c r="AT95" s="531"/>
      <c r="AU95" s="531"/>
      <c r="AV95" s="531"/>
      <c r="AY95" s="63"/>
      <c r="AZ95" s="64"/>
      <c r="BF95" s="531"/>
      <c r="BG95" s="531"/>
      <c r="BH95" s="531"/>
      <c r="BK95" s="63"/>
      <c r="BL95" s="64"/>
      <c r="BR95" s="531"/>
      <c r="BS95" s="531"/>
      <c r="BT95" s="531"/>
    </row>
    <row r="96" spans="15:72" ht="39.950000000000003" customHeight="1">
      <c r="O96" s="63"/>
      <c r="R96" s="56"/>
      <c r="S96" s="56"/>
      <c r="V96" s="194"/>
      <c r="W96" s="197"/>
      <c r="Y96" s="200"/>
      <c r="Z96" s="201"/>
      <c r="AA96" s="198"/>
      <c r="AD96" s="56"/>
      <c r="AE96" s="56"/>
      <c r="AF96" s="56"/>
      <c r="AG96" s="56"/>
      <c r="AH96" s="56"/>
      <c r="AL96" s="81"/>
      <c r="AM96" s="63"/>
      <c r="AP96" s="56"/>
      <c r="AQ96" s="56"/>
      <c r="AR96" s="56"/>
      <c r="AS96" s="56"/>
      <c r="AT96" s="56"/>
      <c r="AY96" s="63"/>
      <c r="BB96" s="56"/>
      <c r="BC96" s="56"/>
      <c r="BD96" s="56"/>
      <c r="BE96" s="56"/>
      <c r="BF96" s="56"/>
      <c r="BK96" s="63"/>
      <c r="BN96" s="56"/>
      <c r="BO96" s="56"/>
      <c r="BP96" s="56"/>
      <c r="BQ96" s="56"/>
      <c r="BR96" s="56"/>
    </row>
    <row r="97" spans="15:72" ht="39.950000000000003" customHeight="1">
      <c r="O97" s="63"/>
      <c r="R97" s="56"/>
      <c r="S97" s="56"/>
      <c r="V97" s="194"/>
      <c r="W97" s="197"/>
      <c r="Y97" s="200"/>
      <c r="Z97" s="201"/>
      <c r="AA97" s="198"/>
      <c r="AD97" s="56"/>
      <c r="AE97" s="56"/>
      <c r="AF97" s="56"/>
      <c r="AG97" s="56"/>
      <c r="AH97" s="56"/>
      <c r="AL97" s="81"/>
      <c r="AM97" s="63"/>
      <c r="AP97" s="56"/>
      <c r="AQ97" s="56"/>
      <c r="AR97" s="56"/>
      <c r="AS97" s="56"/>
      <c r="AT97" s="56"/>
      <c r="AY97" s="63"/>
      <c r="BB97" s="56"/>
      <c r="BC97" s="56"/>
      <c r="BD97" s="56"/>
      <c r="BE97" s="56"/>
      <c r="BF97" s="56"/>
      <c r="BK97" s="63"/>
      <c r="BN97" s="56"/>
      <c r="BO97" s="56"/>
      <c r="BP97" s="56"/>
      <c r="BQ97" s="56"/>
      <c r="BR97" s="56"/>
    </row>
    <row r="98" spans="15:72" ht="39.950000000000003" customHeight="1">
      <c r="O98" s="63"/>
      <c r="R98" s="56"/>
      <c r="S98" s="56"/>
      <c r="V98" s="194"/>
      <c r="W98" s="197"/>
      <c r="Y98" s="200"/>
      <c r="Z98" s="201"/>
      <c r="AA98" s="198"/>
      <c r="AD98" s="56"/>
      <c r="AE98" s="56"/>
      <c r="AF98" s="56"/>
      <c r="AG98" s="56"/>
      <c r="AH98" s="56"/>
      <c r="AL98" s="81"/>
      <c r="AM98" s="63"/>
      <c r="AP98" s="56"/>
      <c r="AQ98" s="56"/>
      <c r="AR98" s="56"/>
      <c r="AS98" s="56"/>
      <c r="AT98" s="56"/>
      <c r="AY98" s="63"/>
      <c r="BB98" s="56"/>
      <c r="BC98" s="56"/>
      <c r="BD98" s="56"/>
      <c r="BE98" s="56"/>
      <c r="BF98" s="56"/>
      <c r="BK98" s="63"/>
      <c r="BN98" s="56"/>
      <c r="BO98" s="56"/>
      <c r="BP98" s="56"/>
      <c r="BQ98" s="56"/>
      <c r="BR98" s="56"/>
    </row>
    <row r="99" spans="15:72" ht="39.950000000000003" customHeight="1">
      <c r="O99" s="63"/>
      <c r="R99" s="56"/>
      <c r="S99" s="56"/>
      <c r="V99" s="194"/>
      <c r="W99" s="197"/>
      <c r="Y99" s="200"/>
      <c r="Z99" s="201"/>
      <c r="AA99" s="198"/>
      <c r="AD99" s="56"/>
      <c r="AE99" s="56"/>
      <c r="AF99" s="56"/>
      <c r="AG99" s="56"/>
      <c r="AH99" s="56"/>
      <c r="AL99" s="81"/>
      <c r="AM99" s="63"/>
      <c r="AP99" s="56"/>
      <c r="AQ99" s="56"/>
      <c r="AR99" s="56"/>
      <c r="AS99" s="56"/>
      <c r="AT99" s="56"/>
      <c r="AY99" s="63"/>
      <c r="BB99" s="56"/>
      <c r="BC99" s="56"/>
      <c r="BD99" s="56"/>
      <c r="BE99" s="56"/>
      <c r="BF99" s="56"/>
      <c r="BK99" s="63"/>
      <c r="BN99" s="56"/>
      <c r="BO99" s="56"/>
      <c r="BP99" s="56"/>
      <c r="BQ99" s="56"/>
      <c r="BR99" s="56"/>
    </row>
    <row r="100" spans="15:72" ht="39.950000000000003" customHeight="1">
      <c r="W100" s="197"/>
      <c r="Y100" s="200"/>
      <c r="Z100" s="201"/>
      <c r="AL100" s="81"/>
    </row>
    <row r="101" spans="15:72" ht="39.950000000000003" customHeight="1">
      <c r="O101" s="63"/>
      <c r="P101" s="64"/>
      <c r="W101" s="197"/>
      <c r="X101" s="197"/>
      <c r="Y101" s="200"/>
      <c r="Z101" s="201"/>
      <c r="AA101" s="198"/>
      <c r="AB101" s="64"/>
      <c r="AH101" s="531"/>
      <c r="AI101" s="531"/>
      <c r="AJ101" s="531"/>
      <c r="AL101" s="81"/>
      <c r="AM101" s="63"/>
      <c r="AN101" s="64"/>
      <c r="AT101" s="531"/>
      <c r="AU101" s="531"/>
      <c r="AV101" s="531"/>
      <c r="AY101" s="63"/>
      <c r="AZ101" s="64"/>
      <c r="BF101" s="531"/>
      <c r="BG101" s="531"/>
      <c r="BH101" s="531"/>
      <c r="BK101" s="63"/>
      <c r="BL101" s="64"/>
      <c r="BR101" s="531"/>
      <c r="BS101" s="531"/>
      <c r="BT101" s="531"/>
    </row>
    <row r="102" spans="15:72" ht="39.950000000000003" customHeight="1">
      <c r="O102" s="63"/>
      <c r="R102" s="56"/>
      <c r="S102" s="56"/>
      <c r="V102" s="194"/>
      <c r="W102" s="197"/>
      <c r="Y102" s="200"/>
      <c r="Z102" s="201"/>
      <c r="AA102" s="198"/>
      <c r="AD102" s="56"/>
      <c r="AE102" s="56"/>
      <c r="AF102" s="56"/>
      <c r="AG102" s="56"/>
      <c r="AH102" s="56"/>
      <c r="AL102" s="81"/>
      <c r="AM102" s="63"/>
      <c r="AP102" s="56"/>
      <c r="AQ102" s="56"/>
      <c r="AR102" s="56"/>
      <c r="AS102" s="56"/>
      <c r="AT102" s="56"/>
      <c r="AY102" s="63"/>
      <c r="BB102" s="56"/>
      <c r="BC102" s="56"/>
      <c r="BD102" s="56"/>
      <c r="BE102" s="56"/>
      <c r="BF102" s="56"/>
      <c r="BK102" s="63"/>
      <c r="BN102" s="56"/>
      <c r="BO102" s="56"/>
      <c r="BP102" s="56"/>
      <c r="BQ102" s="56"/>
      <c r="BR102" s="56"/>
    </row>
    <row r="103" spans="15:72" ht="39.950000000000003" customHeight="1">
      <c r="O103" s="63"/>
      <c r="R103" s="56"/>
      <c r="S103" s="56"/>
      <c r="V103" s="194"/>
      <c r="W103" s="197"/>
      <c r="Y103" s="200"/>
      <c r="Z103" s="201"/>
      <c r="AA103" s="198"/>
      <c r="AD103" s="56"/>
      <c r="AE103" s="56"/>
      <c r="AF103" s="56"/>
      <c r="AG103" s="56"/>
      <c r="AH103" s="56"/>
      <c r="AL103" s="81"/>
      <c r="AM103" s="63"/>
      <c r="AP103" s="56"/>
      <c r="AQ103" s="56"/>
      <c r="AR103" s="56"/>
      <c r="AS103" s="56"/>
      <c r="AT103" s="56"/>
      <c r="AY103" s="63"/>
      <c r="BB103" s="56"/>
      <c r="BC103" s="56"/>
      <c r="BD103" s="56"/>
      <c r="BE103" s="56"/>
      <c r="BF103" s="56"/>
      <c r="BK103" s="63"/>
      <c r="BN103" s="56"/>
      <c r="BO103" s="56"/>
      <c r="BP103" s="56"/>
      <c r="BQ103" s="56"/>
      <c r="BR103" s="56"/>
    </row>
    <row r="104" spans="15:72" ht="39.950000000000003" customHeight="1">
      <c r="O104" s="63"/>
      <c r="R104" s="56"/>
      <c r="S104" s="56"/>
      <c r="V104" s="194"/>
      <c r="W104" s="197"/>
      <c r="Y104" s="200"/>
      <c r="Z104" s="201"/>
      <c r="AA104" s="198"/>
      <c r="AD104" s="56"/>
      <c r="AE104" s="56"/>
      <c r="AF104" s="56"/>
      <c r="AG104" s="56"/>
      <c r="AH104" s="56"/>
      <c r="AL104" s="81"/>
      <c r="AM104" s="63"/>
      <c r="AP104" s="56"/>
      <c r="AQ104" s="56"/>
      <c r="AR104" s="56"/>
      <c r="AS104" s="56"/>
      <c r="AT104" s="56"/>
      <c r="AY104" s="63"/>
      <c r="BB104" s="56"/>
      <c r="BC104" s="56"/>
      <c r="BD104" s="56"/>
      <c r="BE104" s="56"/>
      <c r="BF104" s="56"/>
      <c r="BK104" s="63"/>
      <c r="BN104" s="56"/>
      <c r="BO104" s="56"/>
      <c r="BP104" s="56"/>
      <c r="BQ104" s="56"/>
      <c r="BR104" s="56"/>
    </row>
    <row r="105" spans="15:72" ht="39.950000000000003" customHeight="1">
      <c r="O105" s="63"/>
      <c r="R105" s="56"/>
      <c r="S105" s="56"/>
      <c r="V105" s="194"/>
      <c r="W105" s="197"/>
      <c r="Y105" s="200"/>
      <c r="Z105" s="201"/>
      <c r="AA105" s="198"/>
      <c r="AD105" s="56"/>
      <c r="AE105" s="56"/>
      <c r="AF105" s="56"/>
      <c r="AG105" s="56"/>
      <c r="AH105" s="56"/>
      <c r="AM105" s="63"/>
      <c r="AP105" s="56"/>
      <c r="AQ105" s="56"/>
      <c r="AR105" s="56"/>
      <c r="AS105" s="56"/>
      <c r="AT105" s="56"/>
      <c r="AY105" s="63"/>
      <c r="BB105" s="56"/>
      <c r="BC105" s="56"/>
      <c r="BD105" s="56"/>
      <c r="BE105" s="56"/>
      <c r="BF105" s="56"/>
      <c r="BK105" s="63"/>
      <c r="BN105" s="56"/>
      <c r="BO105" s="56"/>
      <c r="BP105" s="56"/>
      <c r="BQ105" s="56"/>
      <c r="BR105" s="56"/>
    </row>
    <row r="106" spans="15:72" ht="39.950000000000003" customHeight="1">
      <c r="W106" s="197"/>
      <c r="Y106" s="200"/>
      <c r="Z106" s="201"/>
    </row>
    <row r="107" spans="15:72" ht="39.950000000000003" customHeight="1">
      <c r="O107" s="63"/>
      <c r="P107" s="64"/>
      <c r="W107" s="197"/>
      <c r="X107" s="197"/>
      <c r="Y107" s="200"/>
      <c r="Z107" s="201"/>
      <c r="AA107" s="198"/>
      <c r="AB107" s="64"/>
      <c r="AH107" s="531"/>
      <c r="AI107" s="531"/>
      <c r="AJ107" s="531"/>
      <c r="AM107" s="63"/>
      <c r="AN107" s="64"/>
      <c r="AT107" s="531"/>
      <c r="AU107" s="531"/>
      <c r="AV107" s="531"/>
      <c r="AY107" s="63"/>
      <c r="AZ107" s="64"/>
      <c r="BF107" s="531"/>
      <c r="BG107" s="531"/>
      <c r="BH107" s="531"/>
      <c r="BK107" s="63"/>
      <c r="BL107" s="64"/>
      <c r="BR107" s="531"/>
      <c r="BS107" s="531"/>
      <c r="BT107" s="531"/>
    </row>
    <row r="108" spans="15:72" ht="39.950000000000003" customHeight="1">
      <c r="O108" s="63"/>
      <c r="R108" s="56"/>
      <c r="S108" s="56"/>
      <c r="V108" s="194"/>
      <c r="W108" s="197"/>
      <c r="Y108" s="200"/>
      <c r="Z108" s="201"/>
      <c r="AA108" s="198"/>
      <c r="AD108" s="56"/>
      <c r="AE108" s="56"/>
      <c r="AF108" s="56"/>
      <c r="AG108" s="56"/>
      <c r="AH108" s="56"/>
      <c r="AM108" s="63"/>
      <c r="AP108" s="56"/>
      <c r="AQ108" s="56"/>
      <c r="AR108" s="56"/>
      <c r="AS108" s="56"/>
      <c r="AT108" s="56"/>
      <c r="AY108" s="63"/>
      <c r="BB108" s="56"/>
      <c r="BC108" s="56"/>
      <c r="BD108" s="56"/>
      <c r="BE108" s="56"/>
      <c r="BF108" s="56"/>
      <c r="BK108" s="63"/>
      <c r="BN108" s="56"/>
      <c r="BO108" s="56"/>
      <c r="BP108" s="56"/>
      <c r="BQ108" s="56"/>
      <c r="BR108" s="56"/>
    </row>
    <row r="109" spans="15:72" ht="39.950000000000003" customHeight="1">
      <c r="O109" s="63"/>
      <c r="R109" s="56"/>
      <c r="S109" s="56"/>
      <c r="V109" s="194"/>
      <c r="W109" s="197"/>
      <c r="Y109" s="200"/>
      <c r="Z109" s="201"/>
      <c r="AA109" s="198"/>
      <c r="AD109" s="56"/>
      <c r="AE109" s="56"/>
      <c r="AF109" s="56"/>
      <c r="AG109" s="56"/>
      <c r="AH109" s="56"/>
      <c r="AM109" s="63"/>
      <c r="AP109" s="56"/>
      <c r="AQ109" s="56"/>
      <c r="AR109" s="56"/>
      <c r="AS109" s="56"/>
      <c r="AT109" s="56"/>
      <c r="AY109" s="63"/>
      <c r="BB109" s="56"/>
      <c r="BC109" s="56"/>
      <c r="BD109" s="56"/>
      <c r="BE109" s="56"/>
      <c r="BF109" s="56"/>
      <c r="BK109" s="63"/>
      <c r="BN109" s="56"/>
      <c r="BO109" s="56"/>
      <c r="BP109" s="56"/>
      <c r="BQ109" s="56"/>
      <c r="BR109" s="56"/>
    </row>
    <row r="110" spans="15:72" ht="39.950000000000003" customHeight="1">
      <c r="O110" s="63"/>
      <c r="R110" s="56"/>
      <c r="S110" s="56"/>
      <c r="V110" s="194"/>
      <c r="W110" s="197"/>
      <c r="Y110" s="200"/>
      <c r="Z110" s="201"/>
      <c r="AA110" s="198"/>
      <c r="AD110" s="56"/>
      <c r="AE110" s="56"/>
      <c r="AF110" s="56"/>
      <c r="AG110" s="56"/>
      <c r="AH110" s="56"/>
      <c r="AM110" s="63"/>
      <c r="AP110" s="56"/>
      <c r="AQ110" s="56"/>
      <c r="AR110" s="56"/>
      <c r="AS110" s="56"/>
      <c r="AT110" s="56"/>
      <c r="AY110" s="63"/>
      <c r="BB110" s="56"/>
      <c r="BC110" s="56"/>
      <c r="BD110" s="56"/>
      <c r="BE110" s="56"/>
      <c r="BF110" s="56"/>
      <c r="BK110" s="63"/>
      <c r="BN110" s="56"/>
      <c r="BO110" s="56"/>
      <c r="BP110" s="56"/>
      <c r="BQ110" s="56"/>
      <c r="BR110" s="56"/>
    </row>
    <row r="111" spans="15:72" ht="39.950000000000003" customHeight="1">
      <c r="O111" s="63"/>
      <c r="R111" s="56"/>
      <c r="S111" s="56"/>
      <c r="V111" s="194"/>
      <c r="W111" s="197"/>
      <c r="Y111" s="200"/>
      <c r="Z111" s="201"/>
      <c r="AA111" s="198"/>
      <c r="AD111" s="56"/>
      <c r="AE111" s="56"/>
      <c r="AF111" s="56"/>
      <c r="AG111" s="56"/>
      <c r="AH111" s="56"/>
      <c r="AM111" s="63"/>
      <c r="AP111" s="56"/>
      <c r="AQ111" s="56"/>
      <c r="AR111" s="56"/>
      <c r="AS111" s="56"/>
      <c r="AT111" s="56"/>
      <c r="AY111" s="63"/>
      <c r="BB111" s="56"/>
      <c r="BC111" s="56"/>
      <c r="BD111" s="56"/>
      <c r="BE111" s="56"/>
      <c r="BF111" s="56"/>
      <c r="BK111" s="63"/>
      <c r="BN111" s="56"/>
      <c r="BO111" s="56"/>
      <c r="BP111" s="56"/>
      <c r="BQ111" s="56"/>
      <c r="BR111" s="56"/>
    </row>
    <row r="112" spans="15:72" ht="39.950000000000003" customHeight="1">
      <c r="W112" s="197"/>
      <c r="Y112" s="200"/>
      <c r="Z112" s="201"/>
    </row>
    <row r="113" spans="15:72" ht="39.950000000000003" customHeight="1">
      <c r="O113" s="63"/>
      <c r="P113" s="64"/>
      <c r="W113" s="197"/>
      <c r="X113" s="197"/>
      <c r="Y113" s="200"/>
      <c r="Z113" s="201"/>
      <c r="AA113" s="198"/>
      <c r="AB113" s="64"/>
      <c r="AH113" s="531"/>
      <c r="AI113" s="531"/>
      <c r="AJ113" s="531"/>
      <c r="AM113" s="63"/>
      <c r="AN113" s="64"/>
      <c r="AT113" s="531"/>
      <c r="AU113" s="531"/>
      <c r="AV113" s="531"/>
      <c r="AY113" s="63"/>
      <c r="AZ113" s="64"/>
      <c r="BF113" s="531"/>
      <c r="BG113" s="531"/>
      <c r="BH113" s="531"/>
      <c r="BK113" s="63"/>
      <c r="BL113" s="64"/>
      <c r="BR113" s="531"/>
      <c r="BS113" s="531"/>
      <c r="BT113" s="531"/>
    </row>
    <row r="114" spans="15:72" ht="39.950000000000003" customHeight="1">
      <c r="O114" s="63"/>
      <c r="R114" s="56"/>
      <c r="S114" s="56"/>
      <c r="V114" s="194"/>
      <c r="W114" s="197"/>
      <c r="Y114" s="200"/>
      <c r="Z114" s="201"/>
      <c r="AA114" s="198"/>
      <c r="AD114" s="56"/>
      <c r="AE114" s="56"/>
      <c r="AF114" s="56"/>
      <c r="AG114" s="56"/>
      <c r="AH114" s="56"/>
      <c r="AM114" s="63"/>
      <c r="AP114" s="56"/>
      <c r="AQ114" s="56"/>
      <c r="AR114" s="56"/>
      <c r="AS114" s="56"/>
      <c r="AT114" s="56"/>
      <c r="AY114" s="63"/>
      <c r="BB114" s="56"/>
      <c r="BC114" s="56"/>
      <c r="BD114" s="56"/>
      <c r="BE114" s="56"/>
      <c r="BF114" s="56"/>
      <c r="BK114" s="63"/>
      <c r="BN114" s="56"/>
      <c r="BO114" s="56"/>
      <c r="BP114" s="56"/>
      <c r="BQ114" s="56"/>
      <c r="BR114" s="56"/>
    </row>
    <row r="115" spans="15:72" ht="39.950000000000003" customHeight="1">
      <c r="O115" s="63"/>
      <c r="R115" s="56"/>
      <c r="S115" s="56"/>
      <c r="V115" s="194"/>
      <c r="W115" s="197"/>
      <c r="Y115" s="200"/>
      <c r="Z115" s="201"/>
      <c r="AA115" s="198"/>
      <c r="AD115" s="56"/>
      <c r="AE115" s="56"/>
      <c r="AF115" s="56"/>
      <c r="AG115" s="56"/>
      <c r="AH115" s="56"/>
      <c r="AM115" s="63"/>
      <c r="AP115" s="56"/>
      <c r="AQ115" s="56"/>
      <c r="AR115" s="56"/>
      <c r="AS115" s="56"/>
      <c r="AT115" s="56"/>
      <c r="AY115" s="63"/>
      <c r="BB115" s="56"/>
      <c r="BC115" s="56"/>
      <c r="BD115" s="56"/>
      <c r="BE115" s="56"/>
      <c r="BF115" s="56"/>
      <c r="BK115" s="63"/>
      <c r="BN115" s="56"/>
      <c r="BO115" s="56"/>
      <c r="BP115" s="56"/>
      <c r="BQ115" s="56"/>
      <c r="BR115" s="56"/>
    </row>
    <row r="116" spans="15:72" ht="39.950000000000003" customHeight="1">
      <c r="O116" s="63"/>
      <c r="R116" s="56"/>
      <c r="S116" s="56"/>
      <c r="V116" s="194"/>
      <c r="W116" s="197"/>
      <c r="Y116" s="200"/>
      <c r="Z116" s="201"/>
      <c r="AA116" s="198"/>
      <c r="AD116" s="56"/>
      <c r="AE116" s="56"/>
      <c r="AF116" s="56"/>
      <c r="AG116" s="56"/>
      <c r="AH116" s="56"/>
      <c r="AM116" s="63"/>
      <c r="AP116" s="56"/>
      <c r="AQ116" s="56"/>
      <c r="AR116" s="56"/>
      <c r="AS116" s="56"/>
      <c r="AT116" s="56"/>
      <c r="AY116" s="63"/>
      <c r="BB116" s="56"/>
      <c r="BC116" s="56"/>
      <c r="BD116" s="56"/>
      <c r="BE116" s="56"/>
      <c r="BF116" s="56"/>
      <c r="BK116" s="63"/>
      <c r="BN116" s="56"/>
      <c r="BO116" s="56"/>
      <c r="BP116" s="56"/>
      <c r="BQ116" s="56"/>
      <c r="BR116" s="56"/>
    </row>
    <row r="117" spans="15:72" ht="39.950000000000003" customHeight="1">
      <c r="O117" s="63"/>
      <c r="R117" s="56"/>
      <c r="S117" s="56"/>
      <c r="V117" s="194"/>
      <c r="W117" s="197"/>
      <c r="Y117" s="200"/>
      <c r="Z117" s="201"/>
      <c r="AA117" s="198"/>
      <c r="AD117" s="56"/>
      <c r="AE117" s="56"/>
      <c r="AF117" s="56"/>
      <c r="AG117" s="56"/>
      <c r="AH117" s="56"/>
      <c r="AM117" s="63"/>
      <c r="AP117" s="56"/>
      <c r="AQ117" s="56"/>
      <c r="AR117" s="56"/>
      <c r="AS117" s="56"/>
      <c r="AT117" s="56"/>
      <c r="AY117" s="63"/>
      <c r="BB117" s="56"/>
      <c r="BC117" s="56"/>
      <c r="BD117" s="56"/>
      <c r="BE117" s="56"/>
      <c r="BF117" s="56"/>
      <c r="BK117" s="63"/>
      <c r="BN117" s="56"/>
      <c r="BO117" s="56"/>
      <c r="BP117" s="56"/>
      <c r="BQ117" s="56"/>
      <c r="BR117" s="56"/>
    </row>
    <row r="118" spans="15:72" ht="39.950000000000003" customHeight="1">
      <c r="W118" s="197"/>
      <c r="Y118" s="200"/>
      <c r="Z118" s="201"/>
    </row>
    <row r="119" spans="15:72" ht="39.950000000000003" customHeight="1">
      <c r="O119" s="63"/>
      <c r="P119" s="64"/>
      <c r="W119" s="197"/>
      <c r="X119" s="197"/>
      <c r="Y119" s="200"/>
      <c r="Z119" s="201"/>
      <c r="AA119" s="198"/>
      <c r="AB119" s="64"/>
      <c r="AH119" s="531"/>
      <c r="AI119" s="531"/>
      <c r="AJ119" s="531"/>
      <c r="AM119" s="63"/>
      <c r="AN119" s="64"/>
      <c r="AT119" s="531"/>
      <c r="AU119" s="531"/>
      <c r="AV119" s="531"/>
      <c r="AY119" s="63"/>
      <c r="AZ119" s="64"/>
      <c r="BF119" s="531"/>
      <c r="BG119" s="531"/>
      <c r="BH119" s="531"/>
      <c r="BK119" s="63"/>
      <c r="BL119" s="64"/>
      <c r="BR119" s="531"/>
      <c r="BS119" s="531"/>
      <c r="BT119" s="531"/>
    </row>
    <row r="120" spans="15:72" ht="39.950000000000003" customHeight="1">
      <c r="O120" s="63"/>
      <c r="R120" s="56"/>
      <c r="S120" s="56"/>
      <c r="V120" s="194"/>
      <c r="W120" s="197"/>
      <c r="Y120" s="200"/>
      <c r="Z120" s="201"/>
      <c r="AA120" s="198"/>
      <c r="AD120" s="56"/>
      <c r="AE120" s="56"/>
      <c r="AF120" s="56"/>
      <c r="AG120" s="56"/>
      <c r="AH120" s="56"/>
      <c r="AM120" s="63"/>
      <c r="AP120" s="56"/>
      <c r="AQ120" s="56"/>
      <c r="AR120" s="56"/>
      <c r="AS120" s="56"/>
      <c r="AT120" s="56"/>
      <c r="AY120" s="63"/>
      <c r="BB120" s="56"/>
      <c r="BC120" s="56"/>
      <c r="BD120" s="56"/>
      <c r="BE120" s="56"/>
      <c r="BF120" s="56"/>
      <c r="BK120" s="63"/>
      <c r="BN120" s="56"/>
      <c r="BO120" s="56"/>
      <c r="BP120" s="56"/>
      <c r="BQ120" s="56"/>
      <c r="BR120" s="56"/>
    </row>
    <row r="121" spans="15:72" ht="39.950000000000003" customHeight="1">
      <c r="O121" s="63"/>
      <c r="R121" s="56"/>
      <c r="S121" s="56"/>
      <c r="V121" s="194"/>
      <c r="W121" s="197"/>
      <c r="Y121" s="200"/>
      <c r="Z121" s="201"/>
      <c r="AA121" s="198"/>
      <c r="AD121" s="56"/>
      <c r="AE121" s="56"/>
      <c r="AF121" s="56"/>
      <c r="AG121" s="56"/>
      <c r="AH121" s="56"/>
      <c r="AM121" s="63"/>
      <c r="AP121" s="56"/>
      <c r="AQ121" s="56"/>
      <c r="AR121" s="56"/>
      <c r="AS121" s="56"/>
      <c r="AT121" s="56"/>
      <c r="AY121" s="63"/>
      <c r="BB121" s="56"/>
      <c r="BC121" s="56"/>
      <c r="BD121" s="56"/>
      <c r="BE121" s="56"/>
      <c r="BF121" s="56"/>
      <c r="BK121" s="63"/>
      <c r="BN121" s="56"/>
      <c r="BO121" s="56"/>
      <c r="BP121" s="56"/>
      <c r="BQ121" s="56"/>
      <c r="BR121" s="56"/>
    </row>
    <row r="122" spans="15:72" ht="39.950000000000003" customHeight="1">
      <c r="O122" s="63"/>
      <c r="R122" s="56"/>
      <c r="S122" s="56"/>
      <c r="V122" s="194"/>
      <c r="W122" s="197"/>
      <c r="Y122" s="200"/>
      <c r="Z122" s="201"/>
      <c r="AA122" s="198"/>
      <c r="AD122" s="56"/>
      <c r="AE122" s="56"/>
      <c r="AF122" s="56"/>
      <c r="AG122" s="56"/>
      <c r="AH122" s="56"/>
      <c r="AM122" s="63"/>
      <c r="AP122" s="56"/>
      <c r="AQ122" s="56"/>
      <c r="AR122" s="56"/>
      <c r="AS122" s="56"/>
      <c r="AT122" s="56"/>
      <c r="AY122" s="63"/>
      <c r="BB122" s="56"/>
      <c r="BC122" s="56"/>
      <c r="BD122" s="56"/>
      <c r="BE122" s="56"/>
      <c r="BF122" s="56"/>
      <c r="BK122" s="63"/>
      <c r="BN122" s="56"/>
      <c r="BO122" s="56"/>
      <c r="BP122" s="56"/>
      <c r="BQ122" s="56"/>
      <c r="BR122" s="56"/>
    </row>
    <row r="123" spans="15:72" ht="39.950000000000003" customHeight="1">
      <c r="O123" s="63"/>
      <c r="R123" s="56"/>
      <c r="S123" s="56"/>
      <c r="V123" s="194"/>
      <c r="W123" s="197"/>
      <c r="Y123" s="200"/>
      <c r="Z123" s="201"/>
      <c r="AA123" s="198"/>
      <c r="AD123" s="56"/>
      <c r="AE123" s="56"/>
      <c r="AF123" s="56"/>
      <c r="AG123" s="56"/>
      <c r="AH123" s="56"/>
      <c r="AM123" s="63"/>
      <c r="AP123" s="56"/>
      <c r="AQ123" s="56"/>
      <c r="AR123" s="56"/>
      <c r="AS123" s="56"/>
      <c r="AT123" s="56"/>
      <c r="AY123" s="63"/>
      <c r="BB123" s="56"/>
      <c r="BC123" s="56"/>
      <c r="BD123" s="56"/>
      <c r="BE123" s="56"/>
      <c r="BF123" s="56"/>
      <c r="BK123" s="63"/>
      <c r="BN123" s="56"/>
      <c r="BO123" s="56"/>
      <c r="BP123" s="56"/>
      <c r="BQ123" s="56"/>
      <c r="BR123" s="56"/>
    </row>
    <row r="124" spans="15:72" ht="39.950000000000003" customHeight="1">
      <c r="W124" s="197"/>
      <c r="Y124" s="200"/>
      <c r="Z124" s="201"/>
    </row>
    <row r="125" spans="15:72" ht="39.950000000000003" customHeight="1">
      <c r="O125" s="63"/>
      <c r="P125" s="64"/>
      <c r="W125" s="197"/>
      <c r="X125" s="197"/>
      <c r="Y125" s="200"/>
      <c r="Z125" s="201"/>
      <c r="AA125" s="198"/>
      <c r="AB125" s="64"/>
      <c r="AH125" s="531"/>
      <c r="AI125" s="531"/>
      <c r="AJ125" s="531"/>
      <c r="AM125" s="63"/>
      <c r="AN125" s="64"/>
      <c r="AT125" s="531"/>
      <c r="AU125" s="531"/>
      <c r="AV125" s="531"/>
      <c r="AY125" s="63"/>
      <c r="AZ125" s="64"/>
      <c r="BF125" s="531"/>
      <c r="BG125" s="531"/>
      <c r="BH125" s="531"/>
      <c r="BK125" s="63"/>
      <c r="BL125" s="64"/>
      <c r="BR125" s="531"/>
      <c r="BS125" s="531"/>
      <c r="BT125" s="531"/>
    </row>
    <row r="126" spans="15:72" ht="39.950000000000003" customHeight="1">
      <c r="O126" s="63"/>
      <c r="R126" s="56"/>
      <c r="S126" s="56"/>
      <c r="V126" s="194"/>
      <c r="W126" s="197"/>
      <c r="Y126" s="200"/>
      <c r="Z126" s="201"/>
      <c r="AA126" s="198"/>
      <c r="AD126" s="56"/>
      <c r="AE126" s="56"/>
      <c r="AF126" s="56"/>
      <c r="AG126" s="56"/>
      <c r="AH126" s="56"/>
      <c r="AM126" s="63"/>
      <c r="AP126" s="56"/>
      <c r="AQ126" s="56"/>
      <c r="AR126" s="56"/>
      <c r="AS126" s="56"/>
      <c r="AT126" s="56"/>
      <c r="AY126" s="63"/>
      <c r="BB126" s="56"/>
      <c r="BC126" s="56"/>
      <c r="BD126" s="56"/>
      <c r="BE126" s="56"/>
      <c r="BF126" s="56"/>
      <c r="BK126" s="63"/>
      <c r="BN126" s="56"/>
      <c r="BO126" s="56"/>
      <c r="BP126" s="56"/>
      <c r="BQ126" s="56"/>
      <c r="BR126" s="56"/>
    </row>
    <row r="127" spans="15:72" ht="39.950000000000003" customHeight="1">
      <c r="O127" s="63"/>
      <c r="R127" s="56"/>
      <c r="S127" s="56"/>
      <c r="V127" s="194"/>
      <c r="W127" s="197"/>
      <c r="Y127" s="200"/>
      <c r="Z127" s="201"/>
      <c r="AA127" s="198"/>
      <c r="AD127" s="56"/>
      <c r="AE127" s="56"/>
      <c r="AF127" s="56"/>
      <c r="AG127" s="56"/>
      <c r="AH127" s="56"/>
      <c r="AM127" s="63"/>
      <c r="AP127" s="56"/>
      <c r="AQ127" s="56"/>
      <c r="AR127" s="56"/>
      <c r="AS127" s="56"/>
      <c r="AT127" s="56"/>
      <c r="AY127" s="63"/>
      <c r="BB127" s="56"/>
      <c r="BC127" s="56"/>
      <c r="BD127" s="56"/>
      <c r="BE127" s="56"/>
      <c r="BF127" s="56"/>
      <c r="BK127" s="63"/>
      <c r="BN127" s="56"/>
      <c r="BO127" s="56"/>
      <c r="BP127" s="56"/>
      <c r="BQ127" s="56"/>
      <c r="BR127" s="56"/>
    </row>
    <row r="128" spans="15:72" ht="39.950000000000003" customHeight="1">
      <c r="O128" s="63"/>
      <c r="R128" s="56"/>
      <c r="S128" s="56"/>
      <c r="V128" s="194"/>
      <c r="W128" s="197"/>
      <c r="Y128" s="200"/>
      <c r="Z128" s="201"/>
      <c r="AA128" s="198"/>
      <c r="AD128" s="56"/>
      <c r="AE128" s="56"/>
      <c r="AF128" s="56"/>
      <c r="AG128" s="56"/>
      <c r="AH128" s="56"/>
      <c r="AM128" s="63"/>
      <c r="AP128" s="56"/>
      <c r="AQ128" s="56"/>
      <c r="AR128" s="56"/>
      <c r="AS128" s="56"/>
      <c r="AT128" s="56"/>
      <c r="AY128" s="63"/>
      <c r="BB128" s="56"/>
      <c r="BC128" s="56"/>
      <c r="BD128" s="56"/>
      <c r="BE128" s="56"/>
      <c r="BF128" s="56"/>
      <c r="BK128" s="63"/>
      <c r="BN128" s="56"/>
      <c r="BO128" s="56"/>
      <c r="BP128" s="56"/>
      <c r="BQ128" s="56"/>
      <c r="BR128" s="56"/>
    </row>
    <row r="129" spans="15:72" ht="39.950000000000003" customHeight="1">
      <c r="O129" s="63"/>
      <c r="R129" s="56"/>
      <c r="S129" s="56"/>
      <c r="V129" s="194"/>
      <c r="W129" s="197"/>
      <c r="Y129" s="200"/>
      <c r="Z129" s="201"/>
      <c r="AA129" s="198"/>
      <c r="AD129" s="56"/>
      <c r="AE129" s="56"/>
      <c r="AF129" s="56"/>
      <c r="AG129" s="56"/>
      <c r="AH129" s="56"/>
      <c r="AM129" s="63"/>
      <c r="AP129" s="56"/>
      <c r="AQ129" s="56"/>
      <c r="AR129" s="56"/>
      <c r="AS129" s="56"/>
      <c r="AT129" s="56"/>
      <c r="AY129" s="63"/>
      <c r="BB129" s="56"/>
      <c r="BC129" s="56"/>
      <c r="BD129" s="56"/>
      <c r="BE129" s="56"/>
      <c r="BF129" s="56"/>
      <c r="BK129" s="63"/>
      <c r="BN129" s="56"/>
      <c r="BO129" s="56"/>
      <c r="BP129" s="56"/>
      <c r="BQ129" s="56"/>
      <c r="BR129" s="56"/>
    </row>
    <row r="130" spans="15:72" ht="39.950000000000003" customHeight="1">
      <c r="W130" s="197"/>
      <c r="Y130" s="200"/>
      <c r="Z130" s="201"/>
    </row>
    <row r="131" spans="15:72" ht="39.950000000000003" customHeight="1">
      <c r="O131" s="63"/>
      <c r="P131" s="64"/>
      <c r="W131" s="197"/>
      <c r="X131" s="197"/>
      <c r="Y131" s="200"/>
      <c r="Z131" s="201"/>
      <c r="AA131" s="198"/>
      <c r="AB131" s="64"/>
      <c r="AH131" s="531"/>
      <c r="AI131" s="531"/>
      <c r="AJ131" s="531"/>
      <c r="AM131" s="63"/>
      <c r="AN131" s="64"/>
      <c r="AT131" s="531"/>
      <c r="AU131" s="531"/>
      <c r="AV131" s="531"/>
      <c r="AY131" s="63"/>
      <c r="AZ131" s="64"/>
      <c r="BF131" s="531"/>
      <c r="BG131" s="531"/>
      <c r="BH131" s="531"/>
      <c r="BK131" s="63"/>
      <c r="BL131" s="64"/>
      <c r="BR131" s="531"/>
      <c r="BS131" s="531"/>
      <c r="BT131" s="531"/>
    </row>
    <row r="132" spans="15:72" ht="39.950000000000003" customHeight="1">
      <c r="O132" s="63"/>
      <c r="R132" s="56"/>
      <c r="S132" s="56"/>
      <c r="V132" s="194"/>
      <c r="W132" s="197"/>
      <c r="Y132" s="200"/>
      <c r="Z132" s="201"/>
      <c r="AA132" s="198"/>
      <c r="AD132" s="56"/>
      <c r="AE132" s="56"/>
      <c r="AF132" s="56"/>
      <c r="AG132" s="56"/>
      <c r="AH132" s="56"/>
      <c r="AM132" s="63"/>
      <c r="AP132" s="56"/>
      <c r="AQ132" s="56"/>
      <c r="AR132" s="56"/>
      <c r="AS132" s="56"/>
      <c r="AT132" s="56"/>
      <c r="AY132" s="63"/>
      <c r="BB132" s="56"/>
      <c r="BC132" s="56"/>
      <c r="BD132" s="56"/>
      <c r="BE132" s="56"/>
      <c r="BF132" s="56"/>
      <c r="BK132" s="63"/>
      <c r="BN132" s="56"/>
      <c r="BO132" s="56"/>
      <c r="BP132" s="56"/>
      <c r="BQ132" s="56"/>
      <c r="BR132" s="56"/>
    </row>
    <row r="133" spans="15:72" ht="39.950000000000003" customHeight="1">
      <c r="O133" s="63"/>
      <c r="R133" s="56"/>
      <c r="S133" s="56"/>
      <c r="V133" s="194"/>
      <c r="W133" s="197"/>
      <c r="Y133" s="200"/>
      <c r="Z133" s="201"/>
      <c r="AA133" s="198"/>
      <c r="AD133" s="56"/>
      <c r="AE133" s="56"/>
      <c r="AF133" s="56"/>
      <c r="AG133" s="56"/>
      <c r="AH133" s="56"/>
      <c r="AM133" s="63"/>
      <c r="AP133" s="56"/>
      <c r="AQ133" s="56"/>
      <c r="AR133" s="56"/>
      <c r="AS133" s="56"/>
      <c r="AT133" s="56"/>
      <c r="AY133" s="63"/>
      <c r="BB133" s="56"/>
      <c r="BC133" s="56"/>
      <c r="BD133" s="56"/>
      <c r="BE133" s="56"/>
      <c r="BF133" s="56"/>
      <c r="BK133" s="63"/>
      <c r="BN133" s="56"/>
      <c r="BO133" s="56"/>
      <c r="BP133" s="56"/>
      <c r="BQ133" s="56"/>
      <c r="BR133" s="56"/>
    </row>
    <row r="134" spans="15:72" ht="39.950000000000003" customHeight="1">
      <c r="O134" s="63"/>
      <c r="R134" s="56"/>
      <c r="S134" s="56"/>
      <c r="V134" s="194"/>
      <c r="W134" s="197"/>
      <c r="Y134" s="200"/>
      <c r="Z134" s="201"/>
      <c r="AA134" s="198"/>
      <c r="AD134" s="56"/>
      <c r="AE134" s="56"/>
      <c r="AF134" s="56"/>
      <c r="AG134" s="56"/>
      <c r="AH134" s="56"/>
      <c r="AM134" s="63"/>
      <c r="AP134" s="56"/>
      <c r="AQ134" s="56"/>
      <c r="AR134" s="56"/>
      <c r="AS134" s="56"/>
      <c r="AT134" s="56"/>
      <c r="AY134" s="63"/>
      <c r="BB134" s="56"/>
      <c r="BC134" s="56"/>
      <c r="BD134" s="56"/>
      <c r="BE134" s="56"/>
      <c r="BF134" s="56"/>
      <c r="BK134" s="63"/>
      <c r="BN134" s="56"/>
      <c r="BO134" s="56"/>
      <c r="BP134" s="56"/>
      <c r="BQ134" s="56"/>
      <c r="BR134" s="56"/>
    </row>
    <row r="135" spans="15:72" ht="39.950000000000003" customHeight="1">
      <c r="O135" s="63"/>
      <c r="R135" s="56"/>
      <c r="S135" s="56"/>
      <c r="V135" s="194"/>
      <c r="W135" s="197"/>
      <c r="Y135" s="200"/>
      <c r="Z135" s="201"/>
      <c r="AA135" s="198"/>
      <c r="AD135" s="56"/>
      <c r="AE135" s="56"/>
      <c r="AF135" s="56"/>
      <c r="AG135" s="56"/>
      <c r="AH135" s="56"/>
      <c r="AM135" s="63"/>
      <c r="AP135" s="56"/>
      <c r="AQ135" s="56"/>
      <c r="AR135" s="56"/>
      <c r="AS135" s="56"/>
      <c r="AT135" s="56"/>
      <c r="AY135" s="63"/>
      <c r="BB135" s="56"/>
      <c r="BC135" s="56"/>
      <c r="BD135" s="56"/>
      <c r="BE135" s="56"/>
      <c r="BF135" s="56"/>
      <c r="BK135" s="63"/>
      <c r="BN135" s="56"/>
      <c r="BO135" s="56"/>
      <c r="BP135" s="56"/>
      <c r="BQ135" s="56"/>
      <c r="BR135" s="56"/>
    </row>
    <row r="136" spans="15:72" ht="39.950000000000003" customHeight="1">
      <c r="W136" s="197"/>
      <c r="Y136" s="200"/>
      <c r="Z136" s="201"/>
    </row>
    <row r="137" spans="15:72" ht="39.950000000000003" customHeight="1">
      <c r="O137" s="63"/>
      <c r="P137" s="64"/>
      <c r="W137" s="197"/>
      <c r="X137" s="197"/>
      <c r="Y137" s="200"/>
      <c r="Z137" s="201"/>
      <c r="AA137" s="198"/>
      <c r="AB137" s="64"/>
      <c r="AH137" s="531"/>
      <c r="AI137" s="531"/>
      <c r="AJ137" s="531"/>
      <c r="AM137" s="63"/>
      <c r="AN137" s="64"/>
      <c r="AT137" s="531"/>
      <c r="AU137" s="531"/>
      <c r="AV137" s="531"/>
      <c r="AY137" s="63"/>
      <c r="AZ137" s="64"/>
      <c r="BF137" s="531"/>
      <c r="BG137" s="531"/>
      <c r="BH137" s="531"/>
      <c r="BK137" s="63"/>
      <c r="BL137" s="64"/>
      <c r="BR137" s="531"/>
      <c r="BS137" s="531"/>
      <c r="BT137" s="531"/>
    </row>
    <row r="138" spans="15:72" ht="39.950000000000003" customHeight="1">
      <c r="O138" s="63"/>
      <c r="R138" s="56"/>
      <c r="S138" s="56"/>
      <c r="V138" s="194"/>
      <c r="W138" s="197"/>
      <c r="Y138" s="200"/>
      <c r="Z138" s="201"/>
      <c r="AA138" s="198"/>
      <c r="AD138" s="56"/>
      <c r="AE138" s="56"/>
      <c r="AF138" s="56"/>
      <c r="AG138" s="56"/>
      <c r="AH138" s="56"/>
      <c r="AM138" s="63"/>
      <c r="AP138" s="56"/>
      <c r="AQ138" s="56"/>
      <c r="AR138" s="56"/>
      <c r="AS138" s="56"/>
      <c r="AT138" s="56"/>
      <c r="AY138" s="63"/>
      <c r="BB138" s="56"/>
      <c r="BC138" s="56"/>
      <c r="BD138" s="56"/>
      <c r="BE138" s="56"/>
      <c r="BF138" s="56"/>
      <c r="BK138" s="63"/>
      <c r="BN138" s="56"/>
      <c r="BO138" s="56"/>
      <c r="BP138" s="56"/>
      <c r="BQ138" s="56"/>
      <c r="BR138" s="56"/>
    </row>
    <row r="139" spans="15:72" ht="39.950000000000003" customHeight="1">
      <c r="O139" s="63"/>
      <c r="R139" s="56"/>
      <c r="S139" s="56"/>
      <c r="V139" s="194"/>
      <c r="W139" s="197"/>
      <c r="Y139" s="200"/>
      <c r="Z139" s="201"/>
      <c r="AA139" s="198"/>
      <c r="AD139" s="56"/>
      <c r="AE139" s="56"/>
      <c r="AF139" s="56"/>
      <c r="AG139" s="56"/>
      <c r="AH139" s="56"/>
      <c r="AM139" s="63"/>
      <c r="AP139" s="56"/>
      <c r="AQ139" s="56"/>
      <c r="AR139" s="56"/>
      <c r="AS139" s="56"/>
      <c r="AT139" s="56"/>
      <c r="AY139" s="63"/>
      <c r="BB139" s="56"/>
      <c r="BC139" s="56"/>
      <c r="BD139" s="56"/>
      <c r="BE139" s="56"/>
      <c r="BF139" s="56"/>
      <c r="BK139" s="63"/>
      <c r="BN139" s="56"/>
      <c r="BO139" s="56"/>
      <c r="BP139" s="56"/>
      <c r="BQ139" s="56"/>
      <c r="BR139" s="56"/>
    </row>
    <row r="140" spans="15:72" ht="39.950000000000003" customHeight="1">
      <c r="O140" s="63"/>
      <c r="R140" s="56"/>
      <c r="S140" s="56"/>
      <c r="V140" s="194"/>
      <c r="W140" s="197"/>
      <c r="Y140" s="200"/>
      <c r="Z140" s="201"/>
      <c r="AA140" s="198"/>
      <c r="AD140" s="56"/>
      <c r="AE140" s="56"/>
      <c r="AF140" s="56"/>
      <c r="AG140" s="56"/>
      <c r="AH140" s="56"/>
      <c r="AM140" s="63"/>
      <c r="AP140" s="56"/>
      <c r="AQ140" s="56"/>
      <c r="AR140" s="56"/>
      <c r="AS140" s="56"/>
      <c r="AT140" s="56"/>
      <c r="AY140" s="63"/>
      <c r="BB140" s="56"/>
      <c r="BC140" s="56"/>
      <c r="BD140" s="56"/>
      <c r="BE140" s="56"/>
      <c r="BF140" s="56"/>
      <c r="BK140" s="63"/>
      <c r="BN140" s="56"/>
      <c r="BO140" s="56"/>
      <c r="BP140" s="56"/>
      <c r="BQ140" s="56"/>
      <c r="BR140" s="56"/>
    </row>
    <row r="141" spans="15:72" ht="39.950000000000003" customHeight="1">
      <c r="O141" s="63"/>
      <c r="R141" s="56"/>
      <c r="S141" s="56"/>
      <c r="V141" s="194"/>
      <c r="W141" s="197"/>
      <c r="Y141" s="200"/>
      <c r="Z141" s="201"/>
      <c r="AA141" s="198"/>
      <c r="AD141" s="56"/>
      <c r="AE141" s="56"/>
      <c r="AF141" s="56"/>
      <c r="AG141" s="56"/>
      <c r="AH141" s="56"/>
      <c r="AM141" s="63"/>
      <c r="AP141" s="56"/>
      <c r="AQ141" s="56"/>
      <c r="AR141" s="56"/>
      <c r="AS141" s="56"/>
      <c r="AT141" s="56"/>
      <c r="AY141" s="63"/>
      <c r="BB141" s="56"/>
      <c r="BC141" s="56"/>
      <c r="BD141" s="56"/>
      <c r="BE141" s="56"/>
      <c r="BF141" s="56"/>
      <c r="BK141" s="63"/>
      <c r="BN141" s="56"/>
      <c r="BO141" s="56"/>
      <c r="BP141" s="56"/>
      <c r="BQ141" s="56"/>
      <c r="BR141" s="56"/>
    </row>
    <row r="142" spans="15:72" ht="39.950000000000003" customHeight="1">
      <c r="W142" s="197"/>
      <c r="Y142" s="200"/>
      <c r="Z142" s="201"/>
    </row>
    <row r="143" spans="15:72" ht="39.950000000000003" customHeight="1">
      <c r="O143" s="63"/>
      <c r="P143" s="64"/>
      <c r="W143" s="197"/>
      <c r="X143" s="197"/>
      <c r="Y143" s="200"/>
      <c r="Z143" s="201"/>
      <c r="AA143" s="198"/>
      <c r="AB143" s="64"/>
      <c r="AH143" s="531"/>
      <c r="AI143" s="531"/>
      <c r="AJ143" s="531"/>
      <c r="AM143" s="63"/>
      <c r="AN143" s="64"/>
      <c r="AT143" s="531"/>
      <c r="AU143" s="531"/>
      <c r="AV143" s="531"/>
      <c r="AY143" s="63"/>
      <c r="AZ143" s="64"/>
      <c r="BF143" s="531"/>
      <c r="BG143" s="531"/>
      <c r="BH143" s="531"/>
      <c r="BK143" s="63"/>
      <c r="BL143" s="64"/>
      <c r="BR143" s="531"/>
      <c r="BS143" s="531"/>
      <c r="BT143" s="531"/>
    </row>
    <row r="144" spans="15:72" ht="39.950000000000003" customHeight="1">
      <c r="O144" s="63"/>
      <c r="R144" s="56"/>
      <c r="S144" s="56"/>
      <c r="V144" s="194"/>
      <c r="W144" s="197"/>
      <c r="Y144" s="200"/>
      <c r="Z144" s="201"/>
      <c r="AA144" s="198"/>
      <c r="AD144" s="56"/>
      <c r="AE144" s="56"/>
      <c r="AF144" s="56"/>
      <c r="AG144" s="56"/>
      <c r="AH144" s="56"/>
      <c r="AM144" s="63"/>
      <c r="AP144" s="56"/>
      <c r="AQ144" s="56"/>
      <c r="AR144" s="56"/>
      <c r="AS144" s="56"/>
      <c r="AT144" s="56"/>
      <c r="AY144" s="63"/>
      <c r="BB144" s="56"/>
      <c r="BC144" s="56"/>
      <c r="BD144" s="56"/>
      <c r="BE144" s="56"/>
      <c r="BF144" s="56"/>
      <c r="BK144" s="63"/>
      <c r="BN144" s="56"/>
      <c r="BO144" s="56"/>
      <c r="BP144" s="56"/>
      <c r="BQ144" s="56"/>
      <c r="BR144" s="56"/>
    </row>
    <row r="145" spans="15:72" ht="39.950000000000003" customHeight="1">
      <c r="O145" s="63"/>
      <c r="R145" s="56"/>
      <c r="S145" s="56"/>
      <c r="V145" s="194"/>
      <c r="W145" s="197"/>
      <c r="Y145" s="200"/>
      <c r="Z145" s="201"/>
      <c r="AA145" s="198"/>
      <c r="AD145" s="56"/>
      <c r="AE145" s="56"/>
      <c r="AF145" s="56"/>
      <c r="AG145" s="56"/>
      <c r="AH145" s="56"/>
      <c r="AM145" s="63"/>
      <c r="AP145" s="56"/>
      <c r="AQ145" s="56"/>
      <c r="AR145" s="56"/>
      <c r="AS145" s="56"/>
      <c r="AT145" s="56"/>
      <c r="AY145" s="63"/>
      <c r="BB145" s="56"/>
      <c r="BC145" s="56"/>
      <c r="BD145" s="56"/>
      <c r="BE145" s="56"/>
      <c r="BF145" s="56"/>
      <c r="BK145" s="63"/>
      <c r="BN145" s="56"/>
      <c r="BO145" s="56"/>
      <c r="BP145" s="56"/>
      <c r="BQ145" s="56"/>
      <c r="BR145" s="56"/>
    </row>
    <row r="146" spans="15:72" ht="39.950000000000003" customHeight="1">
      <c r="O146" s="63"/>
      <c r="R146" s="56"/>
      <c r="S146" s="56"/>
      <c r="V146" s="194"/>
      <c r="W146" s="197"/>
      <c r="Y146" s="200"/>
      <c r="Z146" s="201"/>
      <c r="AA146" s="198"/>
      <c r="AD146" s="56"/>
      <c r="AE146" s="56"/>
      <c r="AF146" s="56"/>
      <c r="AG146" s="56"/>
      <c r="AH146" s="56"/>
      <c r="AM146" s="63"/>
      <c r="AP146" s="56"/>
      <c r="AQ146" s="56"/>
      <c r="AR146" s="56"/>
      <c r="AS146" s="56"/>
      <c r="AT146" s="56"/>
      <c r="AY146" s="63"/>
      <c r="BB146" s="56"/>
      <c r="BC146" s="56"/>
      <c r="BD146" s="56"/>
      <c r="BE146" s="56"/>
      <c r="BF146" s="56"/>
      <c r="BK146" s="63"/>
      <c r="BN146" s="56"/>
      <c r="BO146" s="56"/>
      <c r="BP146" s="56"/>
      <c r="BQ146" s="56"/>
      <c r="BR146" s="56"/>
    </row>
    <row r="147" spans="15:72" ht="39.950000000000003" customHeight="1">
      <c r="O147" s="63"/>
      <c r="R147" s="56"/>
      <c r="S147" s="56"/>
      <c r="V147" s="194"/>
      <c r="W147" s="197"/>
      <c r="Y147" s="200"/>
      <c r="Z147" s="201"/>
      <c r="AA147" s="198"/>
      <c r="AD147" s="56"/>
      <c r="AE147" s="56"/>
      <c r="AF147" s="56"/>
      <c r="AG147" s="56"/>
      <c r="AH147" s="56"/>
      <c r="AM147" s="63"/>
      <c r="AP147" s="56"/>
      <c r="AQ147" s="56"/>
      <c r="AR147" s="56"/>
      <c r="AS147" s="56"/>
      <c r="AT147" s="56"/>
      <c r="AY147" s="63"/>
      <c r="BB147" s="56"/>
      <c r="BC147" s="56"/>
      <c r="BD147" s="56"/>
      <c r="BE147" s="56"/>
      <c r="BF147" s="56"/>
      <c r="BK147" s="63"/>
      <c r="BN147" s="56"/>
      <c r="BO147" s="56"/>
      <c r="BP147" s="56"/>
      <c r="BQ147" s="56"/>
      <c r="BR147" s="56"/>
    </row>
    <row r="148" spans="15:72" ht="39.950000000000003" customHeight="1">
      <c r="W148" s="197"/>
      <c r="Y148" s="200"/>
      <c r="Z148" s="201"/>
    </row>
    <row r="149" spans="15:72" ht="39.950000000000003" customHeight="1">
      <c r="O149" s="63"/>
      <c r="P149" s="64"/>
      <c r="W149" s="197"/>
      <c r="X149" s="197"/>
      <c r="Y149" s="200"/>
      <c r="Z149" s="201"/>
      <c r="AA149" s="198"/>
      <c r="AB149" s="64"/>
      <c r="AH149" s="531"/>
      <c r="AI149" s="531"/>
      <c r="AJ149" s="531"/>
      <c r="AM149" s="63"/>
      <c r="AN149" s="64"/>
      <c r="AT149" s="531"/>
      <c r="AU149" s="531"/>
      <c r="AV149" s="531"/>
      <c r="AY149" s="63"/>
      <c r="AZ149" s="64"/>
      <c r="BF149" s="531"/>
      <c r="BG149" s="531"/>
      <c r="BH149" s="531"/>
      <c r="BK149" s="63"/>
      <c r="BL149" s="64"/>
      <c r="BR149" s="531"/>
      <c r="BS149" s="531"/>
      <c r="BT149" s="531"/>
    </row>
    <row r="150" spans="15:72" ht="39.950000000000003" customHeight="1">
      <c r="O150" s="63"/>
      <c r="R150" s="56"/>
      <c r="S150" s="56"/>
      <c r="V150" s="194"/>
      <c r="W150" s="197"/>
      <c r="Y150" s="200"/>
      <c r="Z150" s="201"/>
      <c r="AA150" s="198"/>
      <c r="AD150" s="56"/>
      <c r="AE150" s="56"/>
      <c r="AF150" s="56"/>
      <c r="AG150" s="56"/>
      <c r="AH150" s="56"/>
      <c r="AM150" s="63"/>
      <c r="AP150" s="56"/>
      <c r="AQ150" s="56"/>
      <c r="AR150" s="56"/>
      <c r="AS150" s="56"/>
      <c r="AT150" s="56"/>
      <c r="AY150" s="63"/>
      <c r="BB150" s="56"/>
      <c r="BC150" s="56"/>
      <c r="BD150" s="56"/>
      <c r="BE150" s="56"/>
      <c r="BF150" s="56"/>
      <c r="BK150" s="63"/>
      <c r="BN150" s="56"/>
      <c r="BO150" s="56"/>
      <c r="BP150" s="56"/>
      <c r="BQ150" s="56"/>
      <c r="BR150" s="56"/>
    </row>
    <row r="151" spans="15:72" ht="39.950000000000003" customHeight="1">
      <c r="O151" s="63"/>
      <c r="R151" s="56"/>
      <c r="S151" s="56"/>
      <c r="V151" s="194"/>
      <c r="W151" s="197"/>
      <c r="Y151" s="200"/>
      <c r="Z151" s="201"/>
      <c r="AA151" s="198"/>
      <c r="AD151" s="56"/>
      <c r="AE151" s="56"/>
      <c r="AF151" s="56"/>
      <c r="AG151" s="56"/>
      <c r="AH151" s="56"/>
      <c r="AM151" s="63"/>
      <c r="AP151" s="56"/>
      <c r="AQ151" s="56"/>
      <c r="AR151" s="56"/>
      <c r="AS151" s="56"/>
      <c r="AT151" s="56"/>
      <c r="AY151" s="63"/>
      <c r="BB151" s="56"/>
      <c r="BC151" s="56"/>
      <c r="BD151" s="56"/>
      <c r="BE151" s="56"/>
      <c r="BF151" s="56"/>
      <c r="BK151" s="63"/>
      <c r="BN151" s="56"/>
      <c r="BO151" s="56"/>
      <c r="BP151" s="56"/>
      <c r="BQ151" s="56"/>
      <c r="BR151" s="56"/>
    </row>
    <row r="152" spans="15:72" ht="39.950000000000003" customHeight="1">
      <c r="O152" s="63"/>
      <c r="R152" s="56"/>
      <c r="S152" s="56"/>
      <c r="V152" s="194"/>
      <c r="W152" s="197"/>
      <c r="Y152" s="200"/>
      <c r="Z152" s="201"/>
      <c r="AA152" s="198"/>
      <c r="AD152" s="56"/>
      <c r="AE152" s="56"/>
      <c r="AF152" s="56"/>
      <c r="AG152" s="56"/>
      <c r="AH152" s="56"/>
      <c r="AM152" s="63"/>
      <c r="AP152" s="56"/>
      <c r="AQ152" s="56"/>
      <c r="AR152" s="56"/>
      <c r="AS152" s="56"/>
      <c r="AT152" s="56"/>
      <c r="AY152" s="63"/>
      <c r="BB152" s="56"/>
      <c r="BC152" s="56"/>
      <c r="BD152" s="56"/>
      <c r="BE152" s="56"/>
      <c r="BF152" s="56"/>
      <c r="BK152" s="63"/>
      <c r="BN152" s="56"/>
      <c r="BO152" s="56"/>
      <c r="BP152" s="56"/>
      <c r="BQ152" s="56"/>
      <c r="BR152" s="56"/>
    </row>
    <row r="153" spans="15:72" ht="39.950000000000003" customHeight="1">
      <c r="O153" s="63"/>
      <c r="R153" s="56"/>
      <c r="S153" s="56"/>
      <c r="V153" s="194"/>
      <c r="W153" s="197"/>
      <c r="Y153" s="200"/>
      <c r="Z153" s="201"/>
      <c r="AA153" s="198"/>
      <c r="AD153" s="56"/>
      <c r="AE153" s="56"/>
      <c r="AF153" s="56"/>
      <c r="AG153" s="56"/>
      <c r="AH153" s="56"/>
      <c r="AM153" s="63"/>
      <c r="AP153" s="56"/>
      <c r="AQ153" s="56"/>
      <c r="AR153" s="56"/>
      <c r="AS153" s="56"/>
      <c r="AT153" s="56"/>
      <c r="AY153" s="63"/>
      <c r="BB153" s="56"/>
      <c r="BC153" s="56"/>
      <c r="BD153" s="56"/>
      <c r="BE153" s="56"/>
      <c r="BF153" s="56"/>
      <c r="BK153" s="63"/>
      <c r="BN153" s="56"/>
      <c r="BO153" s="56"/>
      <c r="BP153" s="56"/>
      <c r="BQ153" s="56"/>
      <c r="BR153" s="56"/>
    </row>
    <row r="154" spans="15:72" ht="39.950000000000003" customHeight="1">
      <c r="W154" s="197"/>
      <c r="Y154" s="200"/>
      <c r="Z154" s="201"/>
    </row>
    <row r="155" spans="15:72" ht="39.950000000000003" customHeight="1">
      <c r="O155" s="63"/>
      <c r="P155" s="64"/>
      <c r="W155" s="197"/>
      <c r="X155" s="197"/>
      <c r="Y155" s="200"/>
      <c r="Z155" s="201"/>
      <c r="AA155" s="198"/>
      <c r="AB155" s="64"/>
      <c r="AH155" s="531"/>
      <c r="AI155" s="531"/>
      <c r="AJ155" s="531"/>
      <c r="AM155" s="63"/>
      <c r="AN155" s="64"/>
      <c r="AT155" s="531"/>
      <c r="AU155" s="531"/>
      <c r="AV155" s="531"/>
      <c r="AY155" s="63"/>
      <c r="AZ155" s="64"/>
      <c r="BF155" s="531"/>
      <c r="BG155" s="531"/>
      <c r="BH155" s="531"/>
      <c r="BK155" s="63"/>
      <c r="BL155" s="64"/>
      <c r="BR155" s="531"/>
      <c r="BS155" s="531"/>
      <c r="BT155" s="531"/>
    </row>
    <row r="156" spans="15:72" ht="39.950000000000003" customHeight="1">
      <c r="O156" s="63"/>
      <c r="R156" s="56"/>
      <c r="S156" s="56"/>
      <c r="V156" s="194"/>
      <c r="W156" s="197"/>
      <c r="Y156" s="200"/>
      <c r="Z156" s="201"/>
      <c r="AA156" s="198"/>
      <c r="AD156" s="56"/>
      <c r="AE156" s="56"/>
      <c r="AF156" s="56"/>
      <c r="AG156" s="56"/>
      <c r="AH156" s="56"/>
      <c r="AM156" s="63"/>
      <c r="AP156" s="56"/>
      <c r="AQ156" s="56"/>
      <c r="AR156" s="56"/>
      <c r="AS156" s="56"/>
      <c r="AT156" s="56"/>
      <c r="AY156" s="63"/>
      <c r="BB156" s="56"/>
      <c r="BC156" s="56"/>
      <c r="BD156" s="56"/>
      <c r="BE156" s="56"/>
      <c r="BF156" s="56"/>
      <c r="BK156" s="63"/>
      <c r="BN156" s="56"/>
      <c r="BO156" s="56"/>
      <c r="BP156" s="56"/>
      <c r="BQ156" s="56"/>
      <c r="BR156" s="56"/>
    </row>
    <row r="157" spans="15:72" ht="39.950000000000003" customHeight="1">
      <c r="O157" s="63"/>
      <c r="R157" s="56"/>
      <c r="S157" s="56"/>
      <c r="V157" s="194"/>
      <c r="W157" s="197"/>
      <c r="Y157" s="200"/>
      <c r="Z157" s="201"/>
      <c r="AA157" s="198"/>
      <c r="AD157" s="56"/>
      <c r="AE157" s="56"/>
      <c r="AF157" s="56"/>
      <c r="AG157" s="56"/>
      <c r="AH157" s="56"/>
      <c r="AM157" s="63"/>
      <c r="AP157" s="56"/>
      <c r="AQ157" s="56"/>
      <c r="AR157" s="56"/>
      <c r="AS157" s="56"/>
      <c r="AT157" s="56"/>
      <c r="AY157" s="63"/>
      <c r="BB157" s="56"/>
      <c r="BC157" s="56"/>
      <c r="BD157" s="56"/>
      <c r="BE157" s="56"/>
      <c r="BF157" s="56"/>
      <c r="BK157" s="63"/>
      <c r="BN157" s="56"/>
      <c r="BO157" s="56"/>
      <c r="BP157" s="56"/>
      <c r="BQ157" s="56"/>
      <c r="BR157" s="56"/>
    </row>
    <row r="158" spans="15:72" ht="39.950000000000003" customHeight="1">
      <c r="O158" s="63"/>
      <c r="R158" s="56"/>
      <c r="S158" s="56"/>
      <c r="V158" s="194"/>
      <c r="W158" s="197"/>
      <c r="Y158" s="200"/>
      <c r="Z158" s="201"/>
      <c r="AA158" s="198"/>
      <c r="AD158" s="56"/>
      <c r="AE158" s="56"/>
      <c r="AF158" s="56"/>
      <c r="AG158" s="56"/>
      <c r="AH158" s="56"/>
      <c r="AM158" s="63"/>
      <c r="AP158" s="56"/>
      <c r="AQ158" s="56"/>
      <c r="AR158" s="56"/>
      <c r="AS158" s="56"/>
      <c r="AT158" s="56"/>
      <c r="AY158" s="63"/>
      <c r="BB158" s="56"/>
      <c r="BC158" s="56"/>
      <c r="BD158" s="56"/>
      <c r="BE158" s="56"/>
      <c r="BF158" s="56"/>
      <c r="BK158" s="63"/>
      <c r="BN158" s="56"/>
      <c r="BO158" s="56"/>
      <c r="BP158" s="56"/>
      <c r="BQ158" s="56"/>
      <c r="BR158" s="56"/>
    </row>
    <row r="159" spans="15:72" ht="39.950000000000003" customHeight="1">
      <c r="O159" s="63"/>
      <c r="R159" s="56"/>
      <c r="S159" s="56"/>
      <c r="V159" s="194"/>
      <c r="W159" s="197"/>
      <c r="Y159" s="200"/>
      <c r="Z159" s="201"/>
      <c r="AA159" s="198"/>
      <c r="AD159" s="56"/>
      <c r="AE159" s="56"/>
      <c r="AF159" s="56"/>
      <c r="AG159" s="56"/>
      <c r="AH159" s="56"/>
      <c r="AM159" s="63"/>
      <c r="AP159" s="56"/>
      <c r="AQ159" s="56"/>
      <c r="AR159" s="56"/>
      <c r="AS159" s="56"/>
      <c r="AT159" s="56"/>
      <c r="AY159" s="63"/>
      <c r="BB159" s="56"/>
      <c r="BC159" s="56"/>
      <c r="BD159" s="56"/>
      <c r="BE159" s="56"/>
      <c r="BF159" s="56"/>
      <c r="BK159" s="63"/>
      <c r="BN159" s="56"/>
      <c r="BO159" s="56"/>
      <c r="BP159" s="56"/>
      <c r="BQ159" s="56"/>
      <c r="BR159" s="56"/>
    </row>
    <row r="160" spans="15:72" ht="39.950000000000003" customHeight="1">
      <c r="W160" s="197"/>
      <c r="Y160" s="200"/>
      <c r="Z160" s="201"/>
    </row>
    <row r="161" spans="15:72" ht="39.950000000000003" customHeight="1">
      <c r="O161" s="63"/>
      <c r="P161" s="64"/>
      <c r="W161" s="197"/>
      <c r="X161" s="197"/>
      <c r="Y161" s="200"/>
      <c r="Z161" s="201"/>
      <c r="AA161" s="198"/>
      <c r="AB161" s="64"/>
      <c r="AH161" s="531"/>
      <c r="AI161" s="531"/>
      <c r="AJ161" s="531"/>
      <c r="AM161" s="63"/>
      <c r="AN161" s="64"/>
      <c r="AT161" s="531"/>
      <c r="AU161" s="531"/>
      <c r="AV161" s="531"/>
      <c r="AY161" s="63"/>
      <c r="AZ161" s="64"/>
      <c r="BF161" s="531"/>
      <c r="BG161" s="531"/>
      <c r="BH161" s="531"/>
      <c r="BK161" s="63"/>
      <c r="BL161" s="64"/>
      <c r="BR161" s="531"/>
      <c r="BS161" s="531"/>
      <c r="BT161" s="531"/>
    </row>
    <row r="162" spans="15:72" ht="39.950000000000003" customHeight="1">
      <c r="O162" s="63"/>
      <c r="R162" s="56"/>
      <c r="S162" s="56"/>
      <c r="V162" s="194"/>
      <c r="W162" s="197"/>
      <c r="Y162" s="200"/>
      <c r="Z162" s="201"/>
      <c r="AA162" s="198"/>
      <c r="AD162" s="56"/>
      <c r="AE162" s="56"/>
      <c r="AF162" s="56"/>
      <c r="AG162" s="56"/>
      <c r="AH162" s="56"/>
      <c r="AM162" s="63"/>
      <c r="AP162" s="56"/>
      <c r="AQ162" s="56"/>
      <c r="AR162" s="56"/>
      <c r="AS162" s="56"/>
      <c r="AT162" s="56"/>
      <c r="AY162" s="63"/>
      <c r="BB162" s="56"/>
      <c r="BC162" s="56"/>
      <c r="BD162" s="56"/>
      <c r="BE162" s="56"/>
      <c r="BF162" s="56"/>
      <c r="BK162" s="63"/>
      <c r="BN162" s="56"/>
      <c r="BO162" s="56"/>
      <c r="BP162" s="56"/>
      <c r="BQ162" s="56"/>
      <c r="BR162" s="56"/>
    </row>
    <row r="163" spans="15:72" ht="39.950000000000003" customHeight="1">
      <c r="O163" s="63"/>
      <c r="R163" s="56"/>
      <c r="S163" s="56"/>
      <c r="V163" s="194"/>
      <c r="W163" s="197"/>
      <c r="Y163" s="200"/>
      <c r="Z163" s="201"/>
      <c r="AA163" s="198"/>
      <c r="AD163" s="56"/>
      <c r="AE163" s="56"/>
      <c r="AF163" s="56"/>
      <c r="AG163" s="56"/>
      <c r="AH163" s="56"/>
      <c r="AM163" s="63"/>
      <c r="AP163" s="56"/>
      <c r="AQ163" s="56"/>
      <c r="AR163" s="56"/>
      <c r="AS163" s="56"/>
      <c r="AT163" s="56"/>
      <c r="AY163" s="63"/>
      <c r="BB163" s="56"/>
      <c r="BC163" s="56"/>
      <c r="BD163" s="56"/>
      <c r="BE163" s="56"/>
      <c r="BF163" s="56"/>
      <c r="BK163" s="63"/>
      <c r="BN163" s="56"/>
      <c r="BO163" s="56"/>
      <c r="BP163" s="56"/>
      <c r="BQ163" s="56"/>
      <c r="BR163" s="56"/>
    </row>
    <row r="164" spans="15:72" ht="39.950000000000003" customHeight="1">
      <c r="O164" s="63"/>
      <c r="R164" s="56"/>
      <c r="S164" s="56"/>
      <c r="V164" s="194"/>
      <c r="W164" s="197"/>
      <c r="Y164" s="200"/>
      <c r="Z164" s="201"/>
      <c r="AA164" s="198"/>
      <c r="AD164" s="56"/>
      <c r="AE164" s="56"/>
      <c r="AF164" s="56"/>
      <c r="AG164" s="56"/>
      <c r="AH164" s="56"/>
      <c r="AM164" s="63"/>
      <c r="AP164" s="56"/>
      <c r="AQ164" s="56"/>
      <c r="AR164" s="56"/>
      <c r="AS164" s="56"/>
      <c r="AT164" s="56"/>
      <c r="AY164" s="63"/>
      <c r="BB164" s="56"/>
      <c r="BC164" s="56"/>
      <c r="BD164" s="56"/>
      <c r="BE164" s="56"/>
      <c r="BF164" s="56"/>
      <c r="BK164" s="63"/>
      <c r="BN164" s="56"/>
      <c r="BO164" s="56"/>
      <c r="BP164" s="56"/>
      <c r="BQ164" s="56"/>
      <c r="BR164" s="56"/>
    </row>
    <row r="165" spans="15:72" ht="39.950000000000003" customHeight="1">
      <c r="O165" s="63"/>
      <c r="R165" s="56"/>
      <c r="S165" s="56"/>
      <c r="V165" s="194"/>
      <c r="W165" s="197"/>
      <c r="Y165" s="200"/>
      <c r="Z165" s="201"/>
      <c r="AA165" s="198"/>
      <c r="AD165" s="56"/>
      <c r="AE165" s="56"/>
      <c r="AF165" s="56"/>
      <c r="AG165" s="56"/>
      <c r="AH165" s="56"/>
      <c r="AM165" s="63"/>
      <c r="AP165" s="56"/>
      <c r="AQ165" s="56"/>
      <c r="AR165" s="56"/>
      <c r="AS165" s="56"/>
      <c r="AT165" s="56"/>
      <c r="AY165" s="63"/>
      <c r="BB165" s="56"/>
      <c r="BC165" s="56"/>
      <c r="BD165" s="56"/>
      <c r="BE165" s="56"/>
      <c r="BF165" s="56"/>
      <c r="BK165" s="63"/>
      <c r="BN165" s="56"/>
      <c r="BO165" s="56"/>
      <c r="BP165" s="56"/>
      <c r="BQ165" s="56"/>
      <c r="BR165" s="56"/>
    </row>
    <row r="166" spans="15:72" ht="18" customHeight="1">
      <c r="W166" s="197"/>
      <c r="Y166" s="200"/>
      <c r="Z166" s="201"/>
    </row>
    <row r="167" spans="15:72" ht="18" customHeight="1">
      <c r="O167" s="63"/>
      <c r="P167" s="64"/>
      <c r="W167" s="197"/>
      <c r="X167" s="197"/>
      <c r="Y167" s="200"/>
      <c r="Z167" s="201"/>
      <c r="AA167" s="198"/>
      <c r="AB167" s="64"/>
      <c r="AH167" s="531"/>
      <c r="AI167" s="531"/>
      <c r="AJ167" s="531"/>
      <c r="AM167" s="63"/>
      <c r="AN167" s="64"/>
      <c r="AT167" s="531"/>
      <c r="AU167" s="531"/>
      <c r="AV167" s="531"/>
      <c r="AY167" s="63"/>
      <c r="AZ167" s="64"/>
      <c r="BF167" s="531"/>
      <c r="BG167" s="531"/>
      <c r="BH167" s="531"/>
      <c r="BK167" s="63"/>
      <c r="BL167" s="64"/>
      <c r="BR167" s="531"/>
      <c r="BS167" s="531"/>
      <c r="BT167" s="531"/>
    </row>
    <row r="168" spans="15:72" ht="18" customHeight="1">
      <c r="O168" s="63"/>
      <c r="R168" s="56"/>
      <c r="S168" s="56"/>
      <c r="V168" s="194"/>
      <c r="W168" s="197"/>
      <c r="Y168" s="200"/>
      <c r="Z168" s="201"/>
      <c r="AA168" s="198"/>
      <c r="AD168" s="56"/>
      <c r="AE168" s="56"/>
      <c r="AF168" s="56"/>
      <c r="AG168" s="56"/>
      <c r="AH168" s="56"/>
      <c r="AM168" s="63"/>
      <c r="AP168" s="56"/>
      <c r="AQ168" s="56"/>
      <c r="AR168" s="56"/>
      <c r="AS168" s="56"/>
      <c r="AT168" s="56"/>
      <c r="AY168" s="63"/>
      <c r="BB168" s="56"/>
      <c r="BC168" s="56"/>
      <c r="BD168" s="56"/>
      <c r="BE168" s="56"/>
      <c r="BF168" s="56"/>
      <c r="BK168" s="63"/>
      <c r="BN168" s="56"/>
      <c r="BO168" s="56"/>
      <c r="BP168" s="56"/>
      <c r="BQ168" s="56"/>
      <c r="BR168" s="56"/>
    </row>
    <row r="169" spans="15:72" ht="18" customHeight="1">
      <c r="O169" s="63"/>
      <c r="R169" s="56"/>
      <c r="S169" s="56"/>
      <c r="V169" s="194"/>
      <c r="W169" s="197"/>
      <c r="Y169" s="200"/>
      <c r="Z169" s="201"/>
      <c r="AA169" s="198"/>
      <c r="AD169" s="56"/>
      <c r="AE169" s="56"/>
      <c r="AF169" s="56"/>
      <c r="AG169" s="56"/>
      <c r="AH169" s="56"/>
      <c r="AM169" s="63"/>
      <c r="AP169" s="56"/>
      <c r="AQ169" s="56"/>
      <c r="AR169" s="56"/>
      <c r="AS169" s="56"/>
      <c r="AT169" s="56"/>
      <c r="AY169" s="63"/>
      <c r="BB169" s="56"/>
      <c r="BC169" s="56"/>
      <c r="BD169" s="56"/>
      <c r="BE169" s="56"/>
      <c r="BF169" s="56"/>
      <c r="BK169" s="63"/>
      <c r="BN169" s="56"/>
      <c r="BO169" s="56"/>
      <c r="BP169" s="56"/>
      <c r="BQ169" s="56"/>
      <c r="BR169" s="56"/>
    </row>
    <row r="170" spans="15:72" ht="18" customHeight="1">
      <c r="O170" s="63"/>
      <c r="R170" s="56"/>
      <c r="S170" s="56"/>
      <c r="V170" s="194"/>
      <c r="W170" s="197"/>
      <c r="Y170" s="200"/>
      <c r="Z170" s="201"/>
      <c r="AA170" s="198"/>
      <c r="AD170" s="56"/>
      <c r="AE170" s="56"/>
      <c r="AF170" s="56"/>
      <c r="AG170" s="56"/>
      <c r="AH170" s="56"/>
      <c r="AM170" s="63"/>
      <c r="AP170" s="56"/>
      <c r="AQ170" s="56"/>
      <c r="AR170" s="56"/>
      <c r="AS170" s="56"/>
      <c r="AT170" s="56"/>
      <c r="AY170" s="63"/>
      <c r="BB170" s="56"/>
      <c r="BC170" s="56"/>
      <c r="BD170" s="56"/>
      <c r="BE170" s="56"/>
      <c r="BF170" s="56"/>
      <c r="BK170" s="63"/>
      <c r="BN170" s="56"/>
      <c r="BO170" s="56"/>
      <c r="BP170" s="56"/>
      <c r="BQ170" s="56"/>
      <c r="BR170" s="56"/>
    </row>
    <row r="171" spans="15:72" ht="18" customHeight="1">
      <c r="O171" s="63"/>
      <c r="R171" s="56"/>
      <c r="S171" s="56"/>
      <c r="V171" s="194"/>
      <c r="W171" s="197"/>
      <c r="Y171" s="200"/>
      <c r="Z171" s="201"/>
      <c r="AA171" s="198"/>
      <c r="AD171" s="56"/>
      <c r="AE171" s="56"/>
      <c r="AF171" s="56"/>
      <c r="AG171" s="56"/>
      <c r="AH171" s="56"/>
      <c r="AM171" s="63"/>
      <c r="AP171" s="56"/>
      <c r="AQ171" s="56"/>
      <c r="AR171" s="56"/>
      <c r="AS171" s="56"/>
      <c r="AT171" s="56"/>
      <c r="AY171" s="63"/>
      <c r="BB171" s="56"/>
      <c r="BC171" s="56"/>
      <c r="BD171" s="56"/>
      <c r="BE171" s="56"/>
      <c r="BF171" s="56"/>
      <c r="BK171" s="63"/>
      <c r="BN171" s="56"/>
      <c r="BO171" s="56"/>
      <c r="BP171" s="56"/>
      <c r="BQ171" s="56"/>
      <c r="BR171" s="56"/>
    </row>
    <row r="172" spans="15:72" ht="18" customHeight="1">
      <c r="W172" s="197"/>
      <c r="Y172" s="200"/>
      <c r="Z172" s="201"/>
    </row>
    <row r="173" spans="15:72" ht="18" customHeight="1">
      <c r="O173" s="63"/>
      <c r="P173" s="64"/>
      <c r="W173" s="197"/>
      <c r="X173" s="197"/>
      <c r="Y173" s="200"/>
      <c r="Z173" s="201"/>
      <c r="AA173" s="198"/>
      <c r="AB173" s="64"/>
      <c r="AH173" s="531"/>
      <c r="AI173" s="531"/>
      <c r="AJ173" s="531"/>
      <c r="AM173" s="63"/>
      <c r="AN173" s="64"/>
      <c r="AT173" s="531"/>
      <c r="AU173" s="531"/>
      <c r="AV173" s="531"/>
      <c r="AY173" s="63"/>
      <c r="AZ173" s="64"/>
      <c r="BF173" s="531"/>
      <c r="BG173" s="531"/>
      <c r="BH173" s="531"/>
      <c r="BK173" s="63"/>
      <c r="BL173" s="64"/>
      <c r="BR173" s="531"/>
      <c r="BS173" s="531"/>
      <c r="BT173" s="531"/>
    </row>
    <row r="174" spans="15:72" ht="18" customHeight="1">
      <c r="O174" s="63"/>
      <c r="R174" s="56"/>
      <c r="S174" s="56"/>
      <c r="V174" s="194"/>
      <c r="W174" s="197"/>
      <c r="Y174" s="200"/>
      <c r="Z174" s="201"/>
      <c r="AA174" s="198"/>
      <c r="AD174" s="56"/>
      <c r="AE174" s="56"/>
      <c r="AF174" s="56"/>
      <c r="AG174" s="56"/>
      <c r="AH174" s="56"/>
      <c r="AM174" s="63"/>
      <c r="AP174" s="56"/>
      <c r="AQ174" s="56"/>
      <c r="AR174" s="56"/>
      <c r="AS174" s="56"/>
      <c r="AT174" s="56"/>
      <c r="AY174" s="63"/>
      <c r="BB174" s="56"/>
      <c r="BC174" s="56"/>
      <c r="BD174" s="56"/>
      <c r="BE174" s="56"/>
      <c r="BF174" s="56"/>
      <c r="BK174" s="63"/>
      <c r="BN174" s="56"/>
      <c r="BO174" s="56"/>
      <c r="BP174" s="56"/>
      <c r="BQ174" s="56"/>
      <c r="BR174" s="56"/>
    </row>
    <row r="175" spans="15:72" ht="18" customHeight="1">
      <c r="O175" s="63"/>
      <c r="R175" s="56"/>
      <c r="S175" s="56"/>
      <c r="V175" s="194"/>
      <c r="W175" s="197"/>
      <c r="Y175" s="200"/>
      <c r="Z175" s="201"/>
      <c r="AA175" s="198"/>
      <c r="AD175" s="56"/>
      <c r="AE175" s="56"/>
      <c r="AF175" s="56"/>
      <c r="AG175" s="56"/>
      <c r="AH175" s="56"/>
      <c r="AM175" s="63"/>
      <c r="AP175" s="56"/>
      <c r="AQ175" s="56"/>
      <c r="AR175" s="56"/>
      <c r="AS175" s="56"/>
      <c r="AT175" s="56"/>
      <c r="AY175" s="63"/>
      <c r="BB175" s="56"/>
      <c r="BC175" s="56"/>
      <c r="BD175" s="56"/>
      <c r="BE175" s="56"/>
      <c r="BF175" s="56"/>
      <c r="BK175" s="63"/>
      <c r="BN175" s="56"/>
      <c r="BO175" s="56"/>
      <c r="BP175" s="56"/>
      <c r="BQ175" s="56"/>
      <c r="BR175" s="56"/>
    </row>
    <row r="176" spans="15:72" ht="18" customHeight="1">
      <c r="O176" s="63"/>
      <c r="R176" s="56"/>
      <c r="S176" s="56"/>
      <c r="V176" s="194"/>
      <c r="W176" s="197"/>
      <c r="Y176" s="200"/>
      <c r="Z176" s="201"/>
      <c r="AA176" s="198"/>
      <c r="AD176" s="56"/>
      <c r="AE176" s="56"/>
      <c r="AF176" s="56"/>
      <c r="AG176" s="56"/>
      <c r="AH176" s="56"/>
      <c r="AM176" s="63"/>
      <c r="AP176" s="56"/>
      <c r="AQ176" s="56"/>
      <c r="AR176" s="56"/>
      <c r="AS176" s="56"/>
      <c r="AT176" s="56"/>
      <c r="AY176" s="63"/>
      <c r="BB176" s="56"/>
      <c r="BC176" s="56"/>
      <c r="BD176" s="56"/>
      <c r="BE176" s="56"/>
      <c r="BF176" s="56"/>
      <c r="BK176" s="63"/>
      <c r="BN176" s="56"/>
      <c r="BO176" s="56"/>
      <c r="BP176" s="56"/>
      <c r="BQ176" s="56"/>
      <c r="BR176" s="56"/>
    </row>
    <row r="177" spans="15:72" ht="18" customHeight="1">
      <c r="O177" s="63"/>
      <c r="R177" s="56"/>
      <c r="S177" s="56"/>
      <c r="V177" s="194"/>
      <c r="W177" s="197"/>
      <c r="Y177" s="200"/>
      <c r="Z177" s="201"/>
      <c r="AA177" s="198"/>
      <c r="AD177" s="56"/>
      <c r="AE177" s="56"/>
      <c r="AF177" s="56"/>
      <c r="AG177" s="56"/>
      <c r="AH177" s="56"/>
      <c r="AM177" s="63"/>
      <c r="AP177" s="56"/>
      <c r="AQ177" s="56"/>
      <c r="AR177" s="56"/>
      <c r="AS177" s="56"/>
      <c r="AT177" s="56"/>
      <c r="AY177" s="63"/>
      <c r="BB177" s="56"/>
      <c r="BC177" s="56"/>
      <c r="BD177" s="56"/>
      <c r="BE177" s="56"/>
      <c r="BF177" s="56"/>
      <c r="BK177" s="63"/>
      <c r="BN177" s="56"/>
      <c r="BO177" s="56"/>
      <c r="BP177" s="56"/>
      <c r="BQ177" s="56"/>
      <c r="BR177" s="56"/>
    </row>
    <row r="178" spans="15:72" ht="18" customHeight="1">
      <c r="W178" s="197"/>
      <c r="Y178" s="200"/>
      <c r="Z178" s="201"/>
    </row>
    <row r="179" spans="15:72" ht="18" customHeight="1">
      <c r="O179" s="63"/>
      <c r="P179" s="64"/>
      <c r="W179" s="197"/>
      <c r="X179" s="197"/>
      <c r="Y179" s="200"/>
      <c r="Z179" s="201"/>
      <c r="AA179" s="198"/>
      <c r="AB179" s="64"/>
      <c r="AH179" s="531"/>
      <c r="AI179" s="531"/>
      <c r="AJ179" s="531"/>
      <c r="AM179" s="63"/>
      <c r="AN179" s="64"/>
      <c r="AT179" s="531"/>
      <c r="AU179" s="531"/>
      <c r="AV179" s="531"/>
      <c r="AY179" s="63"/>
      <c r="AZ179" s="64"/>
      <c r="BF179" s="531"/>
      <c r="BG179" s="531"/>
      <c r="BH179" s="531"/>
      <c r="BK179" s="63"/>
      <c r="BL179" s="64"/>
      <c r="BR179" s="531"/>
      <c r="BS179" s="531"/>
      <c r="BT179" s="531"/>
    </row>
    <row r="180" spans="15:72" ht="18" customHeight="1">
      <c r="O180" s="63"/>
      <c r="R180" s="56"/>
      <c r="S180" s="56"/>
      <c r="V180" s="194"/>
      <c r="W180" s="197"/>
      <c r="Y180" s="200"/>
      <c r="Z180" s="201"/>
      <c r="AA180" s="198"/>
      <c r="AD180" s="56"/>
      <c r="AE180" s="56"/>
      <c r="AF180" s="56"/>
      <c r="AG180" s="56"/>
      <c r="AH180" s="56"/>
      <c r="AM180" s="63"/>
      <c r="AP180" s="56"/>
      <c r="AQ180" s="56"/>
      <c r="AR180" s="56"/>
      <c r="AS180" s="56"/>
      <c r="AT180" s="56"/>
      <c r="AY180" s="63"/>
      <c r="BB180" s="56"/>
      <c r="BC180" s="56"/>
      <c r="BD180" s="56"/>
      <c r="BE180" s="56"/>
      <c r="BF180" s="56"/>
      <c r="BK180" s="63"/>
      <c r="BN180" s="56"/>
      <c r="BO180" s="56"/>
      <c r="BP180" s="56"/>
      <c r="BQ180" s="56"/>
      <c r="BR180" s="56"/>
    </row>
    <row r="181" spans="15:72" ht="18" customHeight="1">
      <c r="O181" s="63"/>
      <c r="R181" s="56"/>
      <c r="S181" s="56"/>
      <c r="V181" s="194"/>
      <c r="W181" s="197"/>
      <c r="Y181" s="200"/>
      <c r="Z181" s="201"/>
      <c r="AA181" s="198"/>
      <c r="AD181" s="56"/>
      <c r="AE181" s="56"/>
      <c r="AF181" s="56"/>
      <c r="AG181" s="56"/>
      <c r="AH181" s="56"/>
      <c r="AM181" s="63"/>
      <c r="AP181" s="56"/>
      <c r="AQ181" s="56"/>
      <c r="AR181" s="56"/>
      <c r="AS181" s="56"/>
      <c r="AT181" s="56"/>
      <c r="AY181" s="63"/>
      <c r="BB181" s="56"/>
      <c r="BC181" s="56"/>
      <c r="BD181" s="56"/>
      <c r="BE181" s="56"/>
      <c r="BF181" s="56"/>
      <c r="BK181" s="63"/>
      <c r="BN181" s="56"/>
      <c r="BO181" s="56"/>
      <c r="BP181" s="56"/>
      <c r="BQ181" s="56"/>
      <c r="BR181" s="56"/>
    </row>
    <row r="182" spans="15:72" ht="18" customHeight="1">
      <c r="O182" s="63"/>
      <c r="R182" s="56"/>
      <c r="S182" s="56"/>
      <c r="V182" s="194"/>
      <c r="W182" s="197"/>
      <c r="Y182" s="200"/>
      <c r="Z182" s="201"/>
      <c r="AA182" s="198"/>
      <c r="AD182" s="56"/>
      <c r="AE182" s="56"/>
      <c r="AF182" s="56"/>
      <c r="AG182" s="56"/>
      <c r="AH182" s="56"/>
      <c r="AM182" s="63"/>
      <c r="AP182" s="56"/>
      <c r="AQ182" s="56"/>
      <c r="AR182" s="56"/>
      <c r="AS182" s="56"/>
      <c r="AT182" s="56"/>
      <c r="AY182" s="63"/>
      <c r="BB182" s="56"/>
      <c r="BC182" s="56"/>
      <c r="BD182" s="56"/>
      <c r="BE182" s="56"/>
      <c r="BF182" s="56"/>
      <c r="BK182" s="63"/>
      <c r="BN182" s="56"/>
      <c r="BO182" s="56"/>
      <c r="BP182" s="56"/>
      <c r="BQ182" s="56"/>
      <c r="BR182" s="56"/>
    </row>
    <row r="183" spans="15:72" ht="18" customHeight="1">
      <c r="O183" s="63"/>
      <c r="R183" s="56"/>
      <c r="S183" s="56"/>
      <c r="V183" s="194"/>
      <c r="W183" s="197"/>
      <c r="Y183" s="200"/>
      <c r="Z183" s="201"/>
      <c r="AA183" s="198"/>
      <c r="AD183" s="56"/>
      <c r="AE183" s="56"/>
      <c r="AF183" s="56"/>
      <c r="AG183" s="56"/>
      <c r="AH183" s="56"/>
      <c r="AM183" s="63"/>
      <c r="AP183" s="56"/>
      <c r="AQ183" s="56"/>
      <c r="AR183" s="56"/>
      <c r="AS183" s="56"/>
      <c r="AT183" s="56"/>
      <c r="AY183" s="63"/>
      <c r="BB183" s="56"/>
      <c r="BC183" s="56"/>
      <c r="BD183" s="56"/>
      <c r="BE183" s="56"/>
      <c r="BF183" s="56"/>
      <c r="BK183" s="63"/>
      <c r="BN183" s="56"/>
      <c r="BO183" s="56"/>
      <c r="BP183" s="56"/>
      <c r="BQ183" s="56"/>
      <c r="BR183" s="56"/>
    </row>
    <row r="184" spans="15:72" ht="18" customHeight="1">
      <c r="W184" s="197"/>
      <c r="Y184" s="200"/>
      <c r="Z184" s="201"/>
    </row>
    <row r="185" spans="15:72" ht="18" customHeight="1">
      <c r="O185" s="63"/>
      <c r="P185" s="64"/>
      <c r="W185" s="197"/>
      <c r="X185" s="197"/>
      <c r="Y185" s="200"/>
      <c r="Z185" s="201"/>
      <c r="AA185" s="198"/>
      <c r="AB185" s="64"/>
      <c r="AH185" s="531"/>
      <c r="AI185" s="531"/>
      <c r="AJ185" s="531"/>
      <c r="AM185" s="63"/>
      <c r="AN185" s="64"/>
      <c r="AT185" s="531"/>
      <c r="AU185" s="531"/>
      <c r="AV185" s="531"/>
      <c r="AY185" s="63"/>
      <c r="AZ185" s="64"/>
      <c r="BF185" s="531"/>
      <c r="BG185" s="531"/>
      <c r="BH185" s="531"/>
      <c r="BK185" s="63"/>
      <c r="BL185" s="64"/>
      <c r="BR185" s="531"/>
      <c r="BS185" s="531"/>
      <c r="BT185" s="531"/>
    </row>
    <row r="186" spans="15:72" ht="18" customHeight="1">
      <c r="O186" s="63"/>
      <c r="R186" s="56"/>
      <c r="S186" s="56"/>
      <c r="V186" s="194"/>
      <c r="W186" s="197"/>
      <c r="Y186" s="200"/>
      <c r="Z186" s="201"/>
      <c r="AA186" s="198"/>
      <c r="AD186" s="56"/>
      <c r="AE186" s="56"/>
      <c r="AF186" s="56"/>
      <c r="AG186" s="56"/>
      <c r="AH186" s="56"/>
      <c r="AM186" s="63"/>
      <c r="AP186" s="56"/>
      <c r="AQ186" s="56"/>
      <c r="AR186" s="56"/>
      <c r="AS186" s="56"/>
      <c r="AT186" s="56"/>
      <c r="AY186" s="63"/>
      <c r="BB186" s="56"/>
      <c r="BC186" s="56"/>
      <c r="BD186" s="56"/>
      <c r="BE186" s="56"/>
      <c r="BF186" s="56"/>
      <c r="BK186" s="63"/>
      <c r="BN186" s="56"/>
      <c r="BO186" s="56"/>
      <c r="BP186" s="56"/>
      <c r="BQ186" s="56"/>
      <c r="BR186" s="56"/>
    </row>
    <row r="187" spans="15:72" ht="18" customHeight="1">
      <c r="O187" s="63"/>
      <c r="R187" s="56"/>
      <c r="S187" s="56"/>
      <c r="V187" s="194"/>
      <c r="W187" s="197"/>
      <c r="Y187" s="200"/>
      <c r="Z187" s="201"/>
      <c r="AA187" s="198"/>
      <c r="AD187" s="56"/>
      <c r="AE187" s="56"/>
      <c r="AF187" s="56"/>
      <c r="AG187" s="56"/>
      <c r="AH187" s="56"/>
      <c r="AM187" s="63"/>
      <c r="AP187" s="56"/>
      <c r="AQ187" s="56"/>
      <c r="AR187" s="56"/>
      <c r="AS187" s="56"/>
      <c r="AT187" s="56"/>
      <c r="AY187" s="63"/>
      <c r="BB187" s="56"/>
      <c r="BC187" s="56"/>
      <c r="BD187" s="56"/>
      <c r="BE187" s="56"/>
      <c r="BF187" s="56"/>
      <c r="BK187" s="63"/>
      <c r="BN187" s="56"/>
      <c r="BO187" s="56"/>
      <c r="BP187" s="56"/>
      <c r="BQ187" s="56"/>
      <c r="BR187" s="56"/>
    </row>
    <row r="188" spans="15:72" ht="18" customHeight="1">
      <c r="O188" s="63"/>
      <c r="R188" s="56"/>
      <c r="S188" s="56"/>
      <c r="V188" s="194"/>
      <c r="W188" s="197"/>
      <c r="Y188" s="200"/>
      <c r="Z188" s="201"/>
      <c r="AA188" s="198"/>
      <c r="AD188" s="56"/>
      <c r="AE188" s="56"/>
      <c r="AF188" s="56"/>
      <c r="AG188" s="56"/>
      <c r="AH188" s="56"/>
      <c r="AM188" s="63"/>
      <c r="AP188" s="56"/>
      <c r="AQ188" s="56"/>
      <c r="AR188" s="56"/>
      <c r="AS188" s="56"/>
      <c r="AT188" s="56"/>
      <c r="AY188" s="63"/>
      <c r="BB188" s="56"/>
      <c r="BC188" s="56"/>
      <c r="BD188" s="56"/>
      <c r="BE188" s="56"/>
      <c r="BF188" s="56"/>
      <c r="BK188" s="63"/>
      <c r="BN188" s="56"/>
      <c r="BO188" s="56"/>
      <c r="BP188" s="56"/>
      <c r="BQ188" s="56"/>
      <c r="BR188" s="56"/>
    </row>
    <row r="189" spans="15:72" ht="18" customHeight="1">
      <c r="O189" s="63"/>
      <c r="R189" s="56"/>
      <c r="S189" s="56"/>
      <c r="V189" s="194"/>
      <c r="W189" s="197"/>
      <c r="Y189" s="200"/>
      <c r="Z189" s="201"/>
      <c r="AA189" s="198"/>
      <c r="AD189" s="56"/>
      <c r="AE189" s="56"/>
      <c r="AF189" s="56"/>
      <c r="AG189" s="56"/>
      <c r="AH189" s="56"/>
      <c r="AM189" s="63"/>
      <c r="AP189" s="56"/>
      <c r="AQ189" s="56"/>
      <c r="AR189" s="56"/>
      <c r="AS189" s="56"/>
      <c r="AT189" s="56"/>
      <c r="AY189" s="63"/>
      <c r="BB189" s="56"/>
      <c r="BC189" s="56"/>
      <c r="BD189" s="56"/>
      <c r="BE189" s="56"/>
      <c r="BF189" s="56"/>
      <c r="BK189" s="63"/>
      <c r="BN189" s="56"/>
      <c r="BO189" s="56"/>
      <c r="BP189" s="56"/>
      <c r="BQ189" s="56"/>
      <c r="BR189" s="56"/>
    </row>
    <row r="190" spans="15:72" ht="18" customHeight="1">
      <c r="W190" s="197"/>
      <c r="Y190" s="200"/>
      <c r="Z190" s="201"/>
    </row>
    <row r="191" spans="15:72" ht="18" customHeight="1">
      <c r="O191" s="63"/>
      <c r="P191" s="64"/>
      <c r="W191" s="197"/>
      <c r="X191" s="197"/>
      <c r="Y191" s="200"/>
      <c r="Z191" s="201"/>
      <c r="AA191" s="198"/>
      <c r="AB191" s="64"/>
      <c r="AH191" s="531"/>
      <c r="AI191" s="531"/>
      <c r="AJ191" s="531"/>
      <c r="AM191" s="63"/>
      <c r="AN191" s="64"/>
      <c r="AT191" s="531"/>
      <c r="AU191" s="531"/>
      <c r="AV191" s="531"/>
      <c r="AY191" s="63"/>
      <c r="AZ191" s="64"/>
      <c r="BF191" s="531"/>
      <c r="BG191" s="531"/>
      <c r="BH191" s="531"/>
      <c r="BK191" s="63"/>
      <c r="BL191" s="64"/>
      <c r="BR191" s="531"/>
      <c r="BS191" s="531"/>
      <c r="BT191" s="531"/>
    </row>
    <row r="192" spans="15:72" ht="18" customHeight="1">
      <c r="O192" s="63"/>
      <c r="R192" s="56"/>
      <c r="S192" s="56"/>
      <c r="V192" s="194"/>
      <c r="W192" s="197"/>
      <c r="Y192" s="200"/>
      <c r="Z192" s="201"/>
      <c r="AA192" s="198"/>
      <c r="AD192" s="56"/>
      <c r="AE192" s="56"/>
      <c r="AF192" s="56"/>
      <c r="AG192" s="56"/>
      <c r="AH192" s="56"/>
      <c r="AM192" s="63"/>
      <c r="AP192" s="56"/>
      <c r="AQ192" s="56"/>
      <c r="AR192" s="56"/>
      <c r="AS192" s="56"/>
      <c r="AT192" s="56"/>
      <c r="AY192" s="63"/>
      <c r="BB192" s="56"/>
      <c r="BC192" s="56"/>
      <c r="BD192" s="56"/>
      <c r="BE192" s="56"/>
      <c r="BF192" s="56"/>
      <c r="BK192" s="63"/>
      <c r="BN192" s="56"/>
      <c r="BO192" s="56"/>
      <c r="BP192" s="56"/>
      <c r="BQ192" s="56"/>
      <c r="BR192" s="56"/>
    </row>
    <row r="193" spans="15:72" ht="18" customHeight="1">
      <c r="O193" s="63"/>
      <c r="R193" s="56"/>
      <c r="S193" s="56"/>
      <c r="V193" s="194"/>
      <c r="W193" s="197"/>
      <c r="Y193" s="200"/>
      <c r="Z193" s="201"/>
      <c r="AA193" s="198"/>
      <c r="AD193" s="56"/>
      <c r="AE193" s="56"/>
      <c r="AF193" s="56"/>
      <c r="AG193" s="56"/>
      <c r="AH193" s="56"/>
      <c r="AM193" s="63"/>
      <c r="AP193" s="56"/>
      <c r="AQ193" s="56"/>
      <c r="AR193" s="56"/>
      <c r="AS193" s="56"/>
      <c r="AT193" s="56"/>
      <c r="AY193" s="63"/>
      <c r="BB193" s="56"/>
      <c r="BC193" s="56"/>
      <c r="BD193" s="56"/>
      <c r="BE193" s="56"/>
      <c r="BF193" s="56"/>
      <c r="BK193" s="63"/>
      <c r="BN193" s="56"/>
      <c r="BO193" s="56"/>
      <c r="BP193" s="56"/>
      <c r="BQ193" s="56"/>
      <c r="BR193" s="56"/>
    </row>
    <row r="194" spans="15:72" ht="18" customHeight="1">
      <c r="O194" s="63"/>
      <c r="R194" s="56"/>
      <c r="S194" s="56"/>
      <c r="V194" s="194"/>
      <c r="W194" s="197"/>
      <c r="Y194" s="200"/>
      <c r="Z194" s="201"/>
      <c r="AA194" s="198"/>
      <c r="AD194" s="56"/>
      <c r="AE194" s="56"/>
      <c r="AF194" s="56"/>
      <c r="AG194" s="56"/>
      <c r="AH194" s="56"/>
      <c r="AM194" s="63"/>
      <c r="AP194" s="56"/>
      <c r="AQ194" s="56"/>
      <c r="AR194" s="56"/>
      <c r="AS194" s="56"/>
      <c r="AT194" s="56"/>
      <c r="AY194" s="63"/>
      <c r="BB194" s="56"/>
      <c r="BC194" s="56"/>
      <c r="BD194" s="56"/>
      <c r="BE194" s="56"/>
      <c r="BF194" s="56"/>
      <c r="BK194" s="63"/>
      <c r="BN194" s="56"/>
      <c r="BO194" s="56"/>
      <c r="BP194" s="56"/>
      <c r="BQ194" s="56"/>
      <c r="BR194" s="56"/>
    </row>
    <row r="195" spans="15:72" ht="18" customHeight="1">
      <c r="O195" s="63"/>
      <c r="R195" s="56"/>
      <c r="S195" s="56"/>
      <c r="V195" s="194"/>
      <c r="W195" s="197"/>
      <c r="Y195" s="200"/>
      <c r="Z195" s="201"/>
      <c r="AA195" s="198"/>
      <c r="AD195" s="56"/>
      <c r="AE195" s="56"/>
      <c r="AF195" s="56"/>
      <c r="AG195" s="56"/>
      <c r="AH195" s="56"/>
      <c r="AM195" s="63"/>
      <c r="AP195" s="56"/>
      <c r="AQ195" s="56"/>
      <c r="AR195" s="56"/>
      <c r="AS195" s="56"/>
      <c r="AT195" s="56"/>
      <c r="AY195" s="63"/>
      <c r="BB195" s="56"/>
      <c r="BC195" s="56"/>
      <c r="BD195" s="56"/>
      <c r="BE195" s="56"/>
      <c r="BF195" s="56"/>
      <c r="BK195" s="63"/>
      <c r="BN195" s="56"/>
      <c r="BO195" s="56"/>
      <c r="BP195" s="56"/>
      <c r="BQ195" s="56"/>
      <c r="BR195" s="56"/>
    </row>
    <row r="196" spans="15:72" ht="18" customHeight="1">
      <c r="W196" s="197"/>
      <c r="Y196" s="200"/>
      <c r="Z196" s="201"/>
    </row>
    <row r="197" spans="15:72" ht="18" customHeight="1">
      <c r="O197" s="63"/>
      <c r="P197" s="64"/>
      <c r="W197" s="197"/>
      <c r="X197" s="197"/>
      <c r="Y197" s="200"/>
      <c r="Z197" s="201"/>
      <c r="AA197" s="198"/>
      <c r="AB197" s="64"/>
      <c r="AH197" s="531"/>
      <c r="AI197" s="531"/>
      <c r="AJ197" s="531"/>
      <c r="AM197" s="63"/>
      <c r="AN197" s="64"/>
      <c r="AT197" s="531"/>
      <c r="AU197" s="531"/>
      <c r="AV197" s="531"/>
      <c r="AY197" s="63"/>
      <c r="AZ197" s="64"/>
      <c r="BF197" s="531"/>
      <c r="BG197" s="531"/>
      <c r="BH197" s="531"/>
      <c r="BK197" s="63"/>
      <c r="BL197" s="64"/>
      <c r="BR197" s="531"/>
      <c r="BS197" s="531"/>
      <c r="BT197" s="531"/>
    </row>
    <row r="198" spans="15:72" ht="18" customHeight="1">
      <c r="O198" s="63"/>
      <c r="R198" s="56"/>
      <c r="S198" s="56"/>
      <c r="V198" s="194"/>
      <c r="W198" s="197"/>
      <c r="Y198" s="200"/>
      <c r="Z198" s="201"/>
      <c r="AA198" s="198"/>
      <c r="AD198" s="56"/>
      <c r="AE198" s="56"/>
      <c r="AF198" s="56"/>
      <c r="AG198" s="56"/>
      <c r="AH198" s="56"/>
      <c r="AM198" s="63"/>
      <c r="AP198" s="56"/>
      <c r="AQ198" s="56"/>
      <c r="AR198" s="56"/>
      <c r="AS198" s="56"/>
      <c r="AT198" s="56"/>
      <c r="AY198" s="63"/>
      <c r="BB198" s="56"/>
      <c r="BC198" s="56"/>
      <c r="BD198" s="56"/>
      <c r="BE198" s="56"/>
      <c r="BF198" s="56"/>
      <c r="BK198" s="63"/>
      <c r="BN198" s="56"/>
      <c r="BO198" s="56"/>
      <c r="BP198" s="56"/>
      <c r="BQ198" s="56"/>
      <c r="BR198" s="56"/>
    </row>
    <row r="199" spans="15:72" ht="18" customHeight="1">
      <c r="O199" s="63"/>
      <c r="R199" s="56"/>
      <c r="S199" s="56"/>
      <c r="V199" s="194"/>
      <c r="W199" s="197"/>
      <c r="Y199" s="200"/>
      <c r="Z199" s="201"/>
      <c r="AA199" s="198"/>
      <c r="AD199" s="56"/>
      <c r="AE199" s="56"/>
      <c r="AF199" s="56"/>
      <c r="AG199" s="56"/>
      <c r="AH199" s="56"/>
      <c r="AM199" s="63"/>
      <c r="AP199" s="56"/>
      <c r="AQ199" s="56"/>
      <c r="AR199" s="56"/>
      <c r="AS199" s="56"/>
      <c r="AT199" s="56"/>
      <c r="AY199" s="63"/>
      <c r="BB199" s="56"/>
      <c r="BC199" s="56"/>
      <c r="BD199" s="56"/>
      <c r="BE199" s="56"/>
      <c r="BF199" s="56"/>
      <c r="BK199" s="63"/>
      <c r="BN199" s="56"/>
      <c r="BO199" s="56"/>
      <c r="BP199" s="56"/>
      <c r="BQ199" s="56"/>
      <c r="BR199" s="56"/>
    </row>
    <row r="200" spans="15:72" ht="18" customHeight="1">
      <c r="O200" s="63"/>
      <c r="R200" s="56"/>
      <c r="S200" s="56"/>
      <c r="V200" s="194"/>
      <c r="W200" s="197"/>
      <c r="Y200" s="200"/>
      <c r="Z200" s="201"/>
      <c r="AA200" s="198"/>
      <c r="AD200" s="56"/>
      <c r="AE200" s="56"/>
      <c r="AF200" s="56"/>
      <c r="AG200" s="56"/>
      <c r="AH200" s="56"/>
      <c r="AM200" s="63"/>
      <c r="AP200" s="56"/>
      <c r="AQ200" s="56"/>
      <c r="AR200" s="56"/>
      <c r="AS200" s="56"/>
      <c r="AT200" s="56"/>
      <c r="AY200" s="63"/>
      <c r="BB200" s="56"/>
      <c r="BC200" s="56"/>
      <c r="BD200" s="56"/>
      <c r="BE200" s="56"/>
      <c r="BF200" s="56"/>
      <c r="BK200" s="63"/>
      <c r="BN200" s="56"/>
      <c r="BO200" s="56"/>
      <c r="BP200" s="56"/>
      <c r="BQ200" s="56"/>
      <c r="BR200" s="56"/>
    </row>
    <row r="201" spans="15:72" ht="18" customHeight="1">
      <c r="O201" s="63"/>
      <c r="R201" s="56"/>
      <c r="S201" s="56"/>
      <c r="V201" s="194"/>
      <c r="W201" s="197"/>
      <c r="Y201" s="200"/>
      <c r="Z201" s="201"/>
      <c r="AA201" s="198"/>
      <c r="AD201" s="56"/>
      <c r="AE201" s="56"/>
      <c r="AF201" s="56"/>
      <c r="AG201" s="56"/>
      <c r="AH201" s="56"/>
      <c r="AM201" s="63"/>
      <c r="AP201" s="56"/>
      <c r="AQ201" s="56"/>
      <c r="AR201" s="56"/>
      <c r="AS201" s="56"/>
      <c r="AT201" s="56"/>
      <c r="AY201" s="63"/>
      <c r="BB201" s="56"/>
      <c r="BC201" s="56"/>
      <c r="BD201" s="56"/>
      <c r="BE201" s="56"/>
      <c r="BF201" s="56"/>
      <c r="BK201" s="63"/>
      <c r="BN201" s="56"/>
      <c r="BO201" s="56"/>
      <c r="BP201" s="56"/>
      <c r="BQ201" s="56"/>
      <c r="BR201" s="56"/>
    </row>
    <row r="202" spans="15:72" ht="18" customHeight="1">
      <c r="W202" s="197"/>
      <c r="Y202" s="200"/>
      <c r="Z202" s="201"/>
    </row>
    <row r="203" spans="15:72" ht="18" customHeight="1">
      <c r="O203" s="63"/>
      <c r="P203" s="64"/>
      <c r="W203" s="197"/>
      <c r="X203" s="197"/>
      <c r="Y203" s="200"/>
      <c r="Z203" s="201"/>
      <c r="AA203" s="198"/>
      <c r="AB203" s="64"/>
      <c r="AH203" s="531"/>
      <c r="AI203" s="531"/>
      <c r="AJ203" s="531"/>
      <c r="AM203" s="63"/>
      <c r="AN203" s="64"/>
      <c r="AT203" s="531"/>
      <c r="AU203" s="531"/>
      <c r="AV203" s="531"/>
      <c r="AY203" s="63"/>
      <c r="AZ203" s="64"/>
      <c r="BF203" s="531"/>
      <c r="BG203" s="531"/>
      <c r="BH203" s="531"/>
      <c r="BK203" s="63"/>
      <c r="BL203" s="64"/>
      <c r="BR203" s="531"/>
      <c r="BS203" s="531"/>
      <c r="BT203" s="531"/>
    </row>
    <row r="204" spans="15:72" ht="18" customHeight="1">
      <c r="O204" s="63"/>
      <c r="R204" s="56"/>
      <c r="S204" s="56"/>
      <c r="V204" s="194"/>
      <c r="W204" s="197"/>
      <c r="Y204" s="200"/>
      <c r="Z204" s="201"/>
      <c r="AA204" s="198"/>
      <c r="AD204" s="56"/>
      <c r="AE204" s="56"/>
      <c r="AF204" s="56"/>
      <c r="AG204" s="56"/>
      <c r="AH204" s="56"/>
      <c r="AM204" s="63"/>
      <c r="AP204" s="56"/>
      <c r="AQ204" s="56"/>
      <c r="AR204" s="56"/>
      <c r="AS204" s="56"/>
      <c r="AT204" s="56"/>
      <c r="AY204" s="63"/>
      <c r="BB204" s="56"/>
      <c r="BC204" s="56"/>
      <c r="BD204" s="56"/>
      <c r="BE204" s="56"/>
      <c r="BF204" s="56"/>
      <c r="BK204" s="63"/>
      <c r="BN204" s="56"/>
      <c r="BO204" s="56"/>
      <c r="BP204" s="56"/>
      <c r="BQ204" s="56"/>
      <c r="BR204" s="56"/>
    </row>
    <row r="205" spans="15:72" ht="18" customHeight="1">
      <c r="O205" s="63"/>
      <c r="R205" s="56"/>
      <c r="S205" s="56"/>
      <c r="V205" s="194"/>
      <c r="W205" s="197"/>
      <c r="Y205" s="200"/>
      <c r="Z205" s="201"/>
      <c r="AA205" s="198"/>
      <c r="AD205" s="56"/>
      <c r="AE205" s="56"/>
      <c r="AF205" s="56"/>
      <c r="AG205" s="56"/>
      <c r="AH205" s="56"/>
      <c r="AM205" s="63"/>
      <c r="AP205" s="56"/>
      <c r="AQ205" s="56"/>
      <c r="AR205" s="56"/>
      <c r="AS205" s="56"/>
      <c r="AT205" s="56"/>
      <c r="AY205" s="63"/>
      <c r="BB205" s="56"/>
      <c r="BC205" s="56"/>
      <c r="BD205" s="56"/>
      <c r="BE205" s="56"/>
      <c r="BF205" s="56"/>
      <c r="BK205" s="63"/>
      <c r="BN205" s="56"/>
      <c r="BO205" s="56"/>
      <c r="BP205" s="56"/>
      <c r="BQ205" s="56"/>
      <c r="BR205" s="56"/>
    </row>
    <row r="206" spans="15:72" ht="18" customHeight="1">
      <c r="O206" s="63"/>
      <c r="R206" s="56"/>
      <c r="S206" s="56"/>
      <c r="V206" s="194"/>
      <c r="W206" s="197"/>
      <c r="Y206" s="200"/>
      <c r="Z206" s="201"/>
      <c r="AA206" s="198"/>
      <c r="AD206" s="56"/>
      <c r="AE206" s="56"/>
      <c r="AF206" s="56"/>
      <c r="AG206" s="56"/>
      <c r="AH206" s="56"/>
      <c r="AM206" s="63"/>
      <c r="AP206" s="56"/>
      <c r="AQ206" s="56"/>
      <c r="AR206" s="56"/>
      <c r="AS206" s="56"/>
      <c r="AT206" s="56"/>
      <c r="AY206" s="63"/>
      <c r="BB206" s="56"/>
      <c r="BC206" s="56"/>
      <c r="BD206" s="56"/>
      <c r="BE206" s="56"/>
      <c r="BF206" s="56"/>
      <c r="BK206" s="63"/>
      <c r="BN206" s="56"/>
      <c r="BO206" s="56"/>
      <c r="BP206" s="56"/>
      <c r="BQ206" s="56"/>
      <c r="BR206" s="56"/>
    </row>
    <row r="207" spans="15:72" ht="18" customHeight="1">
      <c r="O207" s="63"/>
      <c r="R207" s="56"/>
      <c r="S207" s="56"/>
      <c r="V207" s="194"/>
      <c r="W207" s="197"/>
      <c r="Y207" s="200"/>
      <c r="Z207" s="201"/>
      <c r="AA207" s="198"/>
      <c r="AD207" s="56"/>
      <c r="AE207" s="56"/>
      <c r="AF207" s="56"/>
      <c r="AG207" s="56"/>
      <c r="AH207" s="56"/>
      <c r="AM207" s="63"/>
      <c r="AP207" s="56"/>
      <c r="AQ207" s="56"/>
      <c r="AR207" s="56"/>
      <c r="AS207" s="56"/>
      <c r="AT207" s="56"/>
      <c r="AY207" s="63"/>
      <c r="BB207" s="56"/>
      <c r="BC207" s="56"/>
      <c r="BD207" s="56"/>
      <c r="BE207" s="56"/>
      <c r="BF207" s="56"/>
      <c r="BK207" s="63"/>
      <c r="BN207" s="56"/>
      <c r="BO207" s="56"/>
      <c r="BP207" s="56"/>
      <c r="BQ207" s="56"/>
      <c r="BR207" s="56"/>
    </row>
    <row r="208" spans="15:72" ht="18" customHeight="1">
      <c r="W208" s="197"/>
      <c r="Y208" s="200"/>
      <c r="Z208" s="201"/>
    </row>
    <row r="209" spans="15:72" ht="18" customHeight="1">
      <c r="O209" s="63"/>
      <c r="P209" s="64"/>
      <c r="W209" s="197"/>
      <c r="X209" s="197"/>
      <c r="Y209" s="200"/>
      <c r="Z209" s="201"/>
      <c r="AA209" s="198"/>
      <c r="AB209" s="64"/>
      <c r="AH209" s="531"/>
      <c r="AI209" s="531"/>
      <c r="AJ209" s="531"/>
      <c r="AM209" s="63"/>
      <c r="AN209" s="64"/>
      <c r="AT209" s="531"/>
      <c r="AU209" s="531"/>
      <c r="AV209" s="531"/>
      <c r="AY209" s="63"/>
      <c r="AZ209" s="64"/>
      <c r="BF209" s="531"/>
      <c r="BG209" s="531"/>
      <c r="BH209" s="531"/>
      <c r="BK209" s="63"/>
      <c r="BL209" s="64"/>
      <c r="BR209" s="531"/>
      <c r="BS209" s="531"/>
      <c r="BT209" s="531"/>
    </row>
    <row r="210" spans="15:72" ht="18" customHeight="1">
      <c r="O210" s="63"/>
      <c r="R210" s="56"/>
      <c r="S210" s="56"/>
      <c r="V210" s="194"/>
      <c r="W210" s="197"/>
      <c r="Y210" s="200"/>
      <c r="Z210" s="201"/>
      <c r="AA210" s="198"/>
      <c r="AD210" s="56"/>
      <c r="AE210" s="56"/>
      <c r="AF210" s="56"/>
      <c r="AG210" s="56"/>
      <c r="AH210" s="56"/>
      <c r="AM210" s="63"/>
      <c r="AP210" s="56"/>
      <c r="AQ210" s="56"/>
      <c r="AR210" s="56"/>
      <c r="AS210" s="56"/>
      <c r="AT210" s="56"/>
      <c r="AY210" s="63"/>
      <c r="BB210" s="56"/>
      <c r="BC210" s="56"/>
      <c r="BD210" s="56"/>
      <c r="BE210" s="56"/>
      <c r="BF210" s="56"/>
      <c r="BK210" s="63"/>
      <c r="BN210" s="56"/>
      <c r="BO210" s="56"/>
      <c r="BP210" s="56"/>
      <c r="BQ210" s="56"/>
      <c r="BR210" s="56"/>
    </row>
    <row r="211" spans="15:72" ht="18" customHeight="1">
      <c r="O211" s="63"/>
      <c r="R211" s="56"/>
      <c r="S211" s="56"/>
      <c r="V211" s="194"/>
      <c r="W211" s="197"/>
      <c r="Y211" s="200"/>
      <c r="Z211" s="201"/>
      <c r="AA211" s="198"/>
      <c r="AD211" s="56"/>
      <c r="AE211" s="56"/>
      <c r="AF211" s="56"/>
      <c r="AG211" s="56"/>
      <c r="AH211" s="56"/>
      <c r="AM211" s="63"/>
      <c r="AP211" s="56"/>
      <c r="AQ211" s="56"/>
      <c r="AR211" s="56"/>
      <c r="AS211" s="56"/>
      <c r="AT211" s="56"/>
      <c r="AY211" s="63"/>
      <c r="BB211" s="56"/>
      <c r="BC211" s="56"/>
      <c r="BD211" s="56"/>
      <c r="BE211" s="56"/>
      <c r="BF211" s="56"/>
      <c r="BK211" s="63"/>
      <c r="BN211" s="56"/>
      <c r="BO211" s="56"/>
      <c r="BP211" s="56"/>
      <c r="BQ211" s="56"/>
      <c r="BR211" s="56"/>
    </row>
    <row r="212" spans="15:72" ht="18" customHeight="1">
      <c r="O212" s="63"/>
      <c r="R212" s="56"/>
      <c r="S212" s="56"/>
      <c r="V212" s="194"/>
      <c r="W212" s="197"/>
      <c r="Y212" s="200"/>
      <c r="Z212" s="201"/>
      <c r="AA212" s="198"/>
      <c r="AD212" s="56"/>
      <c r="AE212" s="56"/>
      <c r="AF212" s="56"/>
      <c r="AG212" s="56"/>
      <c r="AH212" s="56"/>
      <c r="AM212" s="63"/>
      <c r="AP212" s="56"/>
      <c r="AQ212" s="56"/>
      <c r="AR212" s="56"/>
      <c r="AS212" s="56"/>
      <c r="AT212" s="56"/>
      <c r="AY212" s="63"/>
      <c r="BB212" s="56"/>
      <c r="BC212" s="56"/>
      <c r="BD212" s="56"/>
      <c r="BE212" s="56"/>
      <c r="BF212" s="56"/>
      <c r="BK212" s="63"/>
      <c r="BN212" s="56"/>
      <c r="BO212" s="56"/>
      <c r="BP212" s="56"/>
      <c r="BQ212" s="56"/>
      <c r="BR212" s="56"/>
    </row>
    <row r="213" spans="15:72" ht="18" customHeight="1">
      <c r="O213" s="63"/>
      <c r="R213" s="56"/>
      <c r="S213" s="56"/>
      <c r="V213" s="194"/>
      <c r="W213" s="197"/>
      <c r="Y213" s="200"/>
      <c r="Z213" s="201"/>
      <c r="AA213" s="198"/>
      <c r="AD213" s="56"/>
      <c r="AE213" s="56"/>
      <c r="AF213" s="56"/>
      <c r="AG213" s="56"/>
      <c r="AH213" s="56"/>
      <c r="AM213" s="63"/>
      <c r="AP213" s="56"/>
      <c r="AQ213" s="56"/>
      <c r="AR213" s="56"/>
      <c r="AS213" s="56"/>
      <c r="AT213" s="56"/>
      <c r="AY213" s="63"/>
      <c r="BB213" s="56"/>
      <c r="BC213" s="56"/>
      <c r="BD213" s="56"/>
      <c r="BE213" s="56"/>
      <c r="BF213" s="56"/>
      <c r="BK213" s="63"/>
      <c r="BN213" s="56"/>
      <c r="BO213" s="56"/>
      <c r="BP213" s="56"/>
      <c r="BQ213" s="56"/>
      <c r="BR213" s="56"/>
    </row>
    <row r="214" spans="15:72" ht="18" customHeight="1">
      <c r="W214" s="197"/>
      <c r="Y214" s="200"/>
      <c r="Z214" s="201"/>
    </row>
    <row r="215" spans="15:72" ht="18" customHeight="1">
      <c r="O215" s="63"/>
      <c r="P215" s="64"/>
      <c r="W215" s="197"/>
      <c r="X215" s="197"/>
      <c r="Y215" s="200"/>
      <c r="Z215" s="201"/>
      <c r="AA215" s="198"/>
      <c r="AB215" s="64"/>
      <c r="AH215" s="531"/>
      <c r="AI215" s="531"/>
      <c r="AJ215" s="531"/>
      <c r="AM215" s="63"/>
      <c r="AN215" s="64"/>
      <c r="AT215" s="531"/>
      <c r="AU215" s="531"/>
      <c r="AV215" s="531"/>
      <c r="AY215" s="63"/>
      <c r="AZ215" s="64"/>
      <c r="BF215" s="531"/>
      <c r="BG215" s="531"/>
      <c r="BH215" s="531"/>
      <c r="BK215" s="63"/>
      <c r="BL215" s="64"/>
      <c r="BR215" s="531"/>
      <c r="BS215" s="531"/>
      <c r="BT215" s="531"/>
    </row>
    <row r="216" spans="15:72" ht="18" customHeight="1">
      <c r="O216" s="63"/>
      <c r="R216" s="56"/>
      <c r="S216" s="56"/>
      <c r="V216" s="194"/>
      <c r="W216" s="197"/>
      <c r="Y216" s="200"/>
      <c r="Z216" s="201"/>
      <c r="AA216" s="198"/>
      <c r="AD216" s="56"/>
      <c r="AE216" s="56"/>
      <c r="AF216" s="56"/>
      <c r="AG216" s="56"/>
      <c r="AH216" s="56"/>
      <c r="AM216" s="63"/>
      <c r="AP216" s="56"/>
      <c r="AQ216" s="56"/>
      <c r="AR216" s="56"/>
      <c r="AS216" s="56"/>
      <c r="AT216" s="56"/>
      <c r="AY216" s="63"/>
      <c r="BB216" s="56"/>
      <c r="BC216" s="56"/>
      <c r="BD216" s="56"/>
      <c r="BE216" s="56"/>
      <c r="BF216" s="56"/>
      <c r="BK216" s="63"/>
      <c r="BN216" s="56"/>
      <c r="BO216" s="56"/>
      <c r="BP216" s="56"/>
      <c r="BQ216" s="56"/>
      <c r="BR216" s="56"/>
    </row>
    <row r="217" spans="15:72" ht="18" customHeight="1">
      <c r="O217" s="63"/>
      <c r="R217" s="56"/>
      <c r="S217" s="56"/>
      <c r="V217" s="194"/>
      <c r="W217" s="197"/>
      <c r="Y217" s="200"/>
      <c r="Z217" s="201"/>
      <c r="AA217" s="198"/>
      <c r="AD217" s="56"/>
      <c r="AE217" s="56"/>
      <c r="AF217" s="56"/>
      <c r="AG217" s="56"/>
      <c r="AH217" s="56"/>
      <c r="AM217" s="63"/>
      <c r="AP217" s="56"/>
      <c r="AQ217" s="56"/>
      <c r="AR217" s="56"/>
      <c r="AS217" s="56"/>
      <c r="AT217" s="56"/>
      <c r="AY217" s="63"/>
      <c r="BB217" s="56"/>
      <c r="BC217" s="56"/>
      <c r="BD217" s="56"/>
      <c r="BE217" s="56"/>
      <c r="BF217" s="56"/>
      <c r="BK217" s="63"/>
      <c r="BN217" s="56"/>
      <c r="BO217" s="56"/>
      <c r="BP217" s="56"/>
      <c r="BQ217" s="56"/>
      <c r="BR217" s="56"/>
    </row>
    <row r="218" spans="15:72" ht="18" customHeight="1">
      <c r="O218" s="63"/>
      <c r="R218" s="56"/>
      <c r="S218" s="56"/>
      <c r="V218" s="194"/>
      <c r="W218" s="197"/>
      <c r="Y218" s="200"/>
      <c r="Z218" s="201"/>
      <c r="AA218" s="198"/>
      <c r="AD218" s="56"/>
      <c r="AE218" s="56"/>
      <c r="AF218" s="56"/>
      <c r="AG218" s="56"/>
      <c r="AH218" s="56"/>
      <c r="AM218" s="63"/>
      <c r="AP218" s="56"/>
      <c r="AQ218" s="56"/>
      <c r="AR218" s="56"/>
      <c r="AS218" s="56"/>
      <c r="AT218" s="56"/>
      <c r="AY218" s="63"/>
      <c r="BB218" s="56"/>
      <c r="BC218" s="56"/>
      <c r="BD218" s="56"/>
      <c r="BE218" s="56"/>
      <c r="BF218" s="56"/>
      <c r="BK218" s="63"/>
      <c r="BN218" s="56"/>
      <c r="BO218" s="56"/>
      <c r="BP218" s="56"/>
      <c r="BQ218" s="56"/>
      <c r="BR218" s="56"/>
    </row>
    <row r="219" spans="15:72" ht="18" customHeight="1">
      <c r="O219" s="63"/>
      <c r="R219" s="56"/>
      <c r="S219" s="56"/>
      <c r="V219" s="194"/>
      <c r="W219" s="197"/>
      <c r="Y219" s="200"/>
      <c r="Z219" s="201"/>
      <c r="AA219" s="198"/>
      <c r="AD219" s="56"/>
      <c r="AE219" s="56"/>
      <c r="AF219" s="56"/>
      <c r="AG219" s="56"/>
      <c r="AH219" s="56"/>
      <c r="AM219" s="63"/>
      <c r="AP219" s="56"/>
      <c r="AQ219" s="56"/>
      <c r="AR219" s="56"/>
      <c r="AS219" s="56"/>
      <c r="AT219" s="56"/>
      <c r="AY219" s="63"/>
      <c r="BB219" s="56"/>
      <c r="BC219" s="56"/>
      <c r="BD219" s="56"/>
      <c r="BE219" s="56"/>
      <c r="BF219" s="56"/>
      <c r="BK219" s="63"/>
      <c r="BN219" s="56"/>
      <c r="BO219" s="56"/>
      <c r="BP219" s="56"/>
      <c r="BQ219" s="56"/>
      <c r="BR219" s="56"/>
    </row>
    <row r="220" spans="15:72" ht="18" customHeight="1">
      <c r="W220" s="197"/>
      <c r="Y220" s="200"/>
      <c r="Z220" s="201"/>
    </row>
    <row r="221" spans="15:72" ht="18" customHeight="1">
      <c r="O221" s="63"/>
      <c r="P221" s="64"/>
      <c r="W221" s="197"/>
      <c r="X221" s="197"/>
      <c r="Y221" s="200"/>
      <c r="Z221" s="201"/>
      <c r="AA221" s="198"/>
      <c r="AB221" s="64"/>
      <c r="AH221" s="531"/>
      <c r="AI221" s="531"/>
      <c r="AJ221" s="531"/>
      <c r="AM221" s="63"/>
      <c r="AN221" s="64"/>
      <c r="AT221" s="531"/>
      <c r="AU221" s="531"/>
      <c r="AV221" s="531"/>
      <c r="AY221" s="63"/>
      <c r="AZ221" s="64"/>
      <c r="BF221" s="531"/>
      <c r="BG221" s="531"/>
      <c r="BH221" s="531"/>
      <c r="BK221" s="63"/>
      <c r="BL221" s="64"/>
      <c r="BR221" s="531"/>
      <c r="BS221" s="531"/>
      <c r="BT221" s="531"/>
    </row>
    <row r="222" spans="15:72" ht="18" customHeight="1">
      <c r="O222" s="63"/>
      <c r="R222" s="56"/>
      <c r="S222" s="56"/>
      <c r="V222" s="194"/>
      <c r="W222" s="197"/>
      <c r="Y222" s="200"/>
      <c r="Z222" s="201"/>
      <c r="AA222" s="198"/>
      <c r="AD222" s="56"/>
      <c r="AE222" s="56"/>
      <c r="AF222" s="56"/>
      <c r="AG222" s="56"/>
      <c r="AH222" s="56"/>
      <c r="AM222" s="63"/>
      <c r="AP222" s="56"/>
      <c r="AQ222" s="56"/>
      <c r="AR222" s="56"/>
      <c r="AS222" s="56"/>
      <c r="AT222" s="56"/>
      <c r="AY222" s="63"/>
      <c r="BB222" s="56"/>
      <c r="BC222" s="56"/>
      <c r="BD222" s="56"/>
      <c r="BE222" s="56"/>
      <c r="BF222" s="56"/>
      <c r="BK222" s="63"/>
      <c r="BN222" s="56"/>
      <c r="BO222" s="56"/>
      <c r="BP222" s="56"/>
      <c r="BQ222" s="56"/>
      <c r="BR222" s="56"/>
    </row>
    <row r="223" spans="15:72" ht="18" customHeight="1">
      <c r="O223" s="63"/>
      <c r="R223" s="56"/>
      <c r="S223" s="56"/>
      <c r="V223" s="194"/>
      <c r="W223" s="197"/>
      <c r="Y223" s="200"/>
      <c r="Z223" s="201"/>
      <c r="AA223" s="198"/>
      <c r="AD223" s="56"/>
      <c r="AE223" s="56"/>
      <c r="AF223" s="56"/>
      <c r="AG223" s="56"/>
      <c r="AH223" s="56"/>
      <c r="AM223" s="63"/>
      <c r="AP223" s="56"/>
      <c r="AQ223" s="56"/>
      <c r="AR223" s="56"/>
      <c r="AS223" s="56"/>
      <c r="AT223" s="56"/>
      <c r="AY223" s="63"/>
      <c r="BB223" s="56"/>
      <c r="BC223" s="56"/>
      <c r="BD223" s="56"/>
      <c r="BE223" s="56"/>
      <c r="BF223" s="56"/>
      <c r="BK223" s="63"/>
      <c r="BN223" s="56"/>
      <c r="BO223" s="56"/>
      <c r="BP223" s="56"/>
      <c r="BQ223" s="56"/>
      <c r="BR223" s="56"/>
    </row>
    <row r="224" spans="15:72" ht="18" customHeight="1">
      <c r="O224" s="63"/>
      <c r="R224" s="56"/>
      <c r="S224" s="56"/>
      <c r="V224" s="194"/>
      <c r="W224" s="197"/>
      <c r="Y224" s="200"/>
      <c r="Z224" s="201"/>
      <c r="AA224" s="198"/>
      <c r="AD224" s="56"/>
      <c r="AE224" s="56"/>
      <c r="AF224" s="56"/>
      <c r="AG224" s="56"/>
      <c r="AH224" s="56"/>
      <c r="AM224" s="63"/>
      <c r="AP224" s="56"/>
      <c r="AQ224" s="56"/>
      <c r="AR224" s="56"/>
      <c r="AS224" s="56"/>
      <c r="AT224" s="56"/>
      <c r="AY224" s="63"/>
      <c r="BB224" s="56"/>
      <c r="BC224" s="56"/>
      <c r="BD224" s="56"/>
      <c r="BE224" s="56"/>
      <c r="BF224" s="56"/>
      <c r="BK224" s="63"/>
      <c r="BN224" s="56"/>
      <c r="BO224" s="56"/>
      <c r="BP224" s="56"/>
      <c r="BQ224" s="56"/>
      <c r="BR224" s="56"/>
    </row>
    <row r="225" spans="15:72" ht="18" customHeight="1">
      <c r="O225" s="63"/>
      <c r="R225" s="56"/>
      <c r="S225" s="56"/>
      <c r="V225" s="194"/>
      <c r="W225" s="197"/>
      <c r="Y225" s="200"/>
      <c r="Z225" s="201"/>
      <c r="AA225" s="198"/>
      <c r="AD225" s="56"/>
      <c r="AE225" s="56"/>
      <c r="AF225" s="56"/>
      <c r="AG225" s="56"/>
      <c r="AH225" s="56"/>
      <c r="AM225" s="63"/>
      <c r="AP225" s="56"/>
      <c r="AQ225" s="56"/>
      <c r="AR225" s="56"/>
      <c r="AS225" s="56"/>
      <c r="AT225" s="56"/>
      <c r="AY225" s="63"/>
      <c r="BB225" s="56"/>
      <c r="BC225" s="56"/>
      <c r="BD225" s="56"/>
      <c r="BE225" s="56"/>
      <c r="BF225" s="56"/>
      <c r="BK225" s="63"/>
      <c r="BN225" s="56"/>
      <c r="BO225" s="56"/>
      <c r="BP225" s="56"/>
      <c r="BQ225" s="56"/>
      <c r="BR225" s="56"/>
    </row>
    <row r="226" spans="15:72" ht="18" customHeight="1">
      <c r="W226" s="197"/>
      <c r="Y226" s="200"/>
      <c r="Z226" s="201"/>
    </row>
    <row r="227" spans="15:72" ht="18" customHeight="1">
      <c r="O227" s="63"/>
      <c r="P227" s="64"/>
      <c r="W227" s="197"/>
      <c r="X227" s="197"/>
      <c r="Y227" s="200"/>
      <c r="Z227" s="201"/>
      <c r="AA227" s="198"/>
      <c r="AB227" s="64"/>
      <c r="AH227" s="531"/>
      <c r="AI227" s="531"/>
      <c r="AJ227" s="531"/>
      <c r="AM227" s="63"/>
      <c r="AN227" s="64"/>
      <c r="AT227" s="531"/>
      <c r="AU227" s="531"/>
      <c r="AV227" s="531"/>
      <c r="AY227" s="63"/>
      <c r="AZ227" s="64"/>
      <c r="BF227" s="531"/>
      <c r="BG227" s="531"/>
      <c r="BH227" s="531"/>
      <c r="BK227" s="63"/>
      <c r="BL227" s="64"/>
      <c r="BR227" s="531"/>
      <c r="BS227" s="531"/>
      <c r="BT227" s="531"/>
    </row>
    <row r="228" spans="15:72" ht="18" customHeight="1">
      <c r="O228" s="63"/>
      <c r="R228" s="56"/>
      <c r="S228" s="56"/>
      <c r="V228" s="194"/>
      <c r="W228" s="197"/>
      <c r="Y228" s="200"/>
      <c r="Z228" s="201"/>
      <c r="AA228" s="198"/>
      <c r="AD228" s="56"/>
      <c r="AE228" s="56"/>
      <c r="AF228" s="56"/>
      <c r="AG228" s="56"/>
      <c r="AH228" s="56"/>
      <c r="AM228" s="63"/>
      <c r="AP228" s="56"/>
      <c r="AQ228" s="56"/>
      <c r="AR228" s="56"/>
      <c r="AS228" s="56"/>
      <c r="AT228" s="56"/>
      <c r="AY228" s="63"/>
      <c r="BB228" s="56"/>
      <c r="BC228" s="56"/>
      <c r="BD228" s="56"/>
      <c r="BE228" s="56"/>
      <c r="BF228" s="56"/>
      <c r="BK228" s="63"/>
      <c r="BN228" s="56"/>
      <c r="BO228" s="56"/>
      <c r="BP228" s="56"/>
      <c r="BQ228" s="56"/>
      <c r="BR228" s="56"/>
    </row>
    <row r="229" spans="15:72" ht="18" customHeight="1">
      <c r="O229" s="63"/>
      <c r="R229" s="56"/>
      <c r="S229" s="56"/>
      <c r="V229" s="194"/>
      <c r="W229" s="197"/>
      <c r="Y229" s="200"/>
      <c r="Z229" s="201"/>
      <c r="AA229" s="198"/>
      <c r="AD229" s="56"/>
      <c r="AE229" s="56"/>
      <c r="AF229" s="56"/>
      <c r="AG229" s="56"/>
      <c r="AH229" s="56"/>
      <c r="AM229" s="63"/>
      <c r="AP229" s="56"/>
      <c r="AQ229" s="56"/>
      <c r="AR229" s="56"/>
      <c r="AS229" s="56"/>
      <c r="AT229" s="56"/>
      <c r="AY229" s="63"/>
      <c r="BB229" s="56"/>
      <c r="BC229" s="56"/>
      <c r="BD229" s="56"/>
      <c r="BE229" s="56"/>
      <c r="BF229" s="56"/>
      <c r="BK229" s="63"/>
      <c r="BN229" s="56"/>
      <c r="BO229" s="56"/>
      <c r="BP229" s="56"/>
      <c r="BQ229" s="56"/>
      <c r="BR229" s="56"/>
    </row>
    <row r="230" spans="15:72" ht="18" customHeight="1">
      <c r="O230" s="63"/>
      <c r="R230" s="56"/>
      <c r="S230" s="56"/>
      <c r="V230" s="194"/>
      <c r="W230" s="197"/>
      <c r="Y230" s="200"/>
      <c r="Z230" s="201"/>
      <c r="AA230" s="198"/>
      <c r="AD230" s="56"/>
      <c r="AE230" s="56"/>
      <c r="AF230" s="56"/>
      <c r="AG230" s="56"/>
      <c r="AH230" s="56"/>
      <c r="AM230" s="63"/>
      <c r="AP230" s="56"/>
      <c r="AQ230" s="56"/>
      <c r="AR230" s="56"/>
      <c r="AS230" s="56"/>
      <c r="AT230" s="56"/>
      <c r="AY230" s="63"/>
      <c r="BB230" s="56"/>
      <c r="BC230" s="56"/>
      <c r="BD230" s="56"/>
      <c r="BE230" s="56"/>
      <c r="BF230" s="56"/>
      <c r="BK230" s="63"/>
      <c r="BN230" s="56"/>
      <c r="BO230" s="56"/>
      <c r="BP230" s="56"/>
      <c r="BQ230" s="56"/>
      <c r="BR230" s="56"/>
    </row>
    <row r="231" spans="15:72" ht="18" customHeight="1">
      <c r="O231" s="63"/>
      <c r="R231" s="56"/>
      <c r="S231" s="56"/>
      <c r="V231" s="194"/>
      <c r="W231" s="197"/>
      <c r="Y231" s="200"/>
      <c r="Z231" s="201"/>
      <c r="AA231" s="198"/>
      <c r="AD231" s="56"/>
      <c r="AE231" s="56"/>
      <c r="AF231" s="56"/>
      <c r="AG231" s="56"/>
      <c r="AH231" s="56"/>
      <c r="AM231" s="63"/>
      <c r="AP231" s="56"/>
      <c r="AQ231" s="56"/>
      <c r="AR231" s="56"/>
      <c r="AS231" s="56"/>
      <c r="AT231" s="56"/>
      <c r="AY231" s="63"/>
      <c r="BB231" s="56"/>
      <c r="BC231" s="56"/>
      <c r="BD231" s="56"/>
      <c r="BE231" s="56"/>
      <c r="BF231" s="56"/>
      <c r="BK231" s="63"/>
      <c r="BN231" s="56"/>
      <c r="BO231" s="56"/>
      <c r="BP231" s="56"/>
      <c r="BQ231" s="56"/>
      <c r="BR231" s="56"/>
    </row>
    <row r="232" spans="15:72" ht="18" customHeight="1">
      <c r="W232" s="197"/>
      <c r="Y232" s="200"/>
      <c r="Z232" s="201"/>
    </row>
    <row r="233" spans="15:72" ht="18" customHeight="1">
      <c r="O233" s="63"/>
      <c r="P233" s="64"/>
      <c r="W233" s="197"/>
      <c r="X233" s="197"/>
      <c r="Y233" s="200"/>
      <c r="Z233" s="201"/>
      <c r="AA233" s="198"/>
      <c r="AB233" s="64"/>
      <c r="AH233" s="531"/>
      <c r="AI233" s="531"/>
      <c r="AJ233" s="531"/>
      <c r="AM233" s="63"/>
      <c r="AN233" s="64"/>
      <c r="AT233" s="531"/>
      <c r="AU233" s="531"/>
      <c r="AV233" s="531"/>
      <c r="AY233" s="63"/>
      <c r="AZ233" s="64"/>
      <c r="BF233" s="531"/>
      <c r="BG233" s="531"/>
      <c r="BH233" s="531"/>
      <c r="BK233" s="63"/>
      <c r="BL233" s="64"/>
      <c r="BR233" s="531"/>
      <c r="BS233" s="531"/>
      <c r="BT233" s="531"/>
    </row>
    <row r="234" spans="15:72" ht="18" customHeight="1">
      <c r="O234" s="63"/>
      <c r="R234" s="56"/>
      <c r="S234" s="56"/>
      <c r="V234" s="194"/>
      <c r="W234" s="197"/>
      <c r="Y234" s="200"/>
      <c r="Z234" s="201"/>
      <c r="AA234" s="198"/>
      <c r="AD234" s="56"/>
      <c r="AE234" s="56"/>
      <c r="AF234" s="56"/>
      <c r="AG234" s="56"/>
      <c r="AH234" s="56"/>
      <c r="AM234" s="63"/>
      <c r="AP234" s="56"/>
      <c r="AQ234" s="56"/>
      <c r="AR234" s="56"/>
      <c r="AS234" s="56"/>
      <c r="AT234" s="56"/>
      <c r="AY234" s="63"/>
      <c r="BB234" s="56"/>
      <c r="BC234" s="56"/>
      <c r="BD234" s="56"/>
      <c r="BE234" s="56"/>
      <c r="BF234" s="56"/>
      <c r="BK234" s="63"/>
      <c r="BN234" s="56"/>
      <c r="BO234" s="56"/>
      <c r="BP234" s="56"/>
      <c r="BQ234" s="56"/>
      <c r="BR234" s="56"/>
    </row>
    <row r="235" spans="15:72" ht="18" customHeight="1">
      <c r="O235" s="63"/>
      <c r="R235" s="56"/>
      <c r="S235" s="56"/>
      <c r="V235" s="194"/>
      <c r="W235" s="197"/>
      <c r="Y235" s="200"/>
      <c r="Z235" s="201"/>
      <c r="AA235" s="198"/>
      <c r="AD235" s="56"/>
      <c r="AE235" s="56"/>
      <c r="AF235" s="56"/>
      <c r="AG235" s="56"/>
      <c r="AH235" s="56"/>
      <c r="AM235" s="63"/>
      <c r="AP235" s="56"/>
      <c r="AQ235" s="56"/>
      <c r="AR235" s="56"/>
      <c r="AS235" s="56"/>
      <c r="AT235" s="56"/>
      <c r="AY235" s="63"/>
      <c r="BB235" s="56"/>
      <c r="BC235" s="56"/>
      <c r="BD235" s="56"/>
      <c r="BE235" s="56"/>
      <c r="BF235" s="56"/>
      <c r="BK235" s="63"/>
      <c r="BN235" s="56"/>
      <c r="BO235" s="56"/>
      <c r="BP235" s="56"/>
      <c r="BQ235" s="56"/>
      <c r="BR235" s="56"/>
    </row>
    <row r="236" spans="15:72" ht="18" customHeight="1">
      <c r="O236" s="63"/>
      <c r="R236" s="56"/>
      <c r="S236" s="56"/>
      <c r="V236" s="194"/>
      <c r="W236" s="197"/>
      <c r="Y236" s="200"/>
      <c r="Z236" s="201"/>
      <c r="AA236" s="198"/>
      <c r="AD236" s="56"/>
      <c r="AE236" s="56"/>
      <c r="AF236" s="56"/>
      <c r="AG236" s="56"/>
      <c r="AH236" s="56"/>
      <c r="AM236" s="63"/>
      <c r="AP236" s="56"/>
      <c r="AQ236" s="56"/>
      <c r="AR236" s="56"/>
      <c r="AS236" s="56"/>
      <c r="AT236" s="56"/>
      <c r="AY236" s="63"/>
      <c r="BB236" s="56"/>
      <c r="BC236" s="56"/>
      <c r="BD236" s="56"/>
      <c r="BE236" s="56"/>
      <c r="BF236" s="56"/>
      <c r="BK236" s="63"/>
      <c r="BN236" s="56"/>
      <c r="BO236" s="56"/>
      <c r="BP236" s="56"/>
      <c r="BQ236" s="56"/>
      <c r="BR236" s="56"/>
    </row>
    <row r="237" spans="15:72" ht="18" customHeight="1">
      <c r="O237" s="63"/>
      <c r="R237" s="56"/>
      <c r="S237" s="56"/>
      <c r="V237" s="194"/>
      <c r="W237" s="197"/>
      <c r="Y237" s="200"/>
      <c r="Z237" s="201"/>
      <c r="AA237" s="198"/>
      <c r="AD237" s="56"/>
      <c r="AE237" s="56"/>
      <c r="AF237" s="56"/>
      <c r="AG237" s="56"/>
      <c r="AH237" s="56"/>
      <c r="AM237" s="63"/>
      <c r="AP237" s="56"/>
      <c r="AQ237" s="56"/>
      <c r="AR237" s="56"/>
      <c r="AS237" s="56"/>
      <c r="AT237" s="56"/>
      <c r="AY237" s="63"/>
      <c r="BB237" s="56"/>
      <c r="BC237" s="56"/>
      <c r="BD237" s="56"/>
      <c r="BE237" s="56"/>
      <c r="BF237" s="56"/>
      <c r="BK237" s="63"/>
      <c r="BN237" s="56"/>
      <c r="BO237" s="56"/>
      <c r="BP237" s="56"/>
      <c r="BQ237" s="56"/>
      <c r="BR237" s="56"/>
    </row>
    <row r="238" spans="15:72" ht="18" customHeight="1">
      <c r="W238" s="197"/>
      <c r="Y238" s="200"/>
      <c r="Z238" s="201"/>
    </row>
    <row r="239" spans="15:72" ht="18" customHeight="1">
      <c r="O239" s="63"/>
      <c r="P239" s="64"/>
      <c r="W239" s="197"/>
      <c r="X239" s="197"/>
      <c r="Y239" s="200"/>
      <c r="Z239" s="201"/>
      <c r="AA239" s="198"/>
      <c r="AB239" s="64"/>
      <c r="AH239" s="531"/>
      <c r="AI239" s="531"/>
      <c r="AJ239" s="531"/>
      <c r="AM239" s="63"/>
      <c r="AN239" s="64"/>
      <c r="AT239" s="531"/>
      <c r="AU239" s="531"/>
      <c r="AV239" s="531"/>
      <c r="AY239" s="63"/>
      <c r="AZ239" s="64"/>
      <c r="BF239" s="531"/>
      <c r="BG239" s="531"/>
      <c r="BH239" s="531"/>
      <c r="BK239" s="63"/>
      <c r="BL239" s="64"/>
      <c r="BR239" s="531"/>
      <c r="BS239" s="531"/>
      <c r="BT239" s="531"/>
    </row>
    <row r="240" spans="15:72" ht="18" customHeight="1">
      <c r="O240" s="63"/>
      <c r="R240" s="56"/>
      <c r="S240" s="56"/>
      <c r="V240" s="194"/>
      <c r="W240" s="197"/>
      <c r="Y240" s="200"/>
      <c r="Z240" s="201"/>
      <c r="AA240" s="198"/>
      <c r="AD240" s="56"/>
      <c r="AE240" s="56"/>
      <c r="AF240" s="56"/>
      <c r="AG240" s="56"/>
      <c r="AH240" s="56"/>
      <c r="AM240" s="63"/>
      <c r="AP240" s="56"/>
      <c r="AQ240" s="56"/>
      <c r="AR240" s="56"/>
      <c r="AS240" s="56"/>
      <c r="AT240" s="56"/>
      <c r="AY240" s="63"/>
      <c r="BB240" s="56"/>
      <c r="BC240" s="56"/>
      <c r="BD240" s="56"/>
      <c r="BE240" s="56"/>
      <c r="BF240" s="56"/>
      <c r="BK240" s="63"/>
      <c r="BN240" s="56"/>
      <c r="BO240" s="56"/>
      <c r="BP240" s="56"/>
      <c r="BQ240" s="56"/>
      <c r="BR240" s="56"/>
    </row>
    <row r="241" spans="15:72" ht="18" customHeight="1">
      <c r="O241" s="63"/>
      <c r="R241" s="56"/>
      <c r="S241" s="56"/>
      <c r="V241" s="194"/>
      <c r="W241" s="197"/>
      <c r="Y241" s="200"/>
      <c r="Z241" s="201"/>
      <c r="AA241" s="198"/>
      <c r="AD241" s="56"/>
      <c r="AE241" s="56"/>
      <c r="AF241" s="56"/>
      <c r="AG241" s="56"/>
      <c r="AH241" s="56"/>
      <c r="AM241" s="63"/>
      <c r="AP241" s="56"/>
      <c r="AQ241" s="56"/>
      <c r="AR241" s="56"/>
      <c r="AS241" s="56"/>
      <c r="AT241" s="56"/>
      <c r="AY241" s="63"/>
      <c r="BB241" s="56"/>
      <c r="BC241" s="56"/>
      <c r="BD241" s="56"/>
      <c r="BE241" s="56"/>
      <c r="BF241" s="56"/>
      <c r="BK241" s="63"/>
      <c r="BN241" s="56"/>
      <c r="BO241" s="56"/>
      <c r="BP241" s="56"/>
      <c r="BQ241" s="56"/>
      <c r="BR241" s="56"/>
    </row>
    <row r="242" spans="15:72" ht="18" customHeight="1">
      <c r="O242" s="63"/>
      <c r="R242" s="56"/>
      <c r="S242" s="56"/>
      <c r="V242" s="194"/>
      <c r="W242" s="197"/>
      <c r="Y242" s="200"/>
      <c r="Z242" s="201"/>
      <c r="AA242" s="198"/>
      <c r="AD242" s="56"/>
      <c r="AE242" s="56"/>
      <c r="AF242" s="56"/>
      <c r="AG242" s="56"/>
      <c r="AH242" s="56"/>
      <c r="AM242" s="63"/>
      <c r="AP242" s="56"/>
      <c r="AQ242" s="56"/>
      <c r="AR242" s="56"/>
      <c r="AS242" s="56"/>
      <c r="AT242" s="56"/>
      <c r="AY242" s="63"/>
      <c r="BB242" s="56"/>
      <c r="BC242" s="56"/>
      <c r="BD242" s="56"/>
      <c r="BE242" s="56"/>
      <c r="BF242" s="56"/>
      <c r="BK242" s="63"/>
      <c r="BN242" s="56"/>
      <c r="BO242" s="56"/>
      <c r="BP242" s="56"/>
      <c r="BQ242" s="56"/>
      <c r="BR242" s="56"/>
    </row>
    <row r="243" spans="15:72" ht="18" customHeight="1">
      <c r="O243" s="63"/>
      <c r="R243" s="56"/>
      <c r="S243" s="56"/>
      <c r="V243" s="194"/>
      <c r="W243" s="197"/>
      <c r="Y243" s="200"/>
      <c r="Z243" s="201"/>
      <c r="AA243" s="198"/>
      <c r="AD243" s="56"/>
      <c r="AE243" s="56"/>
      <c r="AF243" s="56"/>
      <c r="AG243" s="56"/>
      <c r="AH243" s="56"/>
      <c r="AM243" s="63"/>
      <c r="AP243" s="56"/>
      <c r="AQ243" s="56"/>
      <c r="AR243" s="56"/>
      <c r="AS243" s="56"/>
      <c r="AT243" s="56"/>
      <c r="AY243" s="63"/>
      <c r="BB243" s="56"/>
      <c r="BC243" s="56"/>
      <c r="BD243" s="56"/>
      <c r="BE243" s="56"/>
      <c r="BF243" s="56"/>
      <c r="BK243" s="63"/>
      <c r="BN243" s="56"/>
      <c r="BO243" s="56"/>
      <c r="BP243" s="56"/>
      <c r="BQ243" s="56"/>
      <c r="BR243" s="56"/>
    </row>
    <row r="244" spans="15:72" ht="18" customHeight="1">
      <c r="W244" s="197"/>
      <c r="Y244" s="200"/>
      <c r="Z244" s="201"/>
    </row>
    <row r="245" spans="15:72" ht="18" customHeight="1">
      <c r="O245" s="63"/>
      <c r="P245" s="64"/>
      <c r="W245" s="197"/>
      <c r="X245" s="197"/>
      <c r="Y245" s="200"/>
      <c r="Z245" s="201"/>
      <c r="AA245" s="198"/>
      <c r="AB245" s="64"/>
      <c r="AH245" s="531"/>
      <c r="AI245" s="531"/>
      <c r="AJ245" s="531"/>
      <c r="AM245" s="63"/>
      <c r="AN245" s="64"/>
      <c r="AT245" s="531"/>
      <c r="AU245" s="531"/>
      <c r="AV245" s="531"/>
      <c r="AY245" s="63"/>
      <c r="AZ245" s="64"/>
      <c r="BF245" s="531"/>
      <c r="BG245" s="531"/>
      <c r="BH245" s="531"/>
      <c r="BK245" s="63"/>
      <c r="BL245" s="64"/>
      <c r="BR245" s="531"/>
      <c r="BS245" s="531"/>
      <c r="BT245" s="531"/>
    </row>
    <row r="246" spans="15:72" ht="18" customHeight="1">
      <c r="O246" s="63"/>
      <c r="R246" s="56"/>
      <c r="S246" s="56"/>
      <c r="V246" s="194"/>
      <c r="W246" s="197"/>
      <c r="Y246" s="200"/>
      <c r="Z246" s="201"/>
      <c r="AA246" s="198"/>
      <c r="AD246" s="56"/>
      <c r="AE246" s="56"/>
      <c r="AF246" s="56"/>
      <c r="AG246" s="56"/>
      <c r="AH246" s="56"/>
      <c r="AM246" s="63"/>
      <c r="AP246" s="56"/>
      <c r="AQ246" s="56"/>
      <c r="AR246" s="56"/>
      <c r="AS246" s="56"/>
      <c r="AT246" s="56"/>
      <c r="AY246" s="63"/>
      <c r="BB246" s="56"/>
      <c r="BC246" s="56"/>
      <c r="BD246" s="56"/>
      <c r="BE246" s="56"/>
      <c r="BF246" s="56"/>
      <c r="BK246" s="63"/>
      <c r="BN246" s="56"/>
      <c r="BO246" s="56"/>
      <c r="BP246" s="56"/>
      <c r="BQ246" s="56"/>
      <c r="BR246" s="56"/>
    </row>
    <row r="247" spans="15:72" ht="18" customHeight="1">
      <c r="O247" s="63"/>
      <c r="R247" s="56"/>
      <c r="S247" s="56"/>
      <c r="V247" s="194"/>
      <c r="W247" s="197"/>
      <c r="Y247" s="200"/>
      <c r="Z247" s="201"/>
      <c r="AA247" s="198"/>
      <c r="AD247" s="56"/>
      <c r="AE247" s="56"/>
      <c r="AF247" s="56"/>
      <c r="AG247" s="56"/>
      <c r="AH247" s="56"/>
      <c r="AM247" s="63"/>
      <c r="AP247" s="56"/>
      <c r="AQ247" s="56"/>
      <c r="AR247" s="56"/>
      <c r="AS247" s="56"/>
      <c r="AT247" s="56"/>
      <c r="AY247" s="63"/>
      <c r="BB247" s="56"/>
      <c r="BC247" s="56"/>
      <c r="BD247" s="56"/>
      <c r="BE247" s="56"/>
      <c r="BF247" s="56"/>
      <c r="BK247" s="63"/>
      <c r="BN247" s="56"/>
      <c r="BO247" s="56"/>
      <c r="BP247" s="56"/>
      <c r="BQ247" s="56"/>
      <c r="BR247" s="56"/>
    </row>
    <row r="248" spans="15:72" ht="18" customHeight="1">
      <c r="O248" s="63"/>
      <c r="R248" s="56"/>
      <c r="S248" s="56"/>
      <c r="V248" s="194"/>
      <c r="W248" s="197"/>
      <c r="Y248" s="200"/>
      <c r="Z248" s="201"/>
      <c r="AA248" s="198"/>
      <c r="AD248" s="56"/>
      <c r="AE248" s="56"/>
      <c r="AF248" s="56"/>
      <c r="AG248" s="56"/>
      <c r="AH248" s="56"/>
      <c r="AM248" s="63"/>
      <c r="AP248" s="56"/>
      <c r="AQ248" s="56"/>
      <c r="AR248" s="56"/>
      <c r="AS248" s="56"/>
      <c r="AT248" s="56"/>
      <c r="AY248" s="63"/>
      <c r="BB248" s="56"/>
      <c r="BC248" s="56"/>
      <c r="BD248" s="56"/>
      <c r="BE248" s="56"/>
      <c r="BF248" s="56"/>
      <c r="BK248" s="63"/>
      <c r="BN248" s="56"/>
      <c r="BO248" s="56"/>
      <c r="BP248" s="56"/>
      <c r="BQ248" s="56"/>
      <c r="BR248" s="56"/>
    </row>
    <row r="249" spans="15:72" ht="18" customHeight="1">
      <c r="O249" s="63"/>
      <c r="R249" s="56"/>
      <c r="S249" s="56"/>
      <c r="V249" s="194"/>
      <c r="W249" s="197"/>
      <c r="Y249" s="200"/>
      <c r="Z249" s="201"/>
      <c r="AA249" s="198"/>
      <c r="AD249" s="56"/>
      <c r="AE249" s="56"/>
      <c r="AF249" s="56"/>
      <c r="AG249" s="56"/>
      <c r="AH249" s="56"/>
      <c r="AM249" s="63"/>
      <c r="AP249" s="56"/>
      <c r="AQ249" s="56"/>
      <c r="AR249" s="56"/>
      <c r="AS249" s="56"/>
      <c r="AT249" s="56"/>
      <c r="AY249" s="63"/>
      <c r="BB249" s="56"/>
      <c r="BC249" s="56"/>
      <c r="BD249" s="56"/>
      <c r="BE249" s="56"/>
      <c r="BF249" s="56"/>
      <c r="BK249" s="63"/>
      <c r="BN249" s="56"/>
      <c r="BO249" s="56"/>
      <c r="BP249" s="56"/>
      <c r="BQ249" s="56"/>
      <c r="BR249" s="56"/>
    </row>
    <row r="250" spans="15:72" ht="18" customHeight="1">
      <c r="W250" s="197"/>
      <c r="Y250" s="200"/>
      <c r="Z250" s="201"/>
    </row>
    <row r="251" spans="15:72" ht="18" customHeight="1">
      <c r="O251" s="63"/>
      <c r="P251" s="64"/>
      <c r="W251" s="197"/>
      <c r="X251" s="197"/>
      <c r="Y251" s="200"/>
      <c r="Z251" s="201"/>
      <c r="AA251" s="198"/>
      <c r="AB251" s="64"/>
      <c r="AH251" s="531"/>
      <c r="AI251" s="531"/>
      <c r="AJ251" s="531"/>
      <c r="AM251" s="63"/>
      <c r="AN251" s="64"/>
      <c r="AT251" s="531"/>
      <c r="AU251" s="531"/>
      <c r="AV251" s="531"/>
      <c r="AY251" s="63"/>
      <c r="AZ251" s="64"/>
      <c r="BF251" s="531"/>
      <c r="BG251" s="531"/>
      <c r="BH251" s="531"/>
      <c r="BK251" s="63"/>
      <c r="BL251" s="64"/>
      <c r="BR251" s="531"/>
      <c r="BS251" s="531"/>
      <c r="BT251" s="531"/>
    </row>
    <row r="252" spans="15:72" ht="18" customHeight="1">
      <c r="O252" s="63"/>
      <c r="R252" s="56"/>
      <c r="S252" s="56"/>
      <c r="V252" s="194"/>
      <c r="W252" s="197"/>
      <c r="Y252" s="200"/>
      <c r="Z252" s="201"/>
      <c r="AA252" s="198"/>
      <c r="AD252" s="56"/>
      <c r="AE252" s="56"/>
      <c r="AF252" s="56"/>
      <c r="AG252" s="56"/>
      <c r="AH252" s="56"/>
      <c r="AM252" s="63"/>
      <c r="AP252" s="56"/>
      <c r="AQ252" s="56"/>
      <c r="AR252" s="56"/>
      <c r="AS252" s="56"/>
      <c r="AT252" s="56"/>
      <c r="AY252" s="63"/>
      <c r="BB252" s="56"/>
      <c r="BC252" s="56"/>
      <c r="BD252" s="56"/>
      <c r="BE252" s="56"/>
      <c r="BF252" s="56"/>
      <c r="BK252" s="63"/>
      <c r="BN252" s="56"/>
      <c r="BO252" s="56"/>
      <c r="BP252" s="56"/>
      <c r="BQ252" s="56"/>
      <c r="BR252" s="56"/>
    </row>
    <row r="253" spans="15:72" ht="18" customHeight="1">
      <c r="O253" s="63"/>
      <c r="R253" s="56"/>
      <c r="S253" s="56"/>
      <c r="V253" s="194"/>
      <c r="W253" s="197"/>
      <c r="Y253" s="200"/>
      <c r="Z253" s="201"/>
      <c r="AA253" s="198"/>
      <c r="AD253" s="56"/>
      <c r="AE253" s="56"/>
      <c r="AF253" s="56"/>
      <c r="AG253" s="56"/>
      <c r="AH253" s="56"/>
      <c r="AM253" s="63"/>
      <c r="AP253" s="56"/>
      <c r="AQ253" s="56"/>
      <c r="AR253" s="56"/>
      <c r="AS253" s="56"/>
      <c r="AT253" s="56"/>
      <c r="AY253" s="63"/>
      <c r="BB253" s="56"/>
      <c r="BC253" s="56"/>
      <c r="BD253" s="56"/>
      <c r="BE253" s="56"/>
      <c r="BF253" s="56"/>
      <c r="BK253" s="63"/>
      <c r="BN253" s="56"/>
      <c r="BO253" s="56"/>
      <c r="BP253" s="56"/>
      <c r="BQ253" s="56"/>
      <c r="BR253" s="56"/>
    </row>
    <row r="254" spans="15:72" ht="18" customHeight="1">
      <c r="O254" s="63"/>
      <c r="R254" s="56"/>
      <c r="S254" s="56"/>
      <c r="V254" s="194"/>
      <c r="W254" s="197"/>
      <c r="Y254" s="200"/>
      <c r="Z254" s="201"/>
      <c r="AA254" s="198"/>
      <c r="AD254" s="56"/>
      <c r="AE254" s="56"/>
      <c r="AF254" s="56"/>
      <c r="AG254" s="56"/>
      <c r="AH254" s="56"/>
      <c r="AM254" s="63"/>
      <c r="AP254" s="56"/>
      <c r="AQ254" s="56"/>
      <c r="AR254" s="56"/>
      <c r="AS254" s="56"/>
      <c r="AT254" s="56"/>
      <c r="AY254" s="63"/>
      <c r="BB254" s="56"/>
      <c r="BC254" s="56"/>
      <c r="BD254" s="56"/>
      <c r="BE254" s="56"/>
      <c r="BF254" s="56"/>
      <c r="BK254" s="63"/>
      <c r="BN254" s="56"/>
      <c r="BO254" s="56"/>
      <c r="BP254" s="56"/>
      <c r="BQ254" s="56"/>
      <c r="BR254" s="56"/>
    </row>
    <row r="255" spans="15:72" ht="18" customHeight="1">
      <c r="O255" s="63"/>
      <c r="R255" s="56"/>
      <c r="S255" s="56"/>
      <c r="V255" s="194"/>
      <c r="W255" s="197"/>
      <c r="Y255" s="200"/>
      <c r="Z255" s="201"/>
      <c r="AA255" s="198"/>
      <c r="AD255" s="56"/>
      <c r="AE255" s="56"/>
      <c r="AF255" s="56"/>
      <c r="AG255" s="56"/>
      <c r="AH255" s="56"/>
      <c r="AM255" s="63"/>
      <c r="AP255" s="56"/>
      <c r="AQ255" s="56"/>
      <c r="AR255" s="56"/>
      <c r="AS255" s="56"/>
      <c r="AT255" s="56"/>
      <c r="AY255" s="63"/>
      <c r="BB255" s="56"/>
      <c r="BC255" s="56"/>
      <c r="BD255" s="56"/>
      <c r="BE255" s="56"/>
      <c r="BF255" s="56"/>
      <c r="BK255" s="63"/>
      <c r="BN255" s="56"/>
      <c r="BO255" s="56"/>
      <c r="BP255" s="56"/>
      <c r="BQ255" s="56"/>
      <c r="BR255" s="56"/>
    </row>
    <row r="256" spans="15:72" ht="18" customHeight="1">
      <c r="W256" s="197"/>
      <c r="Y256" s="200"/>
      <c r="Z256" s="201"/>
    </row>
    <row r="257" spans="15:72" ht="18" customHeight="1">
      <c r="O257" s="63"/>
      <c r="P257" s="64"/>
      <c r="W257" s="197"/>
      <c r="X257" s="197"/>
      <c r="Y257" s="200"/>
      <c r="Z257" s="201"/>
      <c r="AA257" s="198"/>
      <c r="AB257" s="64"/>
      <c r="AH257" s="531"/>
      <c r="AI257" s="531"/>
      <c r="AJ257" s="531"/>
      <c r="AM257" s="63"/>
      <c r="AN257" s="64"/>
      <c r="AT257" s="531"/>
      <c r="AU257" s="531"/>
      <c r="AV257" s="531"/>
      <c r="AY257" s="63"/>
      <c r="AZ257" s="64"/>
      <c r="BF257" s="531"/>
      <c r="BG257" s="531"/>
      <c r="BH257" s="531"/>
      <c r="BK257" s="63"/>
      <c r="BL257" s="64"/>
      <c r="BR257" s="531"/>
      <c r="BS257" s="531"/>
      <c r="BT257" s="531"/>
    </row>
    <row r="258" spans="15:72" ht="18" customHeight="1">
      <c r="O258" s="63"/>
      <c r="R258" s="56"/>
      <c r="S258" s="56"/>
      <c r="V258" s="194"/>
      <c r="W258" s="197"/>
      <c r="Y258" s="200"/>
      <c r="Z258" s="201"/>
      <c r="AA258" s="198"/>
      <c r="AD258" s="56"/>
      <c r="AE258" s="56"/>
      <c r="AF258" s="56"/>
      <c r="AG258" s="56"/>
      <c r="AH258" s="56"/>
      <c r="AM258" s="63"/>
      <c r="AP258" s="56"/>
      <c r="AQ258" s="56"/>
      <c r="AR258" s="56"/>
      <c r="AS258" s="56"/>
      <c r="AT258" s="56"/>
      <c r="AY258" s="63"/>
      <c r="BB258" s="56"/>
      <c r="BC258" s="56"/>
      <c r="BD258" s="56"/>
      <c r="BE258" s="56"/>
      <c r="BF258" s="56"/>
      <c r="BK258" s="63"/>
      <c r="BN258" s="56"/>
      <c r="BO258" s="56"/>
      <c r="BP258" s="56"/>
      <c r="BQ258" s="56"/>
      <c r="BR258" s="56"/>
    </row>
    <row r="259" spans="15:72" ht="18" customHeight="1">
      <c r="O259" s="63"/>
      <c r="R259" s="56"/>
      <c r="S259" s="56"/>
      <c r="V259" s="194"/>
      <c r="W259" s="197"/>
      <c r="Y259" s="200"/>
      <c r="Z259" s="201"/>
      <c r="AA259" s="198"/>
      <c r="AD259" s="56"/>
      <c r="AE259" s="56"/>
      <c r="AF259" s="56"/>
      <c r="AG259" s="56"/>
      <c r="AH259" s="56"/>
      <c r="AM259" s="63"/>
      <c r="AP259" s="56"/>
      <c r="AQ259" s="56"/>
      <c r="AR259" s="56"/>
      <c r="AS259" s="56"/>
      <c r="AT259" s="56"/>
      <c r="AY259" s="63"/>
      <c r="BB259" s="56"/>
      <c r="BC259" s="56"/>
      <c r="BD259" s="56"/>
      <c r="BE259" s="56"/>
      <c r="BF259" s="56"/>
      <c r="BK259" s="63"/>
      <c r="BN259" s="56"/>
      <c r="BO259" s="56"/>
      <c r="BP259" s="56"/>
      <c r="BQ259" s="56"/>
      <c r="BR259" s="56"/>
    </row>
    <row r="260" spans="15:72" ht="18" customHeight="1">
      <c r="O260" s="63"/>
      <c r="R260" s="56"/>
      <c r="S260" s="56"/>
      <c r="V260" s="194"/>
      <c r="W260" s="197"/>
      <c r="Y260" s="200"/>
      <c r="Z260" s="201"/>
      <c r="AA260" s="198"/>
      <c r="AD260" s="56"/>
      <c r="AE260" s="56"/>
      <c r="AF260" s="56"/>
      <c r="AG260" s="56"/>
      <c r="AH260" s="56"/>
      <c r="AM260" s="63"/>
      <c r="AP260" s="56"/>
      <c r="AQ260" s="56"/>
      <c r="AR260" s="56"/>
      <c r="AS260" s="56"/>
      <c r="AT260" s="56"/>
      <c r="AY260" s="63"/>
      <c r="BB260" s="56"/>
      <c r="BC260" s="56"/>
      <c r="BD260" s="56"/>
      <c r="BE260" s="56"/>
      <c r="BF260" s="56"/>
      <c r="BK260" s="63"/>
      <c r="BN260" s="56"/>
      <c r="BO260" s="56"/>
      <c r="BP260" s="56"/>
      <c r="BQ260" s="56"/>
      <c r="BR260" s="56"/>
    </row>
    <row r="261" spans="15:72" ht="18" customHeight="1">
      <c r="O261" s="63"/>
      <c r="R261" s="56"/>
      <c r="S261" s="56"/>
      <c r="V261" s="194"/>
      <c r="W261" s="197"/>
      <c r="Y261" s="200"/>
      <c r="Z261" s="201"/>
      <c r="AA261" s="198"/>
      <c r="AD261" s="56"/>
      <c r="AE261" s="56"/>
      <c r="AF261" s="56"/>
      <c r="AG261" s="56"/>
      <c r="AH261" s="56"/>
      <c r="AM261" s="63"/>
      <c r="AP261" s="56"/>
      <c r="AQ261" s="56"/>
      <c r="AR261" s="56"/>
      <c r="AS261" s="56"/>
      <c r="AT261" s="56"/>
      <c r="AY261" s="63"/>
      <c r="BB261" s="56"/>
      <c r="BC261" s="56"/>
      <c r="BD261" s="56"/>
      <c r="BE261" s="56"/>
      <c r="BF261" s="56"/>
      <c r="BK261" s="63"/>
      <c r="BN261" s="56"/>
      <c r="BO261" s="56"/>
      <c r="BP261" s="56"/>
      <c r="BQ261" s="56"/>
      <c r="BR261" s="56"/>
    </row>
    <row r="262" spans="15:72" ht="18" customHeight="1">
      <c r="W262" s="197"/>
      <c r="Y262" s="200"/>
      <c r="Z262" s="201"/>
    </row>
    <row r="263" spans="15:72" ht="18" customHeight="1">
      <c r="O263" s="63"/>
      <c r="P263" s="64"/>
      <c r="W263" s="197"/>
      <c r="X263" s="197"/>
      <c r="Y263" s="200"/>
      <c r="Z263" s="201"/>
      <c r="AA263" s="198"/>
      <c r="AB263" s="64"/>
      <c r="AH263" s="531"/>
      <c r="AI263" s="531"/>
      <c r="AJ263" s="531"/>
      <c r="AM263" s="63"/>
      <c r="AN263" s="64"/>
      <c r="AT263" s="531"/>
      <c r="AU263" s="531"/>
      <c r="AV263" s="531"/>
      <c r="AY263" s="63"/>
      <c r="AZ263" s="64"/>
      <c r="BF263" s="531"/>
      <c r="BG263" s="531"/>
      <c r="BH263" s="531"/>
      <c r="BK263" s="63"/>
      <c r="BL263" s="64"/>
      <c r="BR263" s="531"/>
      <c r="BS263" s="531"/>
      <c r="BT263" s="531"/>
    </row>
    <row r="264" spans="15:72" ht="18" customHeight="1">
      <c r="O264" s="63"/>
      <c r="R264" s="56"/>
      <c r="S264" s="56"/>
      <c r="V264" s="194"/>
      <c r="W264" s="197"/>
      <c r="Y264" s="200"/>
      <c r="Z264" s="201"/>
      <c r="AA264" s="198"/>
      <c r="AD264" s="56"/>
      <c r="AE264" s="56"/>
      <c r="AF264" s="56"/>
      <c r="AG264" s="56"/>
      <c r="AH264" s="56"/>
      <c r="AM264" s="63"/>
      <c r="AP264" s="56"/>
      <c r="AQ264" s="56"/>
      <c r="AR264" s="56"/>
      <c r="AS264" s="56"/>
      <c r="AT264" s="56"/>
      <c r="AY264" s="63"/>
      <c r="BB264" s="56"/>
      <c r="BC264" s="56"/>
      <c r="BD264" s="56"/>
      <c r="BE264" s="56"/>
      <c r="BF264" s="56"/>
      <c r="BK264" s="63"/>
      <c r="BN264" s="56"/>
      <c r="BO264" s="56"/>
      <c r="BP264" s="56"/>
      <c r="BQ264" s="56"/>
      <c r="BR264" s="56"/>
    </row>
    <row r="265" spans="15:72" ht="18" customHeight="1">
      <c r="O265" s="63"/>
      <c r="R265" s="56"/>
      <c r="S265" s="56"/>
      <c r="V265" s="194"/>
      <c r="W265" s="197"/>
      <c r="Y265" s="200"/>
      <c r="Z265" s="201"/>
      <c r="AA265" s="198"/>
      <c r="AD265" s="56"/>
      <c r="AE265" s="56"/>
      <c r="AF265" s="56"/>
      <c r="AG265" s="56"/>
      <c r="AH265" s="56"/>
      <c r="AM265" s="63"/>
      <c r="AP265" s="56"/>
      <c r="AQ265" s="56"/>
      <c r="AR265" s="56"/>
      <c r="AS265" s="56"/>
      <c r="AT265" s="56"/>
      <c r="AY265" s="63"/>
      <c r="BB265" s="56"/>
      <c r="BC265" s="56"/>
      <c r="BD265" s="56"/>
      <c r="BE265" s="56"/>
      <c r="BF265" s="56"/>
      <c r="BK265" s="63"/>
      <c r="BN265" s="56"/>
      <c r="BO265" s="56"/>
      <c r="BP265" s="56"/>
      <c r="BQ265" s="56"/>
      <c r="BR265" s="56"/>
    </row>
    <row r="266" spans="15:72" ht="18" customHeight="1">
      <c r="O266" s="63"/>
      <c r="R266" s="56"/>
      <c r="S266" s="56"/>
      <c r="V266" s="194"/>
      <c r="W266" s="197"/>
      <c r="Y266" s="200"/>
      <c r="Z266" s="201"/>
      <c r="AA266" s="198"/>
      <c r="AD266" s="56"/>
      <c r="AE266" s="56"/>
      <c r="AF266" s="56"/>
      <c r="AG266" s="56"/>
      <c r="AH266" s="56"/>
      <c r="AM266" s="63"/>
      <c r="AP266" s="56"/>
      <c r="AQ266" s="56"/>
      <c r="AR266" s="56"/>
      <c r="AS266" s="56"/>
      <c r="AT266" s="56"/>
      <c r="AY266" s="63"/>
      <c r="BB266" s="56"/>
      <c r="BC266" s="56"/>
      <c r="BD266" s="56"/>
      <c r="BE266" s="56"/>
      <c r="BF266" s="56"/>
      <c r="BK266" s="63"/>
      <c r="BN266" s="56"/>
      <c r="BO266" s="56"/>
      <c r="BP266" s="56"/>
      <c r="BQ266" s="56"/>
      <c r="BR266" s="56"/>
    </row>
    <row r="267" spans="15:72" ht="18" customHeight="1">
      <c r="O267" s="63"/>
      <c r="R267" s="56"/>
      <c r="S267" s="56"/>
      <c r="V267" s="194"/>
      <c r="W267" s="197"/>
      <c r="Y267" s="200"/>
      <c r="Z267" s="201"/>
      <c r="AA267" s="198"/>
      <c r="AD267" s="56"/>
      <c r="AE267" s="56"/>
      <c r="AF267" s="56"/>
      <c r="AG267" s="56"/>
      <c r="AH267" s="56"/>
      <c r="AM267" s="63"/>
      <c r="AP267" s="56"/>
      <c r="AQ267" s="56"/>
      <c r="AR267" s="56"/>
      <c r="AS267" s="56"/>
      <c r="AT267" s="56"/>
      <c r="AY267" s="63"/>
      <c r="BB267" s="56"/>
      <c r="BC267" s="56"/>
      <c r="BD267" s="56"/>
      <c r="BE267" s="56"/>
      <c r="BF267" s="56"/>
      <c r="BK267" s="63"/>
      <c r="BN267" s="56"/>
      <c r="BO267" s="56"/>
      <c r="BP267" s="56"/>
      <c r="BQ267" s="56"/>
      <c r="BR267" s="56"/>
    </row>
    <row r="268" spans="15:72" ht="18" customHeight="1">
      <c r="W268" s="197"/>
      <c r="Y268" s="200"/>
      <c r="Z268" s="201"/>
    </row>
    <row r="269" spans="15:72" ht="18" customHeight="1">
      <c r="O269" s="63"/>
      <c r="P269" s="64"/>
      <c r="W269" s="197"/>
      <c r="X269" s="197"/>
      <c r="Y269" s="200"/>
      <c r="Z269" s="201"/>
      <c r="AA269" s="198"/>
      <c r="AB269" s="64"/>
      <c r="AH269" s="531"/>
      <c r="AI269" s="531"/>
      <c r="AJ269" s="531"/>
      <c r="AM269" s="63"/>
      <c r="AN269" s="64"/>
      <c r="AT269" s="531"/>
      <c r="AU269" s="531"/>
      <c r="AV269" s="531"/>
      <c r="AY269" s="63"/>
      <c r="AZ269" s="64"/>
      <c r="BF269" s="531"/>
      <c r="BG269" s="531"/>
      <c r="BH269" s="531"/>
      <c r="BK269" s="63"/>
      <c r="BL269" s="64"/>
      <c r="BR269" s="531"/>
      <c r="BS269" s="531"/>
      <c r="BT269" s="531"/>
    </row>
    <row r="270" spans="15:72" ht="18" customHeight="1">
      <c r="O270" s="63"/>
      <c r="R270" s="56"/>
      <c r="S270" s="56"/>
      <c r="V270" s="194"/>
      <c r="W270" s="197"/>
      <c r="Y270" s="200"/>
      <c r="Z270" s="201"/>
      <c r="AA270" s="198"/>
      <c r="AD270" s="56"/>
      <c r="AE270" s="56"/>
      <c r="AF270" s="56"/>
      <c r="AG270" s="56"/>
      <c r="AH270" s="56"/>
      <c r="AM270" s="63"/>
      <c r="AP270" s="56"/>
      <c r="AQ270" s="56"/>
      <c r="AR270" s="56"/>
      <c r="AS270" s="56"/>
      <c r="AT270" s="56"/>
      <c r="AY270" s="63"/>
      <c r="BB270" s="56"/>
      <c r="BC270" s="56"/>
      <c r="BD270" s="56"/>
      <c r="BE270" s="56"/>
      <c r="BF270" s="56"/>
      <c r="BK270" s="63"/>
      <c r="BN270" s="56"/>
      <c r="BO270" s="56"/>
      <c r="BP270" s="56"/>
      <c r="BQ270" s="56"/>
      <c r="BR270" s="56"/>
    </row>
    <row r="271" spans="15:72" ht="18" customHeight="1">
      <c r="O271" s="63"/>
      <c r="R271" s="56"/>
      <c r="S271" s="56"/>
      <c r="V271" s="194"/>
      <c r="W271" s="197"/>
      <c r="Y271" s="200"/>
      <c r="Z271" s="201"/>
      <c r="AA271" s="198"/>
      <c r="AD271" s="56"/>
      <c r="AE271" s="56"/>
      <c r="AF271" s="56"/>
      <c r="AG271" s="56"/>
      <c r="AH271" s="56"/>
      <c r="AM271" s="63"/>
      <c r="AP271" s="56"/>
      <c r="AQ271" s="56"/>
      <c r="AR271" s="56"/>
      <c r="AS271" s="56"/>
      <c r="AT271" s="56"/>
      <c r="AY271" s="63"/>
      <c r="BB271" s="56"/>
      <c r="BC271" s="56"/>
      <c r="BD271" s="56"/>
      <c r="BE271" s="56"/>
      <c r="BF271" s="56"/>
      <c r="BK271" s="63"/>
      <c r="BN271" s="56"/>
      <c r="BO271" s="56"/>
      <c r="BP271" s="56"/>
      <c r="BQ271" s="56"/>
      <c r="BR271" s="56"/>
    </row>
    <row r="272" spans="15:72" ht="18" customHeight="1">
      <c r="O272" s="63"/>
      <c r="R272" s="56"/>
      <c r="S272" s="56"/>
      <c r="V272" s="194"/>
      <c r="W272" s="197"/>
      <c r="Y272" s="200"/>
      <c r="Z272" s="201"/>
      <c r="AA272" s="198"/>
      <c r="AD272" s="56"/>
      <c r="AE272" s="56"/>
      <c r="AF272" s="56"/>
      <c r="AG272" s="56"/>
      <c r="AH272" s="56"/>
      <c r="AM272" s="63"/>
      <c r="AP272" s="56"/>
      <c r="AQ272" s="56"/>
      <c r="AR272" s="56"/>
      <c r="AS272" s="56"/>
      <c r="AT272" s="56"/>
      <c r="AY272" s="63"/>
      <c r="BB272" s="56"/>
      <c r="BC272" s="56"/>
      <c r="BD272" s="56"/>
      <c r="BE272" s="56"/>
      <c r="BF272" s="56"/>
      <c r="BK272" s="63"/>
      <c r="BN272" s="56"/>
      <c r="BO272" s="56"/>
      <c r="BP272" s="56"/>
      <c r="BQ272" s="56"/>
      <c r="BR272" s="56"/>
    </row>
    <row r="273" spans="15:72" ht="18" customHeight="1">
      <c r="O273" s="63"/>
      <c r="R273" s="56"/>
      <c r="S273" s="56"/>
      <c r="V273" s="194"/>
      <c r="W273" s="197"/>
      <c r="Y273" s="200"/>
      <c r="Z273" s="201"/>
      <c r="AA273" s="198"/>
      <c r="AD273" s="56"/>
      <c r="AE273" s="56"/>
      <c r="AF273" s="56"/>
      <c r="AG273" s="56"/>
      <c r="AH273" s="56"/>
      <c r="AM273" s="63"/>
      <c r="AP273" s="56"/>
      <c r="AQ273" s="56"/>
      <c r="AR273" s="56"/>
      <c r="AS273" s="56"/>
      <c r="AT273" s="56"/>
      <c r="AY273" s="63"/>
      <c r="BB273" s="56"/>
      <c r="BC273" s="56"/>
      <c r="BD273" s="56"/>
      <c r="BE273" s="56"/>
      <c r="BF273" s="56"/>
      <c r="BK273" s="63"/>
      <c r="BN273" s="56"/>
      <c r="BO273" s="56"/>
      <c r="BP273" s="56"/>
      <c r="BQ273" s="56"/>
      <c r="BR273" s="56"/>
    </row>
    <row r="274" spans="15:72" ht="18" customHeight="1">
      <c r="W274" s="197"/>
      <c r="Y274" s="200"/>
      <c r="Z274" s="201"/>
    </row>
    <row r="275" spans="15:72" ht="18" customHeight="1">
      <c r="O275" s="63"/>
      <c r="P275" s="64"/>
      <c r="W275" s="197"/>
      <c r="X275" s="197"/>
      <c r="Y275" s="200"/>
      <c r="Z275" s="201"/>
      <c r="AA275" s="198"/>
      <c r="AB275" s="64"/>
      <c r="AH275" s="531"/>
      <c r="AI275" s="531"/>
      <c r="AJ275" s="531"/>
      <c r="AM275" s="63"/>
      <c r="AN275" s="64"/>
      <c r="AT275" s="531"/>
      <c r="AU275" s="531"/>
      <c r="AV275" s="531"/>
      <c r="AY275" s="63"/>
      <c r="AZ275" s="64"/>
      <c r="BF275" s="531"/>
      <c r="BG275" s="531"/>
      <c r="BH275" s="531"/>
      <c r="BK275" s="63"/>
      <c r="BL275" s="64"/>
      <c r="BR275" s="531"/>
      <c r="BS275" s="531"/>
      <c r="BT275" s="531"/>
    </row>
    <row r="276" spans="15:72" ht="18" customHeight="1">
      <c r="O276" s="63"/>
      <c r="R276" s="56"/>
      <c r="S276" s="56"/>
      <c r="V276" s="194"/>
      <c r="W276" s="197"/>
      <c r="Y276" s="200"/>
      <c r="Z276" s="201"/>
      <c r="AA276" s="198"/>
      <c r="AD276" s="56"/>
      <c r="AE276" s="56"/>
      <c r="AF276" s="56"/>
      <c r="AG276" s="56"/>
      <c r="AH276" s="56"/>
      <c r="AM276" s="63"/>
      <c r="AP276" s="56"/>
      <c r="AQ276" s="56"/>
      <c r="AR276" s="56"/>
      <c r="AS276" s="56"/>
      <c r="AT276" s="56"/>
      <c r="AY276" s="63"/>
      <c r="BB276" s="56"/>
      <c r="BC276" s="56"/>
      <c r="BD276" s="56"/>
      <c r="BE276" s="56"/>
      <c r="BF276" s="56"/>
      <c r="BK276" s="63"/>
      <c r="BN276" s="56"/>
      <c r="BO276" s="56"/>
      <c r="BP276" s="56"/>
      <c r="BQ276" s="56"/>
      <c r="BR276" s="56"/>
    </row>
    <row r="277" spans="15:72" ht="18" customHeight="1">
      <c r="O277" s="63"/>
      <c r="R277" s="56"/>
      <c r="S277" s="56"/>
      <c r="V277" s="194"/>
      <c r="W277" s="197"/>
      <c r="Y277" s="200"/>
      <c r="Z277" s="201"/>
      <c r="AA277" s="198"/>
      <c r="AD277" s="56"/>
      <c r="AE277" s="56"/>
      <c r="AF277" s="56"/>
      <c r="AG277" s="56"/>
      <c r="AH277" s="56"/>
      <c r="AM277" s="63"/>
      <c r="AP277" s="56"/>
      <c r="AQ277" s="56"/>
      <c r="AR277" s="56"/>
      <c r="AS277" s="56"/>
      <c r="AT277" s="56"/>
      <c r="AY277" s="63"/>
      <c r="BB277" s="56"/>
      <c r="BC277" s="56"/>
      <c r="BD277" s="56"/>
      <c r="BE277" s="56"/>
      <c r="BF277" s="56"/>
      <c r="BK277" s="63"/>
      <c r="BN277" s="56"/>
      <c r="BO277" s="56"/>
      <c r="BP277" s="56"/>
      <c r="BQ277" s="56"/>
      <c r="BR277" s="56"/>
    </row>
    <row r="278" spans="15:72" ht="18" customHeight="1">
      <c r="O278" s="63"/>
      <c r="R278" s="56"/>
      <c r="S278" s="56"/>
      <c r="V278" s="194"/>
      <c r="W278" s="197"/>
      <c r="Y278" s="200"/>
      <c r="Z278" s="201"/>
      <c r="AA278" s="198"/>
      <c r="AD278" s="56"/>
      <c r="AE278" s="56"/>
      <c r="AF278" s="56"/>
      <c r="AG278" s="56"/>
      <c r="AH278" s="56"/>
      <c r="AM278" s="63"/>
      <c r="AP278" s="56"/>
      <c r="AQ278" s="56"/>
      <c r="AR278" s="56"/>
      <c r="AS278" s="56"/>
      <c r="AT278" s="56"/>
      <c r="AY278" s="63"/>
      <c r="BB278" s="56"/>
      <c r="BC278" s="56"/>
      <c r="BD278" s="56"/>
      <c r="BE278" s="56"/>
      <c r="BF278" s="56"/>
      <c r="BK278" s="63"/>
      <c r="BN278" s="56"/>
      <c r="BO278" s="56"/>
      <c r="BP278" s="56"/>
      <c r="BQ278" s="56"/>
      <c r="BR278" s="56"/>
    </row>
    <row r="279" spans="15:72" ht="18" customHeight="1">
      <c r="O279" s="63"/>
      <c r="R279" s="56"/>
      <c r="S279" s="56"/>
      <c r="V279" s="194"/>
      <c r="W279" s="197"/>
      <c r="Y279" s="200"/>
      <c r="Z279" s="201"/>
      <c r="AA279" s="198"/>
      <c r="AD279" s="56"/>
      <c r="AE279" s="56"/>
      <c r="AF279" s="56"/>
      <c r="AG279" s="56"/>
      <c r="AH279" s="56"/>
      <c r="AM279" s="63"/>
      <c r="AP279" s="56"/>
      <c r="AQ279" s="56"/>
      <c r="AR279" s="56"/>
      <c r="AS279" s="56"/>
      <c r="AT279" s="56"/>
      <c r="AY279" s="63"/>
      <c r="BB279" s="56"/>
      <c r="BC279" s="56"/>
      <c r="BD279" s="56"/>
      <c r="BE279" s="56"/>
      <c r="BF279" s="56"/>
      <c r="BK279" s="63"/>
      <c r="BN279" s="56"/>
      <c r="BO279" s="56"/>
      <c r="BP279" s="56"/>
      <c r="BQ279" s="56"/>
      <c r="BR279" s="56"/>
    </row>
    <row r="280" spans="15:72" ht="18" customHeight="1">
      <c r="W280" s="197"/>
      <c r="Y280" s="200"/>
      <c r="Z280" s="201"/>
    </row>
    <row r="281" spans="15:72" ht="18" customHeight="1">
      <c r="O281" s="63"/>
      <c r="P281" s="64"/>
      <c r="W281" s="197"/>
      <c r="X281" s="197"/>
      <c r="Y281" s="200"/>
      <c r="Z281" s="201"/>
      <c r="AA281" s="198"/>
      <c r="AB281" s="64"/>
      <c r="AH281" s="531"/>
      <c r="AI281" s="531"/>
      <c r="AJ281" s="531"/>
      <c r="AM281" s="63"/>
      <c r="AN281" s="64"/>
      <c r="AT281" s="531"/>
      <c r="AU281" s="531"/>
      <c r="AV281" s="531"/>
      <c r="AY281" s="63"/>
      <c r="AZ281" s="64"/>
      <c r="BF281" s="531"/>
      <c r="BG281" s="531"/>
      <c r="BH281" s="531"/>
      <c r="BK281" s="63"/>
      <c r="BL281" s="64"/>
      <c r="BR281" s="531"/>
      <c r="BS281" s="531"/>
      <c r="BT281" s="531"/>
    </row>
    <row r="282" spans="15:72" ht="18" customHeight="1">
      <c r="O282" s="63"/>
      <c r="R282" s="56"/>
      <c r="S282" s="56"/>
      <c r="V282" s="194"/>
      <c r="W282" s="197"/>
      <c r="Y282" s="200"/>
      <c r="Z282" s="201"/>
      <c r="AA282" s="198"/>
      <c r="AD282" s="56"/>
      <c r="AE282" s="56"/>
      <c r="AF282" s="56"/>
      <c r="AG282" s="56"/>
      <c r="AH282" s="56"/>
      <c r="AM282" s="63"/>
      <c r="AP282" s="56"/>
      <c r="AQ282" s="56"/>
      <c r="AR282" s="56"/>
      <c r="AS282" s="56"/>
      <c r="AT282" s="56"/>
      <c r="AY282" s="63"/>
      <c r="BB282" s="56"/>
      <c r="BC282" s="56"/>
      <c r="BD282" s="56"/>
      <c r="BE282" s="56"/>
      <c r="BF282" s="56"/>
      <c r="BK282" s="63"/>
      <c r="BN282" s="56"/>
      <c r="BO282" s="56"/>
      <c r="BP282" s="56"/>
      <c r="BQ282" s="56"/>
      <c r="BR282" s="56"/>
    </row>
    <row r="283" spans="15:72" ht="18" customHeight="1">
      <c r="O283" s="63"/>
      <c r="R283" s="56"/>
      <c r="S283" s="56"/>
      <c r="V283" s="194"/>
      <c r="W283" s="197"/>
      <c r="Y283" s="200"/>
      <c r="Z283" s="201"/>
      <c r="AA283" s="198"/>
      <c r="AD283" s="56"/>
      <c r="AE283" s="56"/>
      <c r="AF283" s="56"/>
      <c r="AG283" s="56"/>
      <c r="AH283" s="56"/>
      <c r="AM283" s="63"/>
      <c r="AP283" s="56"/>
      <c r="AQ283" s="56"/>
      <c r="AR283" s="56"/>
      <c r="AS283" s="56"/>
      <c r="AT283" s="56"/>
      <c r="AY283" s="63"/>
      <c r="BB283" s="56"/>
      <c r="BC283" s="56"/>
      <c r="BD283" s="56"/>
      <c r="BE283" s="56"/>
      <c r="BF283" s="56"/>
      <c r="BK283" s="63"/>
      <c r="BN283" s="56"/>
      <c r="BO283" s="56"/>
      <c r="BP283" s="56"/>
      <c r="BQ283" s="56"/>
      <c r="BR283" s="56"/>
    </row>
    <row r="284" spans="15:72" ht="18" customHeight="1">
      <c r="O284" s="63"/>
      <c r="R284" s="56"/>
      <c r="S284" s="56"/>
      <c r="V284" s="194"/>
      <c r="W284" s="197"/>
      <c r="Y284" s="200"/>
      <c r="Z284" s="201"/>
      <c r="AA284" s="198"/>
      <c r="AD284" s="56"/>
      <c r="AE284" s="56"/>
      <c r="AF284" s="56"/>
      <c r="AG284" s="56"/>
      <c r="AH284" s="56"/>
      <c r="AM284" s="63"/>
      <c r="AP284" s="56"/>
      <c r="AQ284" s="56"/>
      <c r="AR284" s="56"/>
      <c r="AS284" s="56"/>
      <c r="AT284" s="56"/>
      <c r="AY284" s="63"/>
      <c r="BB284" s="56"/>
      <c r="BC284" s="56"/>
      <c r="BD284" s="56"/>
      <c r="BE284" s="56"/>
      <c r="BF284" s="56"/>
      <c r="BK284" s="63"/>
      <c r="BN284" s="56"/>
      <c r="BO284" s="56"/>
      <c r="BP284" s="56"/>
      <c r="BQ284" s="56"/>
      <c r="BR284" s="56"/>
    </row>
    <row r="285" spans="15:72" ht="18" customHeight="1">
      <c r="O285" s="63"/>
      <c r="R285" s="56"/>
      <c r="S285" s="56"/>
      <c r="V285" s="194"/>
      <c r="W285" s="197"/>
      <c r="Y285" s="200"/>
      <c r="Z285" s="201"/>
      <c r="AA285" s="198"/>
      <c r="AD285" s="56"/>
      <c r="AE285" s="56"/>
      <c r="AF285" s="56"/>
      <c r="AG285" s="56"/>
      <c r="AH285" s="56"/>
      <c r="AM285" s="63"/>
      <c r="AP285" s="56"/>
      <c r="AQ285" s="56"/>
      <c r="AR285" s="56"/>
      <c r="AS285" s="56"/>
      <c r="AT285" s="56"/>
      <c r="AY285" s="63"/>
      <c r="BB285" s="56"/>
      <c r="BC285" s="56"/>
      <c r="BD285" s="56"/>
      <c r="BE285" s="56"/>
      <c r="BF285" s="56"/>
      <c r="BK285" s="63"/>
      <c r="BN285" s="56"/>
      <c r="BO285" s="56"/>
      <c r="BP285" s="56"/>
      <c r="BQ285" s="56"/>
      <c r="BR285" s="56"/>
    </row>
    <row r="286" spans="15:72" ht="18" customHeight="1">
      <c r="W286" s="197"/>
      <c r="Y286" s="200"/>
      <c r="Z286" s="201"/>
    </row>
    <row r="287" spans="15:72" ht="18" customHeight="1">
      <c r="O287" s="63"/>
      <c r="P287" s="64"/>
      <c r="W287" s="197"/>
      <c r="X287" s="197"/>
      <c r="Y287" s="200"/>
      <c r="Z287" s="201"/>
      <c r="AA287" s="198"/>
      <c r="AB287" s="64"/>
      <c r="AH287" s="531"/>
      <c r="AI287" s="531"/>
      <c r="AJ287" s="531"/>
      <c r="AM287" s="63"/>
      <c r="AN287" s="64"/>
      <c r="AT287" s="531"/>
      <c r="AU287" s="531"/>
      <c r="AV287" s="531"/>
      <c r="AY287" s="63"/>
      <c r="AZ287" s="64"/>
      <c r="BF287" s="531"/>
      <c r="BG287" s="531"/>
      <c r="BH287" s="531"/>
      <c r="BK287" s="63"/>
      <c r="BL287" s="64"/>
      <c r="BR287" s="531"/>
      <c r="BS287" s="531"/>
      <c r="BT287" s="531"/>
    </row>
    <row r="288" spans="15:72" ht="18" customHeight="1">
      <c r="O288" s="63"/>
      <c r="R288" s="56"/>
      <c r="S288" s="56"/>
      <c r="V288" s="194"/>
      <c r="W288" s="197"/>
      <c r="Y288" s="200"/>
      <c r="Z288" s="201"/>
      <c r="AA288" s="198"/>
      <c r="AD288" s="56"/>
      <c r="AE288" s="56"/>
      <c r="AF288" s="56"/>
      <c r="AG288" s="56"/>
      <c r="AH288" s="56"/>
      <c r="AM288" s="63"/>
      <c r="AP288" s="56"/>
      <c r="AQ288" s="56"/>
      <c r="AR288" s="56"/>
      <c r="AS288" s="56"/>
      <c r="AT288" s="56"/>
      <c r="AY288" s="63"/>
      <c r="BB288" s="56"/>
      <c r="BC288" s="56"/>
      <c r="BD288" s="56"/>
      <c r="BE288" s="56"/>
      <c r="BF288" s="56"/>
      <c r="BK288" s="63"/>
      <c r="BN288" s="56"/>
      <c r="BO288" s="56"/>
      <c r="BP288" s="56"/>
      <c r="BQ288" s="56"/>
      <c r="BR288" s="56"/>
    </row>
    <row r="289" spans="15:72" ht="18" customHeight="1">
      <c r="O289" s="63"/>
      <c r="R289" s="56"/>
      <c r="S289" s="56"/>
      <c r="V289" s="194"/>
      <c r="W289" s="197"/>
      <c r="Y289" s="200"/>
      <c r="Z289" s="201"/>
      <c r="AA289" s="198"/>
      <c r="AD289" s="56"/>
      <c r="AE289" s="56"/>
      <c r="AF289" s="56"/>
      <c r="AG289" s="56"/>
      <c r="AH289" s="56"/>
      <c r="AM289" s="63"/>
      <c r="AP289" s="56"/>
      <c r="AQ289" s="56"/>
      <c r="AR289" s="56"/>
      <c r="AS289" s="56"/>
      <c r="AT289" s="56"/>
      <c r="AY289" s="63"/>
      <c r="BB289" s="56"/>
      <c r="BC289" s="56"/>
      <c r="BD289" s="56"/>
      <c r="BE289" s="56"/>
      <c r="BF289" s="56"/>
      <c r="BK289" s="63"/>
      <c r="BN289" s="56"/>
      <c r="BO289" s="56"/>
      <c r="BP289" s="56"/>
      <c r="BQ289" s="56"/>
      <c r="BR289" s="56"/>
    </row>
    <row r="290" spans="15:72" ht="18" customHeight="1">
      <c r="O290" s="63"/>
      <c r="R290" s="56"/>
      <c r="S290" s="56"/>
      <c r="V290" s="194"/>
      <c r="W290" s="197"/>
      <c r="Y290" s="200"/>
      <c r="Z290" s="201"/>
      <c r="AA290" s="198"/>
      <c r="AD290" s="56"/>
      <c r="AE290" s="56"/>
      <c r="AF290" s="56"/>
      <c r="AG290" s="56"/>
      <c r="AH290" s="56"/>
      <c r="AM290" s="63"/>
      <c r="AP290" s="56"/>
      <c r="AQ290" s="56"/>
      <c r="AR290" s="56"/>
      <c r="AS290" s="56"/>
      <c r="AT290" s="56"/>
      <c r="AY290" s="63"/>
      <c r="BB290" s="56"/>
      <c r="BC290" s="56"/>
      <c r="BD290" s="56"/>
      <c r="BE290" s="56"/>
      <c r="BF290" s="56"/>
      <c r="BK290" s="63"/>
      <c r="BN290" s="56"/>
      <c r="BO290" s="56"/>
      <c r="BP290" s="56"/>
      <c r="BQ290" s="56"/>
      <c r="BR290" s="56"/>
    </row>
    <row r="291" spans="15:72" ht="18" customHeight="1">
      <c r="O291" s="63"/>
      <c r="R291" s="56"/>
      <c r="S291" s="56"/>
      <c r="V291" s="194"/>
      <c r="W291" s="197"/>
      <c r="Y291" s="200"/>
      <c r="Z291" s="201"/>
      <c r="AA291" s="198"/>
      <c r="AD291" s="56"/>
      <c r="AE291" s="56"/>
      <c r="AF291" s="56"/>
      <c r="AG291" s="56"/>
      <c r="AH291" s="56"/>
      <c r="AM291" s="63"/>
      <c r="AP291" s="56"/>
      <c r="AQ291" s="56"/>
      <c r="AR291" s="56"/>
      <c r="AS291" s="56"/>
      <c r="AT291" s="56"/>
      <c r="AY291" s="63"/>
      <c r="BB291" s="56"/>
      <c r="BC291" s="56"/>
      <c r="BD291" s="56"/>
      <c r="BE291" s="56"/>
      <c r="BF291" s="56"/>
      <c r="BK291" s="63"/>
      <c r="BN291" s="56"/>
      <c r="BO291" s="56"/>
      <c r="BP291" s="56"/>
      <c r="BQ291" s="56"/>
      <c r="BR291" s="56"/>
    </row>
    <row r="292" spans="15:72" ht="18" customHeight="1">
      <c r="W292" s="197"/>
      <c r="Y292" s="200"/>
      <c r="Z292" s="201"/>
    </row>
    <row r="293" spans="15:72" ht="18" customHeight="1">
      <c r="O293" s="63"/>
      <c r="P293" s="64"/>
      <c r="W293" s="197"/>
      <c r="X293" s="197"/>
      <c r="Y293" s="200"/>
      <c r="Z293" s="201"/>
      <c r="AA293" s="198"/>
      <c r="AB293" s="64"/>
      <c r="AH293" s="531"/>
      <c r="AI293" s="531"/>
      <c r="AJ293" s="531"/>
      <c r="AM293" s="63"/>
      <c r="AN293" s="64"/>
      <c r="AT293" s="531"/>
      <c r="AU293" s="531"/>
      <c r="AV293" s="531"/>
      <c r="AY293" s="63"/>
      <c r="AZ293" s="64"/>
      <c r="BF293" s="531"/>
      <c r="BG293" s="531"/>
      <c r="BH293" s="531"/>
      <c r="BK293" s="63"/>
      <c r="BL293" s="64"/>
      <c r="BR293" s="531"/>
      <c r="BS293" s="531"/>
      <c r="BT293" s="531"/>
    </row>
    <row r="294" spans="15:72" ht="18" customHeight="1">
      <c r="O294" s="63"/>
      <c r="R294" s="56"/>
      <c r="S294" s="56"/>
      <c r="V294" s="194"/>
      <c r="W294" s="197"/>
      <c r="Y294" s="200"/>
      <c r="Z294" s="201"/>
      <c r="AA294" s="198"/>
      <c r="AD294" s="56"/>
      <c r="AE294" s="56"/>
      <c r="AF294" s="56"/>
      <c r="AG294" s="56"/>
      <c r="AH294" s="56"/>
      <c r="AM294" s="63"/>
      <c r="AP294" s="56"/>
      <c r="AQ294" s="56"/>
      <c r="AR294" s="56"/>
      <c r="AS294" s="56"/>
      <c r="AT294" s="56"/>
      <c r="AY294" s="63"/>
      <c r="BB294" s="56"/>
      <c r="BC294" s="56"/>
      <c r="BD294" s="56"/>
      <c r="BE294" s="56"/>
      <c r="BF294" s="56"/>
      <c r="BK294" s="63"/>
      <c r="BN294" s="56"/>
      <c r="BO294" s="56"/>
      <c r="BP294" s="56"/>
      <c r="BQ294" s="56"/>
      <c r="BR294" s="56"/>
    </row>
    <row r="295" spans="15:72" ht="18" customHeight="1">
      <c r="O295" s="63"/>
      <c r="R295" s="56"/>
      <c r="S295" s="56"/>
      <c r="V295" s="194"/>
      <c r="W295" s="197"/>
      <c r="Y295" s="200"/>
      <c r="Z295" s="201"/>
      <c r="AA295" s="198"/>
      <c r="AD295" s="56"/>
      <c r="AE295" s="56"/>
      <c r="AF295" s="56"/>
      <c r="AG295" s="56"/>
      <c r="AH295" s="56"/>
      <c r="AM295" s="63"/>
      <c r="AP295" s="56"/>
      <c r="AQ295" s="56"/>
      <c r="AR295" s="56"/>
      <c r="AS295" s="56"/>
      <c r="AT295" s="56"/>
      <c r="AY295" s="63"/>
      <c r="BB295" s="56"/>
      <c r="BC295" s="56"/>
      <c r="BD295" s="56"/>
      <c r="BE295" s="56"/>
      <c r="BF295" s="56"/>
      <c r="BK295" s="63"/>
      <c r="BN295" s="56"/>
      <c r="BO295" s="56"/>
      <c r="BP295" s="56"/>
      <c r="BQ295" s="56"/>
      <c r="BR295" s="56"/>
    </row>
    <row r="296" spans="15:72" ht="18" customHeight="1">
      <c r="O296" s="63"/>
      <c r="R296" s="56"/>
      <c r="S296" s="56"/>
      <c r="V296" s="194"/>
      <c r="W296" s="197"/>
      <c r="Y296" s="200"/>
      <c r="Z296" s="201"/>
      <c r="AA296" s="198"/>
      <c r="AD296" s="56"/>
      <c r="AE296" s="56"/>
      <c r="AF296" s="56"/>
      <c r="AG296" s="56"/>
      <c r="AH296" s="56"/>
      <c r="AM296" s="63"/>
      <c r="AP296" s="56"/>
      <c r="AQ296" s="56"/>
      <c r="AR296" s="56"/>
      <c r="AS296" s="56"/>
      <c r="AT296" s="56"/>
      <c r="AY296" s="63"/>
      <c r="BB296" s="56"/>
      <c r="BC296" s="56"/>
      <c r="BD296" s="56"/>
      <c r="BE296" s="56"/>
      <c r="BF296" s="56"/>
      <c r="BK296" s="63"/>
      <c r="BN296" s="56"/>
      <c r="BO296" s="56"/>
      <c r="BP296" s="56"/>
      <c r="BQ296" s="56"/>
      <c r="BR296" s="56"/>
    </row>
    <row r="297" spans="15:72" ht="18" customHeight="1">
      <c r="O297" s="63"/>
      <c r="R297" s="56"/>
      <c r="S297" s="56"/>
      <c r="V297" s="194"/>
      <c r="W297" s="197"/>
      <c r="Y297" s="200"/>
      <c r="Z297" s="201"/>
      <c r="AA297" s="198"/>
      <c r="AD297" s="56"/>
      <c r="AE297" s="56"/>
      <c r="AF297" s="56"/>
      <c r="AG297" s="56"/>
      <c r="AH297" s="56"/>
      <c r="AM297" s="63"/>
      <c r="AP297" s="56"/>
      <c r="AQ297" s="56"/>
      <c r="AR297" s="56"/>
      <c r="AS297" s="56"/>
      <c r="AT297" s="56"/>
      <c r="AY297" s="63"/>
      <c r="BB297" s="56"/>
      <c r="BC297" s="56"/>
      <c r="BD297" s="56"/>
      <c r="BE297" s="56"/>
      <c r="BF297" s="56"/>
      <c r="BK297" s="63"/>
      <c r="BN297" s="56"/>
      <c r="BO297" s="56"/>
      <c r="BP297" s="56"/>
      <c r="BQ297" s="56"/>
      <c r="BR297" s="56"/>
    </row>
    <row r="298" spans="15:72" ht="18" customHeight="1">
      <c r="W298" s="197"/>
      <c r="Y298" s="200"/>
      <c r="Z298" s="201"/>
    </row>
    <row r="299" spans="15:72" ht="18" customHeight="1">
      <c r="O299" s="63"/>
      <c r="P299" s="64"/>
      <c r="W299" s="197"/>
      <c r="X299" s="197"/>
      <c r="Y299" s="200"/>
      <c r="Z299" s="201"/>
      <c r="AA299" s="198"/>
      <c r="AB299" s="64"/>
      <c r="AH299" s="531"/>
      <c r="AI299" s="531"/>
      <c r="AJ299" s="531"/>
      <c r="AM299" s="63"/>
      <c r="AN299" s="64"/>
      <c r="AT299" s="531"/>
      <c r="AU299" s="531"/>
      <c r="AV299" s="531"/>
      <c r="AY299" s="63"/>
      <c r="AZ299" s="64"/>
      <c r="BF299" s="531"/>
      <c r="BG299" s="531"/>
      <c r="BH299" s="531"/>
      <c r="BK299" s="63"/>
      <c r="BL299" s="64"/>
      <c r="BR299" s="531"/>
      <c r="BS299" s="531"/>
      <c r="BT299" s="531"/>
    </row>
    <row r="300" spans="15:72" ht="18" customHeight="1">
      <c r="O300" s="63"/>
      <c r="R300" s="56"/>
      <c r="S300" s="56"/>
      <c r="V300" s="194"/>
      <c r="W300" s="197"/>
      <c r="Y300" s="200"/>
      <c r="Z300" s="201"/>
      <c r="AA300" s="198"/>
      <c r="AD300" s="56"/>
      <c r="AE300" s="56"/>
      <c r="AF300" s="56"/>
      <c r="AG300" s="56"/>
      <c r="AH300" s="56"/>
      <c r="AM300" s="63"/>
      <c r="AP300" s="56"/>
      <c r="AQ300" s="56"/>
      <c r="AR300" s="56"/>
      <c r="AS300" s="56"/>
      <c r="AT300" s="56"/>
      <c r="AY300" s="63"/>
      <c r="BB300" s="56"/>
      <c r="BC300" s="56"/>
      <c r="BD300" s="56"/>
      <c r="BE300" s="56"/>
      <c r="BF300" s="56"/>
      <c r="BK300" s="63"/>
      <c r="BN300" s="56"/>
      <c r="BO300" s="56"/>
      <c r="BP300" s="56"/>
      <c r="BQ300" s="56"/>
      <c r="BR300" s="56"/>
    </row>
    <row r="301" spans="15:72" ht="18" customHeight="1">
      <c r="O301" s="63"/>
      <c r="R301" s="56"/>
      <c r="S301" s="56"/>
      <c r="V301" s="194"/>
      <c r="W301" s="197"/>
      <c r="Y301" s="200"/>
      <c r="Z301" s="201"/>
      <c r="AA301" s="198"/>
      <c r="AD301" s="56"/>
      <c r="AE301" s="56"/>
      <c r="AF301" s="56"/>
      <c r="AG301" s="56"/>
      <c r="AH301" s="56"/>
      <c r="AM301" s="63"/>
      <c r="AP301" s="56"/>
      <c r="AQ301" s="56"/>
      <c r="AR301" s="56"/>
      <c r="AS301" s="56"/>
      <c r="AT301" s="56"/>
      <c r="AY301" s="63"/>
      <c r="BB301" s="56"/>
      <c r="BC301" s="56"/>
      <c r="BD301" s="56"/>
      <c r="BE301" s="56"/>
      <c r="BF301" s="56"/>
      <c r="BK301" s="63"/>
      <c r="BN301" s="56"/>
      <c r="BO301" s="56"/>
      <c r="BP301" s="56"/>
      <c r="BQ301" s="56"/>
      <c r="BR301" s="56"/>
    </row>
    <row r="302" spans="15:72" ht="18" customHeight="1">
      <c r="O302" s="63"/>
      <c r="R302" s="56"/>
      <c r="S302" s="56"/>
      <c r="V302" s="194"/>
      <c r="W302" s="197"/>
      <c r="Y302" s="200"/>
      <c r="Z302" s="201"/>
      <c r="AA302" s="198"/>
      <c r="AD302" s="56"/>
      <c r="AE302" s="56"/>
      <c r="AF302" s="56"/>
      <c r="AG302" s="56"/>
      <c r="AH302" s="56"/>
      <c r="AM302" s="63"/>
      <c r="AP302" s="56"/>
      <c r="AQ302" s="56"/>
      <c r="AR302" s="56"/>
      <c r="AS302" s="56"/>
      <c r="AT302" s="56"/>
      <c r="AY302" s="63"/>
      <c r="BB302" s="56"/>
      <c r="BC302" s="56"/>
      <c r="BD302" s="56"/>
      <c r="BE302" s="56"/>
      <c r="BF302" s="56"/>
      <c r="BK302" s="63"/>
      <c r="BN302" s="56"/>
      <c r="BO302" s="56"/>
      <c r="BP302" s="56"/>
      <c r="BQ302" s="56"/>
      <c r="BR302" s="56"/>
    </row>
    <row r="303" spans="15:72" ht="18" customHeight="1">
      <c r="O303" s="63"/>
      <c r="R303" s="56"/>
      <c r="S303" s="56"/>
      <c r="V303" s="194"/>
      <c r="W303" s="197"/>
      <c r="Y303" s="200"/>
      <c r="Z303" s="201"/>
      <c r="AA303" s="198"/>
      <c r="AD303" s="56"/>
      <c r="AE303" s="56"/>
      <c r="AF303" s="56"/>
      <c r="AG303" s="56"/>
      <c r="AH303" s="56"/>
      <c r="AM303" s="63"/>
      <c r="AP303" s="56"/>
      <c r="AQ303" s="56"/>
      <c r="AR303" s="56"/>
      <c r="AS303" s="56"/>
      <c r="AT303" s="56"/>
      <c r="AY303" s="63"/>
      <c r="BB303" s="56"/>
      <c r="BC303" s="56"/>
      <c r="BD303" s="56"/>
      <c r="BE303" s="56"/>
      <c r="BF303" s="56"/>
      <c r="BK303" s="63"/>
      <c r="BN303" s="56"/>
      <c r="BO303" s="56"/>
      <c r="BP303" s="56"/>
      <c r="BQ303" s="56"/>
      <c r="BR303" s="56"/>
    </row>
    <row r="304" spans="15:72" ht="18" customHeight="1">
      <c r="W304" s="197"/>
      <c r="Y304" s="200"/>
      <c r="Z304" s="201"/>
    </row>
    <row r="305" spans="15:72" ht="18" customHeight="1">
      <c r="O305" s="63"/>
      <c r="P305" s="64"/>
      <c r="W305" s="197"/>
      <c r="X305" s="197"/>
      <c r="Y305" s="200"/>
      <c r="Z305" s="201"/>
      <c r="AA305" s="198"/>
      <c r="AB305" s="64"/>
      <c r="AH305" s="531"/>
      <c r="AI305" s="531"/>
      <c r="AJ305" s="531"/>
      <c r="AM305" s="63"/>
      <c r="AN305" s="64"/>
      <c r="AT305" s="531"/>
      <c r="AU305" s="531"/>
      <c r="AV305" s="531"/>
      <c r="AY305" s="63"/>
      <c r="AZ305" s="64"/>
      <c r="BF305" s="531"/>
      <c r="BG305" s="531"/>
      <c r="BH305" s="531"/>
      <c r="BK305" s="63"/>
      <c r="BL305" s="64"/>
      <c r="BR305" s="531"/>
      <c r="BS305" s="531"/>
      <c r="BT305" s="531"/>
    </row>
    <row r="306" spans="15:72" ht="18" customHeight="1">
      <c r="O306" s="63"/>
      <c r="R306" s="56"/>
      <c r="S306" s="56"/>
      <c r="V306" s="194"/>
      <c r="W306" s="197"/>
      <c r="Y306" s="200"/>
      <c r="Z306" s="201"/>
      <c r="AA306" s="198"/>
      <c r="AD306" s="56"/>
      <c r="AE306" s="56"/>
      <c r="AF306" s="56"/>
      <c r="AG306" s="56"/>
      <c r="AH306" s="56"/>
      <c r="AM306" s="63"/>
      <c r="AP306" s="56"/>
      <c r="AQ306" s="56"/>
      <c r="AR306" s="56"/>
      <c r="AS306" s="56"/>
      <c r="AT306" s="56"/>
      <c r="AY306" s="63"/>
      <c r="BB306" s="56"/>
      <c r="BC306" s="56"/>
      <c r="BD306" s="56"/>
      <c r="BE306" s="56"/>
      <c r="BF306" s="56"/>
      <c r="BK306" s="63"/>
      <c r="BN306" s="56"/>
      <c r="BO306" s="56"/>
      <c r="BP306" s="56"/>
      <c r="BQ306" s="56"/>
      <c r="BR306" s="56"/>
    </row>
    <row r="307" spans="15:72" ht="18" customHeight="1">
      <c r="O307" s="63"/>
      <c r="R307" s="56"/>
      <c r="S307" s="56"/>
      <c r="V307" s="194"/>
      <c r="W307" s="197"/>
      <c r="Y307" s="200"/>
      <c r="Z307" s="201"/>
      <c r="AA307" s="198"/>
      <c r="AD307" s="56"/>
      <c r="AE307" s="56"/>
      <c r="AF307" s="56"/>
      <c r="AG307" s="56"/>
      <c r="AH307" s="56"/>
      <c r="AM307" s="63"/>
      <c r="AP307" s="56"/>
      <c r="AQ307" s="56"/>
      <c r="AR307" s="56"/>
      <c r="AS307" s="56"/>
      <c r="AT307" s="56"/>
      <c r="AY307" s="63"/>
      <c r="BB307" s="56"/>
      <c r="BC307" s="56"/>
      <c r="BD307" s="56"/>
      <c r="BE307" s="56"/>
      <c r="BF307" s="56"/>
      <c r="BK307" s="63"/>
      <c r="BN307" s="56"/>
      <c r="BO307" s="56"/>
      <c r="BP307" s="56"/>
      <c r="BQ307" s="56"/>
      <c r="BR307" s="56"/>
    </row>
    <row r="308" spans="15:72" ht="18" customHeight="1">
      <c r="O308" s="63"/>
      <c r="R308" s="56"/>
      <c r="S308" s="56"/>
      <c r="V308" s="194"/>
      <c r="W308" s="197"/>
      <c r="Y308" s="200"/>
      <c r="Z308" s="201"/>
      <c r="AA308" s="198"/>
      <c r="AD308" s="56"/>
      <c r="AE308" s="56"/>
      <c r="AF308" s="56"/>
      <c r="AG308" s="56"/>
      <c r="AH308" s="56"/>
      <c r="AM308" s="63"/>
      <c r="AP308" s="56"/>
      <c r="AQ308" s="56"/>
      <c r="AR308" s="56"/>
      <c r="AS308" s="56"/>
      <c r="AT308" s="56"/>
      <c r="AY308" s="63"/>
      <c r="BB308" s="56"/>
      <c r="BC308" s="56"/>
      <c r="BD308" s="56"/>
      <c r="BE308" s="56"/>
      <c r="BF308" s="56"/>
      <c r="BK308" s="63"/>
      <c r="BN308" s="56"/>
      <c r="BO308" s="56"/>
      <c r="BP308" s="56"/>
      <c r="BQ308" s="56"/>
      <c r="BR308" s="56"/>
    </row>
    <row r="309" spans="15:72" ht="18" customHeight="1">
      <c r="O309" s="63"/>
      <c r="R309" s="56"/>
      <c r="S309" s="56"/>
      <c r="V309" s="194"/>
      <c r="W309" s="197"/>
      <c r="Y309" s="200"/>
      <c r="Z309" s="201"/>
      <c r="AA309" s="198"/>
      <c r="AD309" s="56"/>
      <c r="AE309" s="56"/>
      <c r="AF309" s="56"/>
      <c r="AG309" s="56"/>
      <c r="AH309" s="56"/>
      <c r="AM309" s="63"/>
      <c r="AP309" s="56"/>
      <c r="AQ309" s="56"/>
      <c r="AR309" s="56"/>
      <c r="AS309" s="56"/>
      <c r="AT309" s="56"/>
      <c r="AY309" s="63"/>
      <c r="BB309" s="56"/>
      <c r="BC309" s="56"/>
      <c r="BD309" s="56"/>
      <c r="BE309" s="56"/>
      <c r="BF309" s="56"/>
      <c r="BK309" s="63"/>
      <c r="BN309" s="56"/>
      <c r="BO309" s="56"/>
      <c r="BP309" s="56"/>
      <c r="BQ309" s="56"/>
      <c r="BR309" s="56"/>
    </row>
    <row r="310" spans="15:72" ht="18" customHeight="1">
      <c r="W310" s="197"/>
      <c r="Y310" s="200"/>
      <c r="Z310" s="201"/>
    </row>
    <row r="311" spans="15:72" ht="18" customHeight="1">
      <c r="O311" s="63"/>
      <c r="P311" s="64"/>
      <c r="W311" s="197"/>
      <c r="X311" s="197"/>
      <c r="Y311" s="200"/>
      <c r="Z311" s="201"/>
      <c r="AA311" s="198"/>
      <c r="AB311" s="64"/>
      <c r="AH311" s="531"/>
      <c r="AI311" s="531"/>
      <c r="AJ311" s="531"/>
      <c r="AM311" s="63"/>
      <c r="AN311" s="64"/>
      <c r="AT311" s="531"/>
      <c r="AU311" s="531"/>
      <c r="AV311" s="531"/>
      <c r="AY311" s="63"/>
      <c r="AZ311" s="64"/>
      <c r="BF311" s="531"/>
      <c r="BG311" s="531"/>
      <c r="BH311" s="531"/>
      <c r="BK311" s="63"/>
      <c r="BL311" s="64"/>
      <c r="BR311" s="531"/>
      <c r="BS311" s="531"/>
      <c r="BT311" s="531"/>
    </row>
    <row r="312" spans="15:72" ht="18" customHeight="1">
      <c r="O312" s="63"/>
      <c r="R312" s="56"/>
      <c r="S312" s="56"/>
      <c r="V312" s="194"/>
      <c r="W312" s="197"/>
      <c r="Y312" s="200"/>
      <c r="Z312" s="201"/>
      <c r="AA312" s="198"/>
      <c r="AD312" s="56"/>
      <c r="AE312" s="56"/>
      <c r="AF312" s="56"/>
      <c r="AG312" s="56"/>
      <c r="AH312" s="56"/>
      <c r="AM312" s="63"/>
      <c r="AP312" s="56"/>
      <c r="AQ312" s="56"/>
      <c r="AR312" s="56"/>
      <c r="AS312" s="56"/>
      <c r="AT312" s="56"/>
      <c r="AY312" s="63"/>
      <c r="BB312" s="56"/>
      <c r="BC312" s="56"/>
      <c r="BD312" s="56"/>
      <c r="BE312" s="56"/>
      <c r="BF312" s="56"/>
      <c r="BK312" s="63"/>
      <c r="BN312" s="56"/>
      <c r="BO312" s="56"/>
      <c r="BP312" s="56"/>
      <c r="BQ312" s="56"/>
      <c r="BR312" s="56"/>
    </row>
    <row r="313" spans="15:72" ht="18" customHeight="1">
      <c r="O313" s="63"/>
      <c r="R313" s="56"/>
      <c r="S313" s="56"/>
      <c r="V313" s="194"/>
      <c r="W313" s="197"/>
      <c r="Y313" s="200"/>
      <c r="Z313" s="201"/>
      <c r="AA313" s="198"/>
      <c r="AD313" s="56"/>
      <c r="AE313" s="56"/>
      <c r="AF313" s="56"/>
      <c r="AG313" s="56"/>
      <c r="AH313" s="56"/>
      <c r="AM313" s="63"/>
      <c r="AP313" s="56"/>
      <c r="AQ313" s="56"/>
      <c r="AR313" s="56"/>
      <c r="AS313" s="56"/>
      <c r="AT313" s="56"/>
      <c r="AY313" s="63"/>
      <c r="BB313" s="56"/>
      <c r="BC313" s="56"/>
      <c r="BD313" s="56"/>
      <c r="BE313" s="56"/>
      <c r="BF313" s="56"/>
      <c r="BK313" s="63"/>
      <c r="BN313" s="56"/>
      <c r="BO313" s="56"/>
      <c r="BP313" s="56"/>
      <c r="BQ313" s="56"/>
      <c r="BR313" s="56"/>
    </row>
    <row r="314" spans="15:72" ht="18" customHeight="1">
      <c r="O314" s="63"/>
      <c r="R314" s="56"/>
      <c r="S314" s="56"/>
      <c r="V314" s="194"/>
      <c r="W314" s="197"/>
      <c r="Y314" s="200"/>
      <c r="Z314" s="201"/>
      <c r="AA314" s="198"/>
      <c r="AD314" s="56"/>
      <c r="AE314" s="56"/>
      <c r="AF314" s="56"/>
      <c r="AG314" s="56"/>
      <c r="AH314" s="56"/>
      <c r="AM314" s="63"/>
      <c r="AP314" s="56"/>
      <c r="AQ314" s="56"/>
      <c r="AR314" s="56"/>
      <c r="AS314" s="56"/>
      <c r="AT314" s="56"/>
      <c r="AY314" s="63"/>
      <c r="BB314" s="56"/>
      <c r="BC314" s="56"/>
      <c r="BD314" s="56"/>
      <c r="BE314" s="56"/>
      <c r="BF314" s="56"/>
      <c r="BK314" s="63"/>
      <c r="BN314" s="56"/>
      <c r="BO314" s="56"/>
      <c r="BP314" s="56"/>
      <c r="BQ314" s="56"/>
      <c r="BR314" s="56"/>
    </row>
    <row r="315" spans="15:72" ht="18" customHeight="1">
      <c r="O315" s="63"/>
      <c r="R315" s="56"/>
      <c r="S315" s="56"/>
      <c r="V315" s="194"/>
      <c r="W315" s="197"/>
      <c r="Y315" s="200"/>
      <c r="Z315" s="201"/>
      <c r="AA315" s="198"/>
      <c r="AD315" s="56"/>
      <c r="AE315" s="56"/>
      <c r="AF315" s="56"/>
      <c r="AG315" s="56"/>
      <c r="AH315" s="56"/>
      <c r="AM315" s="63"/>
      <c r="AP315" s="56"/>
      <c r="AQ315" s="56"/>
      <c r="AR315" s="56"/>
      <c r="AS315" s="56"/>
      <c r="AT315" s="56"/>
      <c r="AY315" s="63"/>
      <c r="BB315" s="56"/>
      <c r="BC315" s="56"/>
      <c r="BD315" s="56"/>
      <c r="BE315" s="56"/>
      <c r="BF315" s="56"/>
      <c r="BK315" s="63"/>
      <c r="BN315" s="56"/>
      <c r="BO315" s="56"/>
      <c r="BP315" s="56"/>
      <c r="BQ315" s="56"/>
      <c r="BR315" s="56"/>
    </row>
    <row r="316" spans="15:72" ht="18" customHeight="1">
      <c r="W316" s="197"/>
      <c r="Y316" s="200"/>
      <c r="Z316" s="201"/>
    </row>
    <row r="317" spans="15:72" ht="18" customHeight="1">
      <c r="O317" s="63"/>
      <c r="P317" s="64"/>
      <c r="W317" s="197"/>
      <c r="X317" s="197"/>
      <c r="Y317" s="200"/>
      <c r="Z317" s="201"/>
      <c r="AA317" s="198"/>
      <c r="AB317" s="64"/>
      <c r="AH317" s="531"/>
      <c r="AI317" s="531"/>
      <c r="AJ317" s="531"/>
      <c r="AM317" s="63"/>
      <c r="AN317" s="64"/>
      <c r="AT317" s="531"/>
      <c r="AU317" s="531"/>
      <c r="AV317" s="531"/>
      <c r="AY317" s="63"/>
      <c r="AZ317" s="64"/>
      <c r="BF317" s="531"/>
      <c r="BG317" s="531"/>
      <c r="BH317" s="531"/>
      <c r="BK317" s="63"/>
      <c r="BL317" s="64"/>
      <c r="BR317" s="531"/>
      <c r="BS317" s="531"/>
      <c r="BT317" s="531"/>
    </row>
    <row r="318" spans="15:72" ht="18" customHeight="1">
      <c r="O318" s="63"/>
      <c r="R318" s="56"/>
      <c r="S318" s="56"/>
      <c r="V318" s="194"/>
      <c r="W318" s="197"/>
      <c r="Y318" s="200"/>
      <c r="Z318" s="201"/>
      <c r="AA318" s="198"/>
      <c r="AD318" s="56"/>
      <c r="AE318" s="56"/>
      <c r="AF318" s="56"/>
      <c r="AG318" s="56"/>
      <c r="AH318" s="56"/>
      <c r="AM318" s="63"/>
      <c r="AP318" s="56"/>
      <c r="AQ318" s="56"/>
      <c r="AR318" s="56"/>
      <c r="AS318" s="56"/>
      <c r="AT318" s="56"/>
      <c r="AY318" s="63"/>
      <c r="BB318" s="56"/>
      <c r="BC318" s="56"/>
      <c r="BD318" s="56"/>
      <c r="BE318" s="56"/>
      <c r="BF318" s="56"/>
      <c r="BK318" s="63"/>
      <c r="BN318" s="56"/>
      <c r="BO318" s="56"/>
      <c r="BP318" s="56"/>
      <c r="BQ318" s="56"/>
      <c r="BR318" s="56"/>
    </row>
    <row r="319" spans="15:72" ht="18" customHeight="1">
      <c r="O319" s="63"/>
      <c r="R319" s="56"/>
      <c r="S319" s="56"/>
      <c r="V319" s="194"/>
      <c r="W319" s="197"/>
      <c r="Y319" s="200"/>
      <c r="Z319" s="201"/>
      <c r="AA319" s="198"/>
      <c r="AD319" s="56"/>
      <c r="AE319" s="56"/>
      <c r="AF319" s="56"/>
      <c r="AG319" s="56"/>
      <c r="AH319" s="56"/>
      <c r="AM319" s="63"/>
      <c r="AP319" s="56"/>
      <c r="AQ319" s="56"/>
      <c r="AR319" s="56"/>
      <c r="AS319" s="56"/>
      <c r="AT319" s="56"/>
      <c r="AY319" s="63"/>
      <c r="BB319" s="56"/>
      <c r="BC319" s="56"/>
      <c r="BD319" s="56"/>
      <c r="BE319" s="56"/>
      <c r="BF319" s="56"/>
      <c r="BK319" s="63"/>
      <c r="BN319" s="56"/>
      <c r="BO319" s="56"/>
      <c r="BP319" s="56"/>
      <c r="BQ319" s="56"/>
      <c r="BR319" s="56"/>
    </row>
    <row r="320" spans="15:72" ht="18" customHeight="1">
      <c r="O320" s="63"/>
      <c r="R320" s="56"/>
      <c r="S320" s="56"/>
      <c r="V320" s="194"/>
      <c r="W320" s="197"/>
      <c r="Y320" s="200"/>
      <c r="Z320" s="201"/>
      <c r="AA320" s="198"/>
      <c r="AD320" s="56"/>
      <c r="AE320" s="56"/>
      <c r="AF320" s="56"/>
      <c r="AG320" s="56"/>
      <c r="AH320" s="56"/>
      <c r="AM320" s="63"/>
      <c r="AP320" s="56"/>
      <c r="AQ320" s="56"/>
      <c r="AR320" s="56"/>
      <c r="AS320" s="56"/>
      <c r="AT320" s="56"/>
      <c r="AY320" s="63"/>
      <c r="BB320" s="56"/>
      <c r="BC320" s="56"/>
      <c r="BD320" s="56"/>
      <c r="BE320" s="56"/>
      <c r="BF320" s="56"/>
      <c r="BK320" s="63"/>
      <c r="BN320" s="56"/>
      <c r="BO320" s="56"/>
      <c r="BP320" s="56"/>
      <c r="BQ320" s="56"/>
      <c r="BR320" s="56"/>
    </row>
    <row r="321" spans="15:72" ht="18" customHeight="1">
      <c r="O321" s="63"/>
      <c r="R321" s="56"/>
      <c r="S321" s="56"/>
      <c r="V321" s="194"/>
      <c r="W321" s="197"/>
      <c r="Y321" s="200"/>
      <c r="Z321" s="201"/>
      <c r="AA321" s="198"/>
      <c r="AD321" s="56"/>
      <c r="AE321" s="56"/>
      <c r="AF321" s="56"/>
      <c r="AG321" s="56"/>
      <c r="AH321" s="56"/>
      <c r="AM321" s="63"/>
      <c r="AP321" s="56"/>
      <c r="AQ321" s="56"/>
      <c r="AR321" s="56"/>
      <c r="AS321" s="56"/>
      <c r="AT321" s="56"/>
      <c r="AY321" s="63"/>
      <c r="BB321" s="56"/>
      <c r="BC321" s="56"/>
      <c r="BD321" s="56"/>
      <c r="BE321" s="56"/>
      <c r="BF321" s="56"/>
      <c r="BK321" s="63"/>
      <c r="BN321" s="56"/>
      <c r="BO321" s="56"/>
      <c r="BP321" s="56"/>
      <c r="BQ321" s="56"/>
      <c r="BR321" s="56"/>
    </row>
    <row r="322" spans="15:72" ht="18" customHeight="1">
      <c r="W322" s="197"/>
      <c r="Y322" s="200"/>
      <c r="Z322" s="201"/>
    </row>
    <row r="323" spans="15:72" ht="18" customHeight="1">
      <c r="O323" s="63"/>
      <c r="P323" s="64"/>
      <c r="W323" s="197"/>
      <c r="X323" s="197"/>
      <c r="Y323" s="200"/>
      <c r="Z323" s="201"/>
      <c r="AA323" s="198"/>
      <c r="AB323" s="64"/>
      <c r="AH323" s="531"/>
      <c r="AI323" s="531"/>
      <c r="AJ323" s="531"/>
      <c r="AM323" s="63"/>
      <c r="AN323" s="64"/>
      <c r="AT323" s="531"/>
      <c r="AU323" s="531"/>
      <c r="AV323" s="531"/>
      <c r="AY323" s="63"/>
      <c r="AZ323" s="64"/>
      <c r="BF323" s="531"/>
      <c r="BG323" s="531"/>
      <c r="BH323" s="531"/>
      <c r="BK323" s="63"/>
      <c r="BL323" s="64"/>
      <c r="BR323" s="531"/>
      <c r="BS323" s="531"/>
      <c r="BT323" s="531"/>
    </row>
    <row r="324" spans="15:72" ht="18" customHeight="1">
      <c r="O324" s="63"/>
      <c r="R324" s="56"/>
      <c r="S324" s="56"/>
      <c r="V324" s="194"/>
      <c r="W324" s="197"/>
      <c r="Y324" s="200"/>
      <c r="Z324" s="201"/>
      <c r="AA324" s="198"/>
      <c r="AD324" s="56"/>
      <c r="AE324" s="56"/>
      <c r="AF324" s="56"/>
      <c r="AG324" s="56"/>
      <c r="AH324" s="56"/>
      <c r="AM324" s="63"/>
      <c r="AP324" s="56"/>
      <c r="AQ324" s="56"/>
      <c r="AR324" s="56"/>
      <c r="AS324" s="56"/>
      <c r="AT324" s="56"/>
      <c r="AY324" s="63"/>
      <c r="BB324" s="56"/>
      <c r="BC324" s="56"/>
      <c r="BD324" s="56"/>
      <c r="BE324" s="56"/>
      <c r="BF324" s="56"/>
      <c r="BK324" s="63"/>
      <c r="BN324" s="56"/>
      <c r="BO324" s="56"/>
      <c r="BP324" s="56"/>
      <c r="BQ324" s="56"/>
      <c r="BR324" s="56"/>
    </row>
    <row r="325" spans="15:72" ht="18" customHeight="1">
      <c r="O325" s="63"/>
      <c r="R325" s="56"/>
      <c r="S325" s="56"/>
      <c r="V325" s="194"/>
      <c r="W325" s="197"/>
      <c r="Y325" s="200"/>
      <c r="Z325" s="201"/>
      <c r="AA325" s="198"/>
      <c r="AD325" s="56"/>
      <c r="AE325" s="56"/>
      <c r="AF325" s="56"/>
      <c r="AG325" s="56"/>
      <c r="AH325" s="56"/>
      <c r="AM325" s="63"/>
      <c r="AP325" s="56"/>
      <c r="AQ325" s="56"/>
      <c r="AR325" s="56"/>
      <c r="AS325" s="56"/>
      <c r="AT325" s="56"/>
      <c r="AY325" s="63"/>
      <c r="BB325" s="56"/>
      <c r="BC325" s="56"/>
      <c r="BD325" s="56"/>
      <c r="BE325" s="56"/>
      <c r="BF325" s="56"/>
      <c r="BK325" s="63"/>
      <c r="BN325" s="56"/>
      <c r="BO325" s="56"/>
      <c r="BP325" s="56"/>
      <c r="BQ325" s="56"/>
      <c r="BR325" s="56"/>
    </row>
    <row r="326" spans="15:72" ht="18" customHeight="1">
      <c r="O326" s="63"/>
      <c r="R326" s="56"/>
      <c r="S326" s="56"/>
      <c r="V326" s="194"/>
      <c r="W326" s="197"/>
      <c r="Y326" s="200"/>
      <c r="Z326" s="201"/>
      <c r="AA326" s="198"/>
      <c r="AD326" s="56"/>
      <c r="AE326" s="56"/>
      <c r="AF326" s="56"/>
      <c r="AG326" s="56"/>
      <c r="AH326" s="56"/>
      <c r="AM326" s="63"/>
      <c r="AP326" s="56"/>
      <c r="AQ326" s="56"/>
      <c r="AR326" s="56"/>
      <c r="AS326" s="56"/>
      <c r="AT326" s="56"/>
      <c r="AY326" s="63"/>
      <c r="BB326" s="56"/>
      <c r="BC326" s="56"/>
      <c r="BD326" s="56"/>
      <c r="BE326" s="56"/>
      <c r="BF326" s="56"/>
      <c r="BK326" s="63"/>
      <c r="BN326" s="56"/>
      <c r="BO326" s="56"/>
      <c r="BP326" s="56"/>
      <c r="BQ326" s="56"/>
      <c r="BR326" s="56"/>
    </row>
    <row r="327" spans="15:72" ht="18" customHeight="1">
      <c r="O327" s="63"/>
      <c r="R327" s="56"/>
      <c r="S327" s="56"/>
      <c r="V327" s="194"/>
      <c r="W327" s="197"/>
      <c r="Y327" s="200"/>
      <c r="Z327" s="201"/>
      <c r="AA327" s="198"/>
      <c r="AD327" s="56"/>
      <c r="AE327" s="56"/>
      <c r="AF327" s="56"/>
      <c r="AG327" s="56"/>
      <c r="AH327" s="56"/>
      <c r="AM327" s="63"/>
      <c r="AP327" s="56"/>
      <c r="AQ327" s="56"/>
      <c r="AR327" s="56"/>
      <c r="AS327" s="56"/>
      <c r="AT327" s="56"/>
      <c r="AY327" s="63"/>
      <c r="BB327" s="56"/>
      <c r="BC327" s="56"/>
      <c r="BD327" s="56"/>
      <c r="BE327" s="56"/>
      <c r="BF327" s="56"/>
      <c r="BK327" s="63"/>
      <c r="BN327" s="56"/>
      <c r="BO327" s="56"/>
      <c r="BP327" s="56"/>
      <c r="BQ327" s="56"/>
      <c r="BR327" s="56"/>
    </row>
    <row r="328" spans="15:72" ht="18" customHeight="1">
      <c r="W328" s="197"/>
      <c r="Y328" s="200"/>
      <c r="Z328" s="201"/>
    </row>
    <row r="329" spans="15:72" ht="18" customHeight="1">
      <c r="O329" s="63"/>
      <c r="P329" s="64"/>
      <c r="W329" s="197"/>
      <c r="X329" s="197"/>
      <c r="Y329" s="200"/>
      <c r="Z329" s="201"/>
      <c r="AA329" s="198"/>
      <c r="AB329" s="64"/>
      <c r="AH329" s="531"/>
      <c r="AI329" s="531"/>
      <c r="AJ329" s="531"/>
      <c r="AM329" s="63"/>
      <c r="AN329" s="64"/>
      <c r="AT329" s="531"/>
      <c r="AU329" s="531"/>
      <c r="AV329" s="531"/>
      <c r="AY329" s="63"/>
      <c r="AZ329" s="64"/>
      <c r="BF329" s="531"/>
      <c r="BG329" s="531"/>
      <c r="BH329" s="531"/>
      <c r="BK329" s="63"/>
      <c r="BL329" s="64"/>
      <c r="BR329" s="531"/>
      <c r="BS329" s="531"/>
      <c r="BT329" s="531"/>
    </row>
    <row r="330" spans="15:72" ht="18" customHeight="1">
      <c r="O330" s="63"/>
      <c r="R330" s="56"/>
      <c r="S330" s="56"/>
      <c r="V330" s="194"/>
      <c r="W330" s="197"/>
      <c r="Y330" s="200"/>
      <c r="Z330" s="201"/>
      <c r="AA330" s="198"/>
      <c r="AD330" s="56"/>
      <c r="AE330" s="56"/>
      <c r="AF330" s="56"/>
      <c r="AG330" s="56"/>
      <c r="AH330" s="56"/>
      <c r="AM330" s="63"/>
      <c r="AP330" s="56"/>
      <c r="AQ330" s="56"/>
      <c r="AR330" s="56"/>
      <c r="AS330" s="56"/>
      <c r="AT330" s="56"/>
      <c r="AY330" s="63"/>
      <c r="BB330" s="56"/>
      <c r="BC330" s="56"/>
      <c r="BD330" s="56"/>
      <c r="BE330" s="56"/>
      <c r="BF330" s="56"/>
      <c r="BK330" s="63"/>
      <c r="BN330" s="56"/>
      <c r="BO330" s="56"/>
      <c r="BP330" s="56"/>
      <c r="BQ330" s="56"/>
      <c r="BR330" s="56"/>
    </row>
    <row r="331" spans="15:72" ht="18" customHeight="1">
      <c r="O331" s="63"/>
      <c r="R331" s="56"/>
      <c r="S331" s="56"/>
      <c r="V331" s="194"/>
      <c r="W331" s="197"/>
      <c r="Y331" s="200"/>
      <c r="Z331" s="201"/>
      <c r="AA331" s="198"/>
      <c r="AD331" s="56"/>
      <c r="AE331" s="56"/>
      <c r="AF331" s="56"/>
      <c r="AG331" s="56"/>
      <c r="AH331" s="56"/>
      <c r="AM331" s="63"/>
      <c r="AP331" s="56"/>
      <c r="AQ331" s="56"/>
      <c r="AR331" s="56"/>
      <c r="AS331" s="56"/>
      <c r="AT331" s="56"/>
      <c r="AY331" s="63"/>
      <c r="BB331" s="56"/>
      <c r="BC331" s="56"/>
      <c r="BD331" s="56"/>
      <c r="BE331" s="56"/>
      <c r="BF331" s="56"/>
      <c r="BK331" s="63"/>
      <c r="BN331" s="56"/>
      <c r="BO331" s="56"/>
      <c r="BP331" s="56"/>
      <c r="BQ331" s="56"/>
      <c r="BR331" s="56"/>
    </row>
    <row r="332" spans="15:72" ht="18" customHeight="1">
      <c r="O332" s="63"/>
      <c r="R332" s="56"/>
      <c r="S332" s="56"/>
      <c r="V332" s="194"/>
      <c r="W332" s="197"/>
      <c r="Y332" s="200"/>
      <c r="Z332" s="201"/>
      <c r="AA332" s="198"/>
      <c r="AD332" s="56"/>
      <c r="AE332" s="56"/>
      <c r="AF332" s="56"/>
      <c r="AG332" s="56"/>
      <c r="AH332" s="56"/>
      <c r="AM332" s="63"/>
      <c r="AP332" s="56"/>
      <c r="AQ332" s="56"/>
      <c r="AR332" s="56"/>
      <c r="AS332" s="56"/>
      <c r="AT332" s="56"/>
      <c r="AY332" s="63"/>
      <c r="BB332" s="56"/>
      <c r="BC332" s="56"/>
      <c r="BD332" s="56"/>
      <c r="BE332" s="56"/>
      <c r="BF332" s="56"/>
      <c r="BK332" s="63"/>
      <c r="BN332" s="56"/>
      <c r="BO332" s="56"/>
      <c r="BP332" s="56"/>
      <c r="BQ332" s="56"/>
      <c r="BR332" s="56"/>
    </row>
    <row r="333" spans="15:72" ht="18" customHeight="1">
      <c r="O333" s="63"/>
      <c r="R333" s="56"/>
      <c r="S333" s="56"/>
      <c r="V333" s="194"/>
      <c r="W333" s="197"/>
      <c r="Y333" s="200"/>
      <c r="Z333" s="201"/>
      <c r="AA333" s="198"/>
      <c r="AD333" s="56"/>
      <c r="AE333" s="56"/>
      <c r="AF333" s="56"/>
      <c r="AG333" s="56"/>
      <c r="AH333" s="56"/>
      <c r="AM333" s="63"/>
      <c r="AP333" s="56"/>
      <c r="AQ333" s="56"/>
      <c r="AR333" s="56"/>
      <c r="AS333" s="56"/>
      <c r="AT333" s="56"/>
      <c r="AY333" s="63"/>
      <c r="BB333" s="56"/>
      <c r="BC333" s="56"/>
      <c r="BD333" s="56"/>
      <c r="BE333" s="56"/>
      <c r="BF333" s="56"/>
      <c r="BK333" s="63"/>
      <c r="BN333" s="56"/>
      <c r="BO333" s="56"/>
      <c r="BP333" s="56"/>
      <c r="BQ333" s="56"/>
      <c r="BR333" s="56"/>
    </row>
    <row r="334" spans="15:72" ht="18" customHeight="1">
      <c r="W334" s="197"/>
      <c r="Y334" s="200"/>
      <c r="Z334" s="201"/>
    </row>
    <row r="335" spans="15:72" ht="18" customHeight="1">
      <c r="O335" s="63"/>
      <c r="P335" s="64"/>
      <c r="W335" s="197"/>
      <c r="X335" s="197"/>
      <c r="Y335" s="200"/>
      <c r="Z335" s="201"/>
      <c r="AA335" s="198"/>
      <c r="AB335" s="64"/>
      <c r="AH335" s="531"/>
      <c r="AI335" s="531"/>
      <c r="AJ335" s="531"/>
      <c r="AM335" s="63"/>
      <c r="AN335" s="64"/>
      <c r="AT335" s="531"/>
      <c r="AU335" s="531"/>
      <c r="AV335" s="531"/>
      <c r="AY335" s="63"/>
      <c r="AZ335" s="64"/>
      <c r="BF335" s="531"/>
      <c r="BG335" s="531"/>
      <c r="BH335" s="531"/>
      <c r="BK335" s="63"/>
      <c r="BL335" s="64"/>
      <c r="BR335" s="531"/>
      <c r="BS335" s="531"/>
      <c r="BT335" s="531"/>
    </row>
    <row r="336" spans="15:72" ht="18" customHeight="1">
      <c r="O336" s="63"/>
      <c r="R336" s="56"/>
      <c r="S336" s="56"/>
      <c r="V336" s="194"/>
      <c r="W336" s="197"/>
      <c r="Y336" s="200"/>
      <c r="Z336" s="201"/>
      <c r="AA336" s="198"/>
      <c r="AD336" s="56"/>
      <c r="AE336" s="56"/>
      <c r="AF336" s="56"/>
      <c r="AG336" s="56"/>
      <c r="AH336" s="56"/>
      <c r="AM336" s="63"/>
      <c r="AP336" s="56"/>
      <c r="AQ336" s="56"/>
      <c r="AR336" s="56"/>
      <c r="AS336" s="56"/>
      <c r="AT336" s="56"/>
      <c r="AY336" s="63"/>
      <c r="BB336" s="56"/>
      <c r="BC336" s="56"/>
      <c r="BD336" s="56"/>
      <c r="BE336" s="56"/>
      <c r="BF336" s="56"/>
      <c r="BK336" s="63"/>
      <c r="BN336" s="56"/>
      <c r="BO336" s="56"/>
      <c r="BP336" s="56"/>
      <c r="BQ336" s="56"/>
      <c r="BR336" s="56"/>
    </row>
    <row r="337" spans="15:72" ht="18" customHeight="1">
      <c r="O337" s="63"/>
      <c r="R337" s="56"/>
      <c r="S337" s="56"/>
      <c r="V337" s="194"/>
      <c r="W337" s="197"/>
      <c r="Y337" s="200"/>
      <c r="Z337" s="201"/>
      <c r="AA337" s="198"/>
      <c r="AD337" s="56"/>
      <c r="AE337" s="56"/>
      <c r="AF337" s="56"/>
      <c r="AG337" s="56"/>
      <c r="AH337" s="56"/>
      <c r="AM337" s="63"/>
      <c r="AP337" s="56"/>
      <c r="AQ337" s="56"/>
      <c r="AR337" s="56"/>
      <c r="AS337" s="56"/>
      <c r="AT337" s="56"/>
      <c r="AY337" s="63"/>
      <c r="BB337" s="56"/>
      <c r="BC337" s="56"/>
      <c r="BD337" s="56"/>
      <c r="BE337" s="56"/>
      <c r="BF337" s="56"/>
      <c r="BK337" s="63"/>
      <c r="BN337" s="56"/>
      <c r="BO337" s="56"/>
      <c r="BP337" s="56"/>
      <c r="BQ337" s="56"/>
      <c r="BR337" s="56"/>
    </row>
    <row r="338" spans="15:72" ht="18" customHeight="1">
      <c r="O338" s="63"/>
      <c r="R338" s="56"/>
      <c r="S338" s="56"/>
      <c r="V338" s="194"/>
      <c r="W338" s="197"/>
      <c r="Y338" s="200"/>
      <c r="Z338" s="201"/>
      <c r="AA338" s="198"/>
      <c r="AD338" s="56"/>
      <c r="AE338" s="56"/>
      <c r="AF338" s="56"/>
      <c r="AG338" s="56"/>
      <c r="AH338" s="56"/>
      <c r="AM338" s="63"/>
      <c r="AP338" s="56"/>
      <c r="AQ338" s="56"/>
      <c r="AR338" s="56"/>
      <c r="AS338" s="56"/>
      <c r="AT338" s="56"/>
      <c r="AY338" s="63"/>
      <c r="BB338" s="56"/>
      <c r="BC338" s="56"/>
      <c r="BD338" s="56"/>
      <c r="BE338" s="56"/>
      <c r="BF338" s="56"/>
      <c r="BK338" s="63"/>
      <c r="BN338" s="56"/>
      <c r="BO338" s="56"/>
      <c r="BP338" s="56"/>
      <c r="BQ338" s="56"/>
      <c r="BR338" s="56"/>
    </row>
    <row r="339" spans="15:72" ht="18" customHeight="1">
      <c r="O339" s="63"/>
      <c r="R339" s="56"/>
      <c r="S339" s="56"/>
      <c r="V339" s="194"/>
      <c r="W339" s="197"/>
      <c r="Y339" s="200"/>
      <c r="Z339" s="201"/>
      <c r="AA339" s="198"/>
      <c r="AD339" s="56"/>
      <c r="AE339" s="56"/>
      <c r="AF339" s="56"/>
      <c r="AG339" s="56"/>
      <c r="AH339" s="56"/>
      <c r="AM339" s="63"/>
      <c r="AP339" s="56"/>
      <c r="AQ339" s="56"/>
      <c r="AR339" s="56"/>
      <c r="AS339" s="56"/>
      <c r="AT339" s="56"/>
      <c r="AY339" s="63"/>
      <c r="BB339" s="56"/>
      <c r="BC339" s="56"/>
      <c r="BD339" s="56"/>
      <c r="BE339" s="56"/>
      <c r="BF339" s="56"/>
      <c r="BK339" s="63"/>
      <c r="BN339" s="56"/>
      <c r="BO339" s="56"/>
      <c r="BP339" s="56"/>
      <c r="BQ339" s="56"/>
      <c r="BR339" s="56"/>
    </row>
    <row r="340" spans="15:72" ht="18" customHeight="1">
      <c r="W340" s="197"/>
      <c r="Y340" s="200"/>
      <c r="Z340" s="201"/>
    </row>
    <row r="341" spans="15:72" ht="18" customHeight="1">
      <c r="O341" s="63"/>
      <c r="P341" s="64"/>
      <c r="W341" s="197"/>
      <c r="X341" s="197"/>
      <c r="Y341" s="200"/>
      <c r="Z341" s="201"/>
      <c r="AA341" s="198"/>
      <c r="AB341" s="64"/>
      <c r="AH341" s="531"/>
      <c r="AI341" s="531"/>
      <c r="AJ341" s="531"/>
      <c r="AM341" s="63"/>
      <c r="AN341" s="64"/>
      <c r="AT341" s="531"/>
      <c r="AU341" s="531"/>
      <c r="AV341" s="531"/>
      <c r="AY341" s="63"/>
      <c r="AZ341" s="64"/>
      <c r="BF341" s="531"/>
      <c r="BG341" s="531"/>
      <c r="BH341" s="531"/>
      <c r="BK341" s="63"/>
      <c r="BL341" s="64"/>
      <c r="BR341" s="531"/>
      <c r="BS341" s="531"/>
      <c r="BT341" s="531"/>
    </row>
    <row r="342" spans="15:72" ht="18" customHeight="1">
      <c r="O342" s="63"/>
      <c r="R342" s="56"/>
      <c r="S342" s="56"/>
      <c r="V342" s="194"/>
      <c r="W342" s="197"/>
      <c r="Y342" s="200"/>
      <c r="Z342" s="201"/>
      <c r="AA342" s="198"/>
      <c r="AD342" s="56"/>
      <c r="AE342" s="56"/>
      <c r="AF342" s="56"/>
      <c r="AG342" s="56"/>
      <c r="AH342" s="56"/>
      <c r="AM342" s="63"/>
      <c r="AP342" s="56"/>
      <c r="AQ342" s="56"/>
      <c r="AR342" s="56"/>
      <c r="AS342" s="56"/>
      <c r="AT342" s="56"/>
      <c r="AY342" s="63"/>
      <c r="BB342" s="56"/>
      <c r="BC342" s="56"/>
      <c r="BD342" s="56"/>
      <c r="BE342" s="56"/>
      <c r="BF342" s="56"/>
      <c r="BK342" s="63"/>
      <c r="BN342" s="56"/>
      <c r="BO342" s="56"/>
      <c r="BP342" s="56"/>
      <c r="BQ342" s="56"/>
      <c r="BR342" s="56"/>
    </row>
    <row r="343" spans="15:72" ht="18" customHeight="1">
      <c r="O343" s="63"/>
      <c r="R343" s="56"/>
      <c r="S343" s="56"/>
      <c r="V343" s="194"/>
      <c r="W343" s="197"/>
      <c r="Y343" s="200"/>
      <c r="Z343" s="201"/>
      <c r="AA343" s="198"/>
      <c r="AD343" s="56"/>
      <c r="AE343" s="56"/>
      <c r="AF343" s="56"/>
      <c r="AG343" s="56"/>
      <c r="AH343" s="56"/>
      <c r="AM343" s="63"/>
      <c r="AP343" s="56"/>
      <c r="AQ343" s="56"/>
      <c r="AR343" s="56"/>
      <c r="AS343" s="56"/>
      <c r="AT343" s="56"/>
      <c r="AY343" s="63"/>
      <c r="BB343" s="56"/>
      <c r="BC343" s="56"/>
      <c r="BD343" s="56"/>
      <c r="BE343" s="56"/>
      <c r="BF343" s="56"/>
      <c r="BK343" s="63"/>
      <c r="BN343" s="56"/>
      <c r="BO343" s="56"/>
      <c r="BP343" s="56"/>
      <c r="BQ343" s="56"/>
      <c r="BR343" s="56"/>
    </row>
    <row r="344" spans="15:72" ht="18" customHeight="1">
      <c r="O344" s="63"/>
      <c r="R344" s="56"/>
      <c r="S344" s="56"/>
      <c r="V344" s="194"/>
      <c r="W344" s="197"/>
      <c r="Y344" s="200"/>
      <c r="Z344" s="201"/>
      <c r="AA344" s="198"/>
      <c r="AD344" s="56"/>
      <c r="AE344" s="56"/>
      <c r="AF344" s="56"/>
      <c r="AG344" s="56"/>
      <c r="AH344" s="56"/>
      <c r="AM344" s="63"/>
      <c r="AP344" s="56"/>
      <c r="AQ344" s="56"/>
      <c r="AR344" s="56"/>
      <c r="AS344" s="56"/>
      <c r="AT344" s="56"/>
      <c r="AY344" s="63"/>
      <c r="BB344" s="56"/>
      <c r="BC344" s="56"/>
      <c r="BD344" s="56"/>
      <c r="BE344" s="56"/>
      <c r="BF344" s="56"/>
      <c r="BK344" s="63"/>
      <c r="BN344" s="56"/>
      <c r="BO344" s="56"/>
      <c r="BP344" s="56"/>
      <c r="BQ344" s="56"/>
      <c r="BR344" s="56"/>
    </row>
    <row r="345" spans="15:72" ht="18" customHeight="1">
      <c r="O345" s="63"/>
      <c r="R345" s="56"/>
      <c r="S345" s="56"/>
      <c r="V345" s="194"/>
      <c r="W345" s="197"/>
      <c r="Y345" s="200"/>
      <c r="Z345" s="201"/>
      <c r="AA345" s="198"/>
      <c r="AD345" s="56"/>
      <c r="AE345" s="56"/>
      <c r="AF345" s="56"/>
      <c r="AG345" s="56"/>
      <c r="AH345" s="56"/>
      <c r="AM345" s="63"/>
      <c r="AP345" s="56"/>
      <c r="AQ345" s="56"/>
      <c r="AR345" s="56"/>
      <c r="AS345" s="56"/>
      <c r="AT345" s="56"/>
      <c r="AY345" s="63"/>
      <c r="BB345" s="56"/>
      <c r="BC345" s="56"/>
      <c r="BD345" s="56"/>
      <c r="BE345" s="56"/>
      <c r="BF345" s="56"/>
      <c r="BK345" s="63"/>
      <c r="BN345" s="56"/>
      <c r="BO345" s="56"/>
      <c r="BP345" s="56"/>
      <c r="BQ345" s="56"/>
      <c r="BR345" s="56"/>
    </row>
    <row r="346" spans="15:72" ht="18" customHeight="1">
      <c r="W346" s="197"/>
      <c r="Y346" s="200"/>
      <c r="Z346" s="201"/>
    </row>
    <row r="347" spans="15:72" ht="18" customHeight="1">
      <c r="O347" s="63"/>
      <c r="P347" s="64"/>
      <c r="W347" s="197"/>
      <c r="X347" s="197"/>
      <c r="Y347" s="200"/>
      <c r="Z347" s="201"/>
      <c r="AA347" s="198"/>
      <c r="AB347" s="64"/>
      <c r="AH347" s="531"/>
      <c r="AI347" s="531"/>
      <c r="AJ347" s="531"/>
      <c r="AM347" s="63"/>
      <c r="AN347" s="64"/>
      <c r="AT347" s="531"/>
      <c r="AU347" s="531"/>
      <c r="AV347" s="531"/>
      <c r="AY347" s="63"/>
      <c r="AZ347" s="64"/>
      <c r="BF347" s="531"/>
      <c r="BG347" s="531"/>
      <c r="BH347" s="531"/>
      <c r="BK347" s="63"/>
      <c r="BL347" s="64"/>
      <c r="BR347" s="531"/>
      <c r="BS347" s="531"/>
      <c r="BT347" s="531"/>
    </row>
    <row r="348" spans="15:72" ht="18" customHeight="1">
      <c r="O348" s="63"/>
      <c r="R348" s="56"/>
      <c r="S348" s="56"/>
      <c r="V348" s="194"/>
      <c r="W348" s="197"/>
      <c r="Y348" s="200"/>
      <c r="Z348" s="201"/>
      <c r="AA348" s="198"/>
      <c r="AD348" s="56"/>
      <c r="AE348" s="56"/>
      <c r="AF348" s="56"/>
      <c r="AG348" s="56"/>
      <c r="AH348" s="56"/>
      <c r="AM348" s="63"/>
      <c r="AP348" s="56"/>
      <c r="AQ348" s="56"/>
      <c r="AR348" s="56"/>
      <c r="AS348" s="56"/>
      <c r="AT348" s="56"/>
      <c r="AY348" s="63"/>
      <c r="BB348" s="56"/>
      <c r="BC348" s="56"/>
      <c r="BD348" s="56"/>
      <c r="BE348" s="56"/>
      <c r="BF348" s="56"/>
      <c r="BK348" s="63"/>
      <c r="BN348" s="56"/>
      <c r="BO348" s="56"/>
      <c r="BP348" s="56"/>
      <c r="BQ348" s="56"/>
      <c r="BR348" s="56"/>
    </row>
    <row r="349" spans="15:72" ht="18" customHeight="1">
      <c r="O349" s="63"/>
      <c r="R349" s="56"/>
      <c r="S349" s="56"/>
      <c r="V349" s="194"/>
      <c r="W349" s="197"/>
      <c r="Y349" s="200"/>
      <c r="Z349" s="201"/>
      <c r="AA349" s="198"/>
      <c r="AD349" s="56"/>
      <c r="AE349" s="56"/>
      <c r="AF349" s="56"/>
      <c r="AG349" s="56"/>
      <c r="AH349" s="56"/>
      <c r="AM349" s="63"/>
      <c r="AP349" s="56"/>
      <c r="AQ349" s="56"/>
      <c r="AR349" s="56"/>
      <c r="AS349" s="56"/>
      <c r="AT349" s="56"/>
      <c r="AY349" s="63"/>
      <c r="BB349" s="56"/>
      <c r="BC349" s="56"/>
      <c r="BD349" s="56"/>
      <c r="BE349" s="56"/>
      <c r="BF349" s="56"/>
      <c r="BK349" s="63"/>
      <c r="BN349" s="56"/>
      <c r="BO349" s="56"/>
      <c r="BP349" s="56"/>
      <c r="BQ349" s="56"/>
      <c r="BR349" s="56"/>
    </row>
    <row r="350" spans="15:72" ht="18" customHeight="1">
      <c r="O350" s="63"/>
      <c r="R350" s="56"/>
      <c r="S350" s="56"/>
      <c r="V350" s="194"/>
      <c r="W350" s="197"/>
      <c r="Y350" s="200"/>
      <c r="Z350" s="201"/>
      <c r="AA350" s="198"/>
      <c r="AD350" s="56"/>
      <c r="AE350" s="56"/>
      <c r="AF350" s="56"/>
      <c r="AG350" s="56"/>
      <c r="AH350" s="56"/>
      <c r="AM350" s="63"/>
      <c r="AP350" s="56"/>
      <c r="AQ350" s="56"/>
      <c r="AR350" s="56"/>
      <c r="AS350" s="56"/>
      <c r="AT350" s="56"/>
      <c r="AY350" s="63"/>
      <c r="BB350" s="56"/>
      <c r="BC350" s="56"/>
      <c r="BD350" s="56"/>
      <c r="BE350" s="56"/>
      <c r="BF350" s="56"/>
      <c r="BK350" s="63"/>
      <c r="BN350" s="56"/>
      <c r="BO350" s="56"/>
      <c r="BP350" s="56"/>
      <c r="BQ350" s="56"/>
      <c r="BR350" s="56"/>
    </row>
    <row r="351" spans="15:72" ht="18" customHeight="1">
      <c r="O351" s="63"/>
      <c r="R351" s="56"/>
      <c r="S351" s="56"/>
      <c r="V351" s="194"/>
      <c r="W351" s="197"/>
      <c r="Y351" s="200"/>
      <c r="Z351" s="201"/>
      <c r="AA351" s="198"/>
      <c r="AD351" s="56"/>
      <c r="AE351" s="56"/>
      <c r="AF351" s="56"/>
      <c r="AG351" s="56"/>
      <c r="AH351" s="56"/>
      <c r="AM351" s="63"/>
      <c r="AP351" s="56"/>
      <c r="AQ351" s="56"/>
      <c r="AR351" s="56"/>
      <c r="AS351" s="56"/>
      <c r="AT351" s="56"/>
      <c r="AY351" s="63"/>
      <c r="BB351" s="56"/>
      <c r="BC351" s="56"/>
      <c r="BD351" s="56"/>
      <c r="BE351" s="56"/>
      <c r="BF351" s="56"/>
      <c r="BK351" s="63"/>
      <c r="BN351" s="56"/>
      <c r="BO351" s="56"/>
      <c r="BP351" s="56"/>
      <c r="BQ351" s="56"/>
      <c r="BR351" s="56"/>
    </row>
    <row r="352" spans="15:72" ht="18" customHeight="1">
      <c r="W352" s="197"/>
      <c r="Y352" s="200"/>
      <c r="Z352" s="201"/>
    </row>
    <row r="353" spans="15:72" ht="18" customHeight="1">
      <c r="O353" s="63"/>
      <c r="P353" s="64"/>
      <c r="W353" s="197"/>
      <c r="X353" s="197"/>
      <c r="Y353" s="200"/>
      <c r="Z353" s="201"/>
      <c r="AA353" s="198"/>
      <c r="AB353" s="64"/>
      <c r="AH353" s="531"/>
      <c r="AI353" s="531"/>
      <c r="AJ353" s="531"/>
      <c r="AM353" s="63"/>
      <c r="AN353" s="64"/>
      <c r="AT353" s="531"/>
      <c r="AU353" s="531"/>
      <c r="AV353" s="531"/>
      <c r="AY353" s="63"/>
      <c r="AZ353" s="64"/>
      <c r="BF353" s="531"/>
      <c r="BG353" s="531"/>
      <c r="BH353" s="531"/>
      <c r="BK353" s="63"/>
      <c r="BL353" s="64"/>
      <c r="BR353" s="531"/>
      <c r="BS353" s="531"/>
      <c r="BT353" s="531"/>
    </row>
    <row r="354" spans="15:72" ht="18" customHeight="1">
      <c r="O354" s="63"/>
      <c r="R354" s="56"/>
      <c r="S354" s="56"/>
      <c r="V354" s="194"/>
      <c r="W354" s="197"/>
      <c r="Y354" s="200"/>
      <c r="Z354" s="201"/>
      <c r="AA354" s="198"/>
      <c r="AD354" s="56"/>
      <c r="AE354" s="56"/>
      <c r="AF354" s="56"/>
      <c r="AG354" s="56"/>
      <c r="AH354" s="56"/>
      <c r="AM354" s="63"/>
      <c r="AP354" s="56"/>
      <c r="AQ354" s="56"/>
      <c r="AR354" s="56"/>
      <c r="AS354" s="56"/>
      <c r="AT354" s="56"/>
      <c r="AY354" s="63"/>
      <c r="BB354" s="56"/>
      <c r="BC354" s="56"/>
      <c r="BD354" s="56"/>
      <c r="BE354" s="56"/>
      <c r="BF354" s="56"/>
      <c r="BK354" s="63"/>
      <c r="BN354" s="56"/>
      <c r="BO354" s="56"/>
      <c r="BP354" s="56"/>
      <c r="BQ354" s="56"/>
      <c r="BR354" s="56"/>
    </row>
    <row r="355" spans="15:72" ht="18" customHeight="1">
      <c r="O355" s="63"/>
      <c r="R355" s="56"/>
      <c r="S355" s="56"/>
      <c r="V355" s="194"/>
      <c r="W355" s="197"/>
      <c r="Y355" s="200"/>
      <c r="Z355" s="201"/>
      <c r="AA355" s="198"/>
      <c r="AD355" s="56"/>
      <c r="AE355" s="56"/>
      <c r="AF355" s="56"/>
      <c r="AG355" s="56"/>
      <c r="AH355" s="56"/>
      <c r="AM355" s="63"/>
      <c r="AP355" s="56"/>
      <c r="AQ355" s="56"/>
      <c r="AR355" s="56"/>
      <c r="AS355" s="56"/>
      <c r="AT355" s="56"/>
      <c r="AY355" s="63"/>
      <c r="BB355" s="56"/>
      <c r="BC355" s="56"/>
      <c r="BD355" s="56"/>
      <c r="BE355" s="56"/>
      <c r="BF355" s="56"/>
      <c r="BK355" s="63"/>
      <c r="BN355" s="56"/>
      <c r="BO355" s="56"/>
      <c r="BP355" s="56"/>
      <c r="BQ355" s="56"/>
      <c r="BR355" s="56"/>
    </row>
    <row r="356" spans="15:72" ht="18" customHeight="1">
      <c r="O356" s="63"/>
      <c r="R356" s="56"/>
      <c r="S356" s="56"/>
      <c r="V356" s="194"/>
      <c r="W356" s="197"/>
      <c r="Y356" s="200"/>
      <c r="Z356" s="201"/>
      <c r="AA356" s="198"/>
      <c r="AD356" s="56"/>
      <c r="AE356" s="56"/>
      <c r="AF356" s="56"/>
      <c r="AG356" s="56"/>
      <c r="AH356" s="56"/>
      <c r="AM356" s="63"/>
      <c r="AP356" s="56"/>
      <c r="AQ356" s="56"/>
      <c r="AR356" s="56"/>
      <c r="AS356" s="56"/>
      <c r="AT356" s="56"/>
      <c r="AY356" s="63"/>
      <c r="BB356" s="56"/>
      <c r="BC356" s="56"/>
      <c r="BD356" s="56"/>
      <c r="BE356" s="56"/>
      <c r="BF356" s="56"/>
      <c r="BK356" s="63"/>
      <c r="BN356" s="56"/>
      <c r="BO356" s="56"/>
      <c r="BP356" s="56"/>
      <c r="BQ356" s="56"/>
      <c r="BR356" s="56"/>
    </row>
    <row r="357" spans="15:72" ht="18" customHeight="1">
      <c r="O357" s="63"/>
      <c r="R357" s="56"/>
      <c r="S357" s="56"/>
      <c r="V357" s="194"/>
      <c r="W357" s="197"/>
      <c r="Y357" s="200"/>
      <c r="Z357" s="201"/>
      <c r="AA357" s="198"/>
      <c r="AD357" s="56"/>
      <c r="AE357" s="56"/>
      <c r="AF357" s="56"/>
      <c r="AG357" s="56"/>
      <c r="AH357" s="56"/>
      <c r="AM357" s="63"/>
      <c r="AP357" s="56"/>
      <c r="AQ357" s="56"/>
      <c r="AR357" s="56"/>
      <c r="AS357" s="56"/>
      <c r="AT357" s="56"/>
      <c r="AY357" s="63"/>
      <c r="BB357" s="56"/>
      <c r="BC357" s="56"/>
      <c r="BD357" s="56"/>
      <c r="BE357" s="56"/>
      <c r="BF357" s="56"/>
      <c r="BK357" s="63"/>
      <c r="BN357" s="56"/>
      <c r="BO357" s="56"/>
      <c r="BP357" s="56"/>
      <c r="BQ357" s="56"/>
      <c r="BR357" s="56"/>
    </row>
    <row r="358" spans="15:72" ht="18" customHeight="1">
      <c r="W358" s="197"/>
      <c r="Y358" s="200"/>
      <c r="Z358" s="201"/>
    </row>
    <row r="359" spans="15:72" ht="18" customHeight="1">
      <c r="O359" s="63"/>
      <c r="P359" s="64"/>
      <c r="W359" s="197"/>
      <c r="X359" s="197"/>
      <c r="Y359" s="200"/>
      <c r="Z359" s="201"/>
      <c r="AA359" s="198"/>
      <c r="AB359" s="64"/>
      <c r="AH359" s="531"/>
      <c r="AI359" s="531"/>
      <c r="AJ359" s="531"/>
      <c r="AM359" s="63"/>
      <c r="AN359" s="64"/>
      <c r="AT359" s="531"/>
      <c r="AU359" s="531"/>
      <c r="AV359" s="531"/>
      <c r="AY359" s="63"/>
      <c r="AZ359" s="64"/>
      <c r="BF359" s="531"/>
      <c r="BG359" s="531"/>
      <c r="BH359" s="531"/>
      <c r="BK359" s="63"/>
      <c r="BL359" s="64"/>
      <c r="BR359" s="531"/>
      <c r="BS359" s="531"/>
      <c r="BT359" s="531"/>
    </row>
    <row r="360" spans="15:72" ht="18" customHeight="1">
      <c r="O360" s="63"/>
      <c r="R360" s="56"/>
      <c r="S360" s="56"/>
      <c r="V360" s="194"/>
      <c r="W360" s="197"/>
      <c r="Y360" s="200"/>
      <c r="Z360" s="201"/>
      <c r="AA360" s="198"/>
      <c r="AD360" s="56"/>
      <c r="AE360" s="56"/>
      <c r="AF360" s="56"/>
      <c r="AG360" s="56"/>
      <c r="AH360" s="56"/>
      <c r="AM360" s="63"/>
      <c r="AP360" s="56"/>
      <c r="AQ360" s="56"/>
      <c r="AR360" s="56"/>
      <c r="AS360" s="56"/>
      <c r="AT360" s="56"/>
      <c r="AY360" s="63"/>
      <c r="BB360" s="56"/>
      <c r="BC360" s="56"/>
      <c r="BD360" s="56"/>
      <c r="BE360" s="56"/>
      <c r="BF360" s="56"/>
      <c r="BK360" s="63"/>
      <c r="BN360" s="56"/>
      <c r="BO360" s="56"/>
      <c r="BP360" s="56"/>
      <c r="BQ360" s="56"/>
      <c r="BR360" s="56"/>
    </row>
    <row r="361" spans="15:72" ht="18" customHeight="1">
      <c r="O361" s="63"/>
      <c r="R361" s="56"/>
      <c r="S361" s="56"/>
      <c r="V361" s="194"/>
      <c r="W361" s="197"/>
      <c r="Y361" s="200"/>
      <c r="Z361" s="201"/>
      <c r="AA361" s="198"/>
      <c r="AD361" s="56"/>
      <c r="AE361" s="56"/>
      <c r="AF361" s="56"/>
      <c r="AG361" s="56"/>
      <c r="AH361" s="56"/>
      <c r="AM361" s="63"/>
      <c r="AP361" s="56"/>
      <c r="AQ361" s="56"/>
      <c r="AR361" s="56"/>
      <c r="AS361" s="56"/>
      <c r="AT361" s="56"/>
      <c r="AY361" s="63"/>
      <c r="BB361" s="56"/>
      <c r="BC361" s="56"/>
      <c r="BD361" s="56"/>
      <c r="BE361" s="56"/>
      <c r="BF361" s="56"/>
      <c r="BK361" s="63"/>
      <c r="BN361" s="56"/>
      <c r="BO361" s="56"/>
      <c r="BP361" s="56"/>
      <c r="BQ361" s="56"/>
      <c r="BR361" s="56"/>
    </row>
    <row r="362" spans="15:72" ht="18" customHeight="1">
      <c r="O362" s="63"/>
      <c r="R362" s="56"/>
      <c r="S362" s="56"/>
      <c r="V362" s="194"/>
      <c r="W362" s="197"/>
      <c r="Y362" s="200"/>
      <c r="Z362" s="201"/>
      <c r="AA362" s="198"/>
      <c r="AD362" s="56"/>
      <c r="AE362" s="56"/>
      <c r="AF362" s="56"/>
      <c r="AG362" s="56"/>
      <c r="AH362" s="56"/>
      <c r="AM362" s="63"/>
      <c r="AP362" s="56"/>
      <c r="AQ362" s="56"/>
      <c r="AR362" s="56"/>
      <c r="AS362" s="56"/>
      <c r="AT362" s="56"/>
      <c r="AY362" s="63"/>
      <c r="BB362" s="56"/>
      <c r="BC362" s="56"/>
      <c r="BD362" s="56"/>
      <c r="BE362" s="56"/>
      <c r="BF362" s="56"/>
      <c r="BK362" s="63"/>
      <c r="BN362" s="56"/>
      <c r="BO362" s="56"/>
      <c r="BP362" s="56"/>
      <c r="BQ362" s="56"/>
      <c r="BR362" s="56"/>
    </row>
    <row r="363" spans="15:72" ht="18" customHeight="1">
      <c r="O363" s="63"/>
      <c r="R363" s="56"/>
      <c r="S363" s="56"/>
      <c r="V363" s="194"/>
      <c r="W363" s="197"/>
      <c r="Y363" s="200"/>
      <c r="Z363" s="201"/>
      <c r="AA363" s="198"/>
      <c r="AD363" s="56"/>
      <c r="AE363" s="56"/>
      <c r="AF363" s="56"/>
      <c r="AG363" s="56"/>
      <c r="AH363" s="56"/>
      <c r="AM363" s="63"/>
      <c r="AP363" s="56"/>
      <c r="AQ363" s="56"/>
      <c r="AR363" s="56"/>
      <c r="AS363" s="56"/>
      <c r="AT363" s="56"/>
      <c r="AY363" s="63"/>
      <c r="BB363" s="56"/>
      <c r="BC363" s="56"/>
      <c r="BD363" s="56"/>
      <c r="BE363" s="56"/>
      <c r="BF363" s="56"/>
      <c r="BK363" s="63"/>
      <c r="BN363" s="56"/>
      <c r="BO363" s="56"/>
      <c r="BP363" s="56"/>
      <c r="BQ363" s="56"/>
      <c r="BR363" s="56"/>
    </row>
    <row r="364" spans="15:72" ht="18" customHeight="1">
      <c r="W364" s="197"/>
      <c r="Y364" s="200"/>
      <c r="Z364" s="201"/>
    </row>
    <row r="365" spans="15:72" ht="18" customHeight="1">
      <c r="O365" s="63"/>
      <c r="P365" s="64"/>
      <c r="W365" s="197"/>
      <c r="X365" s="197"/>
      <c r="Y365" s="200"/>
      <c r="Z365" s="201"/>
      <c r="AA365" s="198"/>
      <c r="AB365" s="64"/>
      <c r="AH365" s="531"/>
      <c r="AI365" s="531"/>
      <c r="AJ365" s="531"/>
      <c r="AM365" s="63"/>
      <c r="AN365" s="64"/>
      <c r="AT365" s="531"/>
      <c r="AU365" s="531"/>
      <c r="AV365" s="531"/>
      <c r="AY365" s="63"/>
      <c r="AZ365" s="64"/>
      <c r="BF365" s="531"/>
      <c r="BG365" s="531"/>
      <c r="BH365" s="531"/>
      <c r="BK365" s="63"/>
      <c r="BL365" s="64"/>
      <c r="BR365" s="531"/>
      <c r="BS365" s="531"/>
      <c r="BT365" s="531"/>
    </row>
    <row r="366" spans="15:72" ht="18" customHeight="1">
      <c r="O366" s="63"/>
      <c r="R366" s="56"/>
      <c r="S366" s="56"/>
      <c r="V366" s="194"/>
      <c r="W366" s="197"/>
      <c r="Y366" s="200"/>
      <c r="Z366" s="201"/>
      <c r="AA366" s="198"/>
      <c r="AD366" s="56"/>
      <c r="AE366" s="56"/>
      <c r="AF366" s="56"/>
      <c r="AG366" s="56"/>
      <c r="AH366" s="56"/>
      <c r="AM366" s="63"/>
      <c r="AP366" s="56"/>
      <c r="AQ366" s="56"/>
      <c r="AR366" s="56"/>
      <c r="AS366" s="56"/>
      <c r="AT366" s="56"/>
      <c r="AY366" s="63"/>
      <c r="BB366" s="56"/>
      <c r="BC366" s="56"/>
      <c r="BD366" s="56"/>
      <c r="BE366" s="56"/>
      <c r="BF366" s="56"/>
      <c r="BK366" s="63"/>
      <c r="BN366" s="56"/>
      <c r="BO366" s="56"/>
      <c r="BP366" s="56"/>
      <c r="BQ366" s="56"/>
      <c r="BR366" s="56"/>
    </row>
    <row r="367" spans="15:72" ht="18" customHeight="1">
      <c r="O367" s="63"/>
      <c r="R367" s="56"/>
      <c r="S367" s="56"/>
      <c r="V367" s="194"/>
      <c r="W367" s="197"/>
      <c r="Y367" s="200"/>
      <c r="Z367" s="201"/>
      <c r="AA367" s="198"/>
      <c r="AD367" s="56"/>
      <c r="AE367" s="56"/>
      <c r="AF367" s="56"/>
      <c r="AG367" s="56"/>
      <c r="AH367" s="56"/>
      <c r="AM367" s="63"/>
      <c r="AP367" s="56"/>
      <c r="AQ367" s="56"/>
      <c r="AR367" s="56"/>
      <c r="AS367" s="56"/>
      <c r="AT367" s="56"/>
      <c r="AY367" s="63"/>
      <c r="BB367" s="56"/>
      <c r="BC367" s="56"/>
      <c r="BD367" s="56"/>
      <c r="BE367" s="56"/>
      <c r="BF367" s="56"/>
      <c r="BK367" s="63"/>
      <c r="BN367" s="56"/>
      <c r="BO367" s="56"/>
      <c r="BP367" s="56"/>
      <c r="BQ367" s="56"/>
      <c r="BR367" s="56"/>
    </row>
    <row r="368" spans="15:72" ht="18" customHeight="1">
      <c r="O368" s="63"/>
      <c r="R368" s="56"/>
      <c r="S368" s="56"/>
      <c r="V368" s="194"/>
      <c r="W368" s="197"/>
      <c r="Y368" s="200"/>
      <c r="Z368" s="201"/>
      <c r="AA368" s="198"/>
      <c r="AD368" s="56"/>
      <c r="AE368" s="56"/>
      <c r="AF368" s="56"/>
      <c r="AG368" s="56"/>
      <c r="AH368" s="56"/>
      <c r="AM368" s="63"/>
      <c r="AP368" s="56"/>
      <c r="AQ368" s="56"/>
      <c r="AR368" s="56"/>
      <c r="AS368" s="56"/>
      <c r="AT368" s="56"/>
      <c r="AY368" s="63"/>
      <c r="BB368" s="56"/>
      <c r="BC368" s="56"/>
      <c r="BD368" s="56"/>
      <c r="BE368" s="56"/>
      <c r="BF368" s="56"/>
      <c r="BK368" s="63"/>
      <c r="BN368" s="56"/>
      <c r="BO368" s="56"/>
      <c r="BP368" s="56"/>
      <c r="BQ368" s="56"/>
      <c r="BR368" s="56"/>
    </row>
    <row r="369" spans="15:72" ht="18" customHeight="1">
      <c r="O369" s="63"/>
      <c r="R369" s="56"/>
      <c r="S369" s="56"/>
      <c r="V369" s="194"/>
      <c r="W369" s="197"/>
      <c r="Y369" s="200"/>
      <c r="Z369" s="201"/>
      <c r="AA369" s="198"/>
      <c r="AD369" s="56"/>
      <c r="AE369" s="56"/>
      <c r="AF369" s="56"/>
      <c r="AG369" s="56"/>
      <c r="AH369" s="56"/>
      <c r="AM369" s="63"/>
      <c r="AP369" s="56"/>
      <c r="AQ369" s="56"/>
      <c r="AR369" s="56"/>
      <c r="AS369" s="56"/>
      <c r="AT369" s="56"/>
      <c r="AY369" s="63"/>
      <c r="BB369" s="56"/>
      <c r="BC369" s="56"/>
      <c r="BD369" s="56"/>
      <c r="BE369" s="56"/>
      <c r="BF369" s="56"/>
      <c r="BK369" s="63"/>
      <c r="BN369" s="56"/>
      <c r="BO369" s="56"/>
      <c r="BP369" s="56"/>
      <c r="BQ369" s="56"/>
      <c r="BR369" s="56"/>
    </row>
    <row r="370" spans="15:72" ht="18" customHeight="1">
      <c r="W370" s="197"/>
      <c r="Y370" s="200"/>
      <c r="Z370" s="201"/>
    </row>
    <row r="371" spans="15:72" ht="18" customHeight="1">
      <c r="O371" s="63"/>
      <c r="P371" s="64"/>
      <c r="W371" s="197"/>
      <c r="X371" s="197"/>
      <c r="Y371" s="200"/>
      <c r="Z371" s="201"/>
      <c r="AA371" s="198"/>
      <c r="AB371" s="64"/>
      <c r="AH371" s="531"/>
      <c r="AI371" s="531"/>
      <c r="AJ371" s="531"/>
      <c r="AM371" s="63"/>
      <c r="AN371" s="64"/>
      <c r="AT371" s="531"/>
      <c r="AU371" s="531"/>
      <c r="AV371" s="531"/>
      <c r="AY371" s="63"/>
      <c r="AZ371" s="64"/>
      <c r="BF371" s="531"/>
      <c r="BG371" s="531"/>
      <c r="BH371" s="531"/>
      <c r="BK371" s="63"/>
      <c r="BL371" s="64"/>
      <c r="BR371" s="531"/>
      <c r="BS371" s="531"/>
      <c r="BT371" s="531"/>
    </row>
    <row r="372" spans="15:72" ht="18" customHeight="1">
      <c r="O372" s="63"/>
      <c r="R372" s="56"/>
      <c r="S372" s="56"/>
      <c r="V372" s="194"/>
      <c r="W372" s="197"/>
      <c r="Y372" s="200"/>
      <c r="Z372" s="201"/>
      <c r="AA372" s="198"/>
      <c r="AD372" s="56"/>
      <c r="AE372" s="56"/>
      <c r="AF372" s="56"/>
      <c r="AG372" s="56"/>
      <c r="AH372" s="56"/>
      <c r="AM372" s="63"/>
      <c r="AP372" s="56"/>
      <c r="AQ372" s="56"/>
      <c r="AR372" s="56"/>
      <c r="AS372" s="56"/>
      <c r="AT372" s="56"/>
      <c r="AY372" s="63"/>
      <c r="BB372" s="56"/>
      <c r="BC372" s="56"/>
      <c r="BD372" s="56"/>
      <c r="BE372" s="56"/>
      <c r="BF372" s="56"/>
      <c r="BK372" s="63"/>
      <c r="BN372" s="56"/>
      <c r="BO372" s="56"/>
      <c r="BP372" s="56"/>
      <c r="BQ372" s="56"/>
      <c r="BR372" s="56"/>
    </row>
    <row r="373" spans="15:72" ht="18" customHeight="1">
      <c r="O373" s="63"/>
      <c r="R373" s="56"/>
      <c r="S373" s="56"/>
      <c r="V373" s="194"/>
      <c r="W373" s="197"/>
      <c r="Y373" s="200"/>
      <c r="Z373" s="201"/>
      <c r="AA373" s="198"/>
      <c r="AD373" s="56"/>
      <c r="AE373" s="56"/>
      <c r="AF373" s="56"/>
      <c r="AG373" s="56"/>
      <c r="AH373" s="56"/>
      <c r="AM373" s="63"/>
      <c r="AP373" s="56"/>
      <c r="AQ373" s="56"/>
      <c r="AR373" s="56"/>
      <c r="AS373" s="56"/>
      <c r="AT373" s="56"/>
      <c r="AY373" s="63"/>
      <c r="BB373" s="56"/>
      <c r="BC373" s="56"/>
      <c r="BD373" s="56"/>
      <c r="BE373" s="56"/>
      <c r="BF373" s="56"/>
      <c r="BK373" s="63"/>
      <c r="BN373" s="56"/>
      <c r="BO373" s="56"/>
      <c r="BP373" s="56"/>
      <c r="BQ373" s="56"/>
      <c r="BR373" s="56"/>
    </row>
    <row r="374" spans="15:72" ht="18" customHeight="1">
      <c r="O374" s="63"/>
      <c r="R374" s="56"/>
      <c r="S374" s="56"/>
      <c r="V374" s="194"/>
      <c r="W374" s="197"/>
      <c r="Y374" s="200"/>
      <c r="Z374" s="201"/>
      <c r="AA374" s="198"/>
      <c r="AD374" s="56"/>
      <c r="AE374" s="56"/>
      <c r="AF374" s="56"/>
      <c r="AG374" s="56"/>
      <c r="AH374" s="56"/>
      <c r="AM374" s="63"/>
      <c r="AP374" s="56"/>
      <c r="AQ374" s="56"/>
      <c r="AR374" s="56"/>
      <c r="AS374" s="56"/>
      <c r="AT374" s="56"/>
      <c r="AY374" s="63"/>
      <c r="BB374" s="56"/>
      <c r="BC374" s="56"/>
      <c r="BD374" s="56"/>
      <c r="BE374" s="56"/>
      <c r="BF374" s="56"/>
      <c r="BK374" s="63"/>
      <c r="BN374" s="56"/>
      <c r="BO374" s="56"/>
      <c r="BP374" s="56"/>
      <c r="BQ374" s="56"/>
      <c r="BR374" s="56"/>
    </row>
    <row r="375" spans="15:72" ht="18" customHeight="1">
      <c r="O375" s="63"/>
      <c r="R375" s="56"/>
      <c r="S375" s="56"/>
      <c r="V375" s="194"/>
      <c r="W375" s="197"/>
      <c r="Y375" s="200"/>
      <c r="Z375" s="201"/>
      <c r="AA375" s="198"/>
      <c r="AD375" s="56"/>
      <c r="AE375" s="56"/>
      <c r="AF375" s="56"/>
      <c r="AG375" s="56"/>
      <c r="AH375" s="56"/>
      <c r="AM375" s="63"/>
      <c r="AP375" s="56"/>
      <c r="AQ375" s="56"/>
      <c r="AR375" s="56"/>
      <c r="AS375" s="56"/>
      <c r="AT375" s="56"/>
      <c r="AY375" s="63"/>
      <c r="BB375" s="56"/>
      <c r="BC375" s="56"/>
      <c r="BD375" s="56"/>
      <c r="BE375" s="56"/>
      <c r="BF375" s="56"/>
      <c r="BK375" s="63"/>
      <c r="BN375" s="56"/>
      <c r="BO375" s="56"/>
      <c r="BP375" s="56"/>
      <c r="BQ375" s="56"/>
      <c r="BR375" s="56"/>
    </row>
    <row r="376" spans="15:72" ht="18" customHeight="1">
      <c r="W376" s="197"/>
      <c r="Y376" s="200"/>
      <c r="Z376" s="201"/>
    </row>
    <row r="377" spans="15:72" ht="18" customHeight="1">
      <c r="O377" s="63"/>
      <c r="P377" s="64"/>
      <c r="W377" s="197"/>
      <c r="X377" s="197"/>
      <c r="Y377" s="200"/>
      <c r="Z377" s="201"/>
      <c r="AA377" s="198"/>
      <c r="AB377" s="64"/>
      <c r="AH377" s="531"/>
      <c r="AI377" s="531"/>
      <c r="AJ377" s="531"/>
      <c r="AM377" s="63"/>
      <c r="AN377" s="64"/>
      <c r="AT377" s="531"/>
      <c r="AU377" s="531"/>
      <c r="AV377" s="531"/>
      <c r="AY377" s="63"/>
      <c r="AZ377" s="64"/>
      <c r="BF377" s="531"/>
      <c r="BG377" s="531"/>
      <c r="BH377" s="531"/>
      <c r="BK377" s="63"/>
      <c r="BL377" s="64"/>
      <c r="BR377" s="531"/>
      <c r="BS377" s="531"/>
      <c r="BT377" s="531"/>
    </row>
    <row r="378" spans="15:72" ht="18" customHeight="1">
      <c r="O378" s="63"/>
      <c r="R378" s="56"/>
      <c r="S378" s="56"/>
      <c r="V378" s="194"/>
      <c r="AA378" s="198"/>
      <c r="AD378" s="56"/>
      <c r="AE378" s="56"/>
      <c r="AF378" s="56"/>
      <c r="AG378" s="56"/>
      <c r="AH378" s="56"/>
      <c r="AM378" s="63"/>
      <c r="AP378" s="56"/>
      <c r="AQ378" s="56"/>
      <c r="AR378" s="56"/>
      <c r="AS378" s="56"/>
      <c r="AT378" s="56"/>
      <c r="AY378" s="63"/>
      <c r="BB378" s="56"/>
      <c r="BC378" s="56"/>
      <c r="BD378" s="56"/>
      <c r="BE378" s="56"/>
      <c r="BF378" s="56"/>
      <c r="BK378" s="63"/>
      <c r="BN378" s="56"/>
      <c r="BO378" s="56"/>
      <c r="BP378" s="56"/>
      <c r="BQ378" s="56"/>
      <c r="BR378" s="56"/>
    </row>
    <row r="379" spans="15:72" ht="18" customHeight="1">
      <c r="O379" s="63"/>
      <c r="R379" s="56"/>
      <c r="S379" s="56"/>
      <c r="V379" s="194"/>
      <c r="AA379" s="198"/>
      <c r="AD379" s="56"/>
      <c r="AE379" s="56"/>
      <c r="AF379" s="56"/>
      <c r="AG379" s="56"/>
      <c r="AH379" s="56"/>
      <c r="AM379" s="63"/>
      <c r="AP379" s="56"/>
      <c r="AQ379" s="56"/>
      <c r="AR379" s="56"/>
      <c r="AS379" s="56"/>
      <c r="AT379" s="56"/>
      <c r="AY379" s="63"/>
      <c r="BB379" s="56"/>
      <c r="BC379" s="56"/>
      <c r="BD379" s="56"/>
      <c r="BE379" s="56"/>
      <c r="BF379" s="56"/>
      <c r="BK379" s="63"/>
      <c r="BN379" s="56"/>
      <c r="BO379" s="56"/>
      <c r="BP379" s="56"/>
      <c r="BQ379" s="56"/>
      <c r="BR379" s="56"/>
    </row>
    <row r="380" spans="15:72" ht="18" customHeight="1">
      <c r="O380" s="63"/>
      <c r="R380" s="56"/>
      <c r="S380" s="56"/>
      <c r="V380" s="194"/>
      <c r="AA380" s="198"/>
      <c r="AD380" s="56"/>
      <c r="AE380" s="56"/>
      <c r="AF380" s="56"/>
      <c r="AG380" s="56"/>
      <c r="AH380" s="56"/>
      <c r="AM380" s="63"/>
      <c r="AP380" s="56"/>
      <c r="AQ380" s="56"/>
      <c r="AR380" s="56"/>
      <c r="AS380" s="56"/>
      <c r="AT380" s="56"/>
      <c r="AY380" s="63"/>
      <c r="BB380" s="56"/>
      <c r="BC380" s="56"/>
      <c r="BD380" s="56"/>
      <c r="BE380" s="56"/>
      <c r="BF380" s="56"/>
      <c r="BK380" s="63"/>
      <c r="BN380" s="56"/>
      <c r="BO380" s="56"/>
      <c r="BP380" s="56"/>
      <c r="BQ380" s="56"/>
      <c r="BR380" s="56"/>
    </row>
    <row r="381" spans="15:72" ht="18" customHeight="1">
      <c r="O381" s="63"/>
      <c r="R381" s="56"/>
      <c r="S381" s="56"/>
      <c r="V381" s="194"/>
      <c r="AA381" s="198"/>
      <c r="AD381" s="56"/>
      <c r="AE381" s="56"/>
      <c r="AF381" s="56"/>
      <c r="AG381" s="56"/>
      <c r="AH381" s="56"/>
      <c r="AM381" s="63"/>
      <c r="AP381" s="56"/>
      <c r="AQ381" s="56"/>
      <c r="AR381" s="56"/>
      <c r="AS381" s="56"/>
      <c r="AT381" s="56"/>
      <c r="AY381" s="63"/>
      <c r="BB381" s="56"/>
      <c r="BC381" s="56"/>
      <c r="BD381" s="56"/>
      <c r="BE381" s="56"/>
      <c r="BF381" s="56"/>
      <c r="BK381" s="63"/>
      <c r="BN381" s="56"/>
      <c r="BO381" s="56"/>
      <c r="BP381" s="56"/>
      <c r="BQ381" s="56"/>
      <c r="BR381" s="56"/>
    </row>
    <row r="383" spans="15:72" ht="18" customHeight="1">
      <c r="O383" s="63"/>
      <c r="P383" s="64"/>
      <c r="V383" s="553"/>
      <c r="W383" s="553"/>
      <c r="X383" s="553"/>
      <c r="AA383" s="198"/>
      <c r="AB383" s="64"/>
      <c r="AH383" s="531"/>
      <c r="AI383" s="531"/>
      <c r="AJ383" s="531"/>
      <c r="AM383" s="63"/>
      <c r="AN383" s="64"/>
      <c r="AT383" s="531"/>
      <c r="AU383" s="531"/>
      <c r="AV383" s="531"/>
      <c r="AY383" s="63"/>
      <c r="AZ383" s="64"/>
      <c r="BF383" s="531"/>
      <c r="BG383" s="531"/>
      <c r="BH383" s="531"/>
      <c r="BK383" s="63"/>
      <c r="BL383" s="64"/>
      <c r="BR383" s="531"/>
      <c r="BS383" s="531"/>
      <c r="BT383" s="531"/>
    </row>
    <row r="384" spans="15:72" ht="18" customHeight="1">
      <c r="O384" s="63"/>
      <c r="R384" s="56"/>
      <c r="S384" s="56"/>
      <c r="V384" s="194"/>
      <c r="AA384" s="198"/>
      <c r="AD384" s="56"/>
      <c r="AE384" s="56"/>
      <c r="AF384" s="56"/>
      <c r="AG384" s="56"/>
      <c r="AH384" s="56"/>
      <c r="AM384" s="63"/>
      <c r="AP384" s="56"/>
      <c r="AQ384" s="56"/>
      <c r="AR384" s="56"/>
      <c r="AS384" s="56"/>
      <c r="AT384" s="56"/>
      <c r="AY384" s="63"/>
      <c r="BB384" s="56"/>
      <c r="BC384" s="56"/>
      <c r="BD384" s="56"/>
      <c r="BE384" s="56"/>
      <c r="BF384" s="56"/>
      <c r="BK384" s="63"/>
      <c r="BN384" s="56"/>
      <c r="BO384" s="56"/>
      <c r="BP384" s="56"/>
      <c r="BQ384" s="56"/>
      <c r="BR384" s="56"/>
    </row>
    <row r="385" spans="15:70" ht="18" customHeight="1">
      <c r="O385" s="63"/>
      <c r="R385" s="56"/>
      <c r="S385" s="56"/>
      <c r="V385" s="194"/>
      <c r="AA385" s="198"/>
      <c r="AD385" s="56"/>
      <c r="AE385" s="56"/>
      <c r="AF385" s="56"/>
      <c r="AG385" s="56"/>
      <c r="AH385" s="56"/>
      <c r="AM385" s="63"/>
      <c r="AP385" s="56"/>
      <c r="AQ385" s="56"/>
      <c r="AR385" s="56"/>
      <c r="AS385" s="56"/>
      <c r="AT385" s="56"/>
      <c r="AY385" s="63"/>
      <c r="BB385" s="56"/>
      <c r="BC385" s="56"/>
      <c r="BD385" s="56"/>
      <c r="BE385" s="56"/>
      <c r="BF385" s="56"/>
      <c r="BK385" s="63"/>
      <c r="BN385" s="56"/>
      <c r="BO385" s="56"/>
      <c r="BP385" s="56"/>
      <c r="BQ385" s="56"/>
      <c r="BR385" s="56"/>
    </row>
    <row r="386" spans="15:70" ht="18" customHeight="1">
      <c r="O386" s="63"/>
      <c r="R386" s="56"/>
      <c r="S386" s="56"/>
      <c r="V386" s="194"/>
      <c r="AA386" s="198"/>
      <c r="AD386" s="56"/>
      <c r="AE386" s="56"/>
      <c r="AF386" s="56"/>
      <c r="AG386" s="56"/>
      <c r="AH386" s="56"/>
      <c r="AM386" s="63"/>
      <c r="AP386" s="56"/>
      <c r="AQ386" s="56"/>
      <c r="AR386" s="56"/>
      <c r="AS386" s="56"/>
      <c r="AT386" s="56"/>
      <c r="AY386" s="63"/>
      <c r="BB386" s="56"/>
      <c r="BC386" s="56"/>
      <c r="BD386" s="56"/>
      <c r="BE386" s="56"/>
      <c r="BF386" s="56"/>
      <c r="BK386" s="63"/>
      <c r="BN386" s="56"/>
      <c r="BO386" s="56"/>
      <c r="BP386" s="56"/>
      <c r="BQ386" s="56"/>
      <c r="BR386" s="56"/>
    </row>
    <row r="387" spans="15:70" ht="18" customHeight="1">
      <c r="O387" s="63"/>
      <c r="R387" s="56"/>
      <c r="S387" s="56"/>
      <c r="V387" s="194"/>
      <c r="AA387" s="198"/>
      <c r="AD387" s="56"/>
      <c r="AE387" s="56"/>
      <c r="AF387" s="56"/>
      <c r="AG387" s="56"/>
      <c r="AH387" s="56"/>
      <c r="AM387" s="63"/>
      <c r="AP387" s="56"/>
      <c r="AQ387" s="56"/>
      <c r="AR387" s="56"/>
      <c r="AS387" s="56"/>
      <c r="AT387" s="56"/>
      <c r="AY387" s="63"/>
      <c r="BB387" s="56"/>
      <c r="BC387" s="56"/>
      <c r="BD387" s="56"/>
      <c r="BE387" s="56"/>
      <c r="BF387" s="56"/>
      <c r="BK387" s="63"/>
      <c r="BN387" s="56"/>
      <c r="BO387" s="56"/>
      <c r="BP387" s="56"/>
      <c r="BQ387" s="56"/>
      <c r="BR387" s="56"/>
    </row>
  </sheetData>
  <mergeCells count="353">
    <mergeCell ref="AH377:AJ377"/>
    <mergeCell ref="AT377:AV377"/>
    <mergeCell ref="BF377:BH377"/>
    <mergeCell ref="BR377:BT377"/>
    <mergeCell ref="V383:X383"/>
    <mergeCell ref="AH383:AJ383"/>
    <mergeCell ref="AT383:AV383"/>
    <mergeCell ref="BF383:BH383"/>
    <mergeCell ref="BR383:BT383"/>
    <mergeCell ref="AH365:AJ365"/>
    <mergeCell ref="AT365:AV365"/>
    <mergeCell ref="BF365:BH365"/>
    <mergeCell ref="BR365:BT365"/>
    <mergeCell ref="AH371:AJ371"/>
    <mergeCell ref="AT371:AV371"/>
    <mergeCell ref="BF371:BH371"/>
    <mergeCell ref="BR371:BT371"/>
    <mergeCell ref="AH353:AJ353"/>
    <mergeCell ref="AT353:AV353"/>
    <mergeCell ref="BF353:BH353"/>
    <mergeCell ref="BR353:BT353"/>
    <mergeCell ref="AH359:AJ359"/>
    <mergeCell ref="AT359:AV359"/>
    <mergeCell ref="BF359:BH359"/>
    <mergeCell ref="BR359:BT359"/>
    <mergeCell ref="AH341:AJ341"/>
    <mergeCell ref="AT341:AV341"/>
    <mergeCell ref="BF341:BH341"/>
    <mergeCell ref="BR341:BT341"/>
    <mergeCell ref="AH347:AJ347"/>
    <mergeCell ref="AT347:AV347"/>
    <mergeCell ref="BF347:BH347"/>
    <mergeCell ref="BR347:BT347"/>
    <mergeCell ref="AH329:AJ329"/>
    <mergeCell ref="AT329:AV329"/>
    <mergeCell ref="BF329:BH329"/>
    <mergeCell ref="BR329:BT329"/>
    <mergeCell ref="AH335:AJ335"/>
    <mergeCell ref="AT335:AV335"/>
    <mergeCell ref="BF335:BH335"/>
    <mergeCell ref="BR335:BT335"/>
    <mergeCell ref="AH317:AJ317"/>
    <mergeCell ref="AT317:AV317"/>
    <mergeCell ref="BF317:BH317"/>
    <mergeCell ref="BR317:BT317"/>
    <mergeCell ref="AH323:AJ323"/>
    <mergeCell ref="AT323:AV323"/>
    <mergeCell ref="BF323:BH323"/>
    <mergeCell ref="BR323:BT323"/>
    <mergeCell ref="AH305:AJ305"/>
    <mergeCell ref="AT305:AV305"/>
    <mergeCell ref="BF305:BH305"/>
    <mergeCell ref="BR305:BT305"/>
    <mergeCell ref="AH311:AJ311"/>
    <mergeCell ref="AT311:AV311"/>
    <mergeCell ref="BF311:BH311"/>
    <mergeCell ref="BR311:BT311"/>
    <mergeCell ref="AH293:AJ293"/>
    <mergeCell ref="AT293:AV293"/>
    <mergeCell ref="BF293:BH293"/>
    <mergeCell ref="BR293:BT293"/>
    <mergeCell ref="AH299:AJ299"/>
    <mergeCell ref="AT299:AV299"/>
    <mergeCell ref="BF299:BH299"/>
    <mergeCell ref="BR299:BT299"/>
    <mergeCell ref="AH281:AJ281"/>
    <mergeCell ref="AT281:AV281"/>
    <mergeCell ref="BF281:BH281"/>
    <mergeCell ref="BR281:BT281"/>
    <mergeCell ref="AH287:AJ287"/>
    <mergeCell ref="AT287:AV287"/>
    <mergeCell ref="BF287:BH287"/>
    <mergeCell ref="BR287:BT287"/>
    <mergeCell ref="AH269:AJ269"/>
    <mergeCell ref="AT269:AV269"/>
    <mergeCell ref="BF269:BH269"/>
    <mergeCell ref="BR269:BT269"/>
    <mergeCell ref="AH275:AJ275"/>
    <mergeCell ref="AT275:AV275"/>
    <mergeCell ref="BF275:BH275"/>
    <mergeCell ref="BR275:BT275"/>
    <mergeCell ref="AH257:AJ257"/>
    <mergeCell ref="AT257:AV257"/>
    <mergeCell ref="BF257:BH257"/>
    <mergeCell ref="BR257:BT257"/>
    <mergeCell ref="AH263:AJ263"/>
    <mergeCell ref="AT263:AV263"/>
    <mergeCell ref="BF263:BH263"/>
    <mergeCell ref="BR263:BT263"/>
    <mergeCell ref="AH245:AJ245"/>
    <mergeCell ref="AT245:AV245"/>
    <mergeCell ref="BF245:BH245"/>
    <mergeCell ref="BR245:BT245"/>
    <mergeCell ref="AH251:AJ251"/>
    <mergeCell ref="AT251:AV251"/>
    <mergeCell ref="BF251:BH251"/>
    <mergeCell ref="BR251:BT251"/>
    <mergeCell ref="AH233:AJ233"/>
    <mergeCell ref="AT233:AV233"/>
    <mergeCell ref="BF233:BH233"/>
    <mergeCell ref="BR233:BT233"/>
    <mergeCell ref="AH239:AJ239"/>
    <mergeCell ref="AT239:AV239"/>
    <mergeCell ref="BF239:BH239"/>
    <mergeCell ref="BR239:BT239"/>
    <mergeCell ref="AH221:AJ221"/>
    <mergeCell ref="AT221:AV221"/>
    <mergeCell ref="BF221:BH221"/>
    <mergeCell ref="BR221:BT221"/>
    <mergeCell ref="AH227:AJ227"/>
    <mergeCell ref="AT227:AV227"/>
    <mergeCell ref="BF227:BH227"/>
    <mergeCell ref="BR227:BT227"/>
    <mergeCell ref="AH209:AJ209"/>
    <mergeCell ref="AT209:AV209"/>
    <mergeCell ref="BF209:BH209"/>
    <mergeCell ref="BR209:BT209"/>
    <mergeCell ref="AH215:AJ215"/>
    <mergeCell ref="AT215:AV215"/>
    <mergeCell ref="BF215:BH215"/>
    <mergeCell ref="BR215:BT215"/>
    <mergeCell ref="AH197:AJ197"/>
    <mergeCell ref="AT197:AV197"/>
    <mergeCell ref="BF197:BH197"/>
    <mergeCell ref="BR197:BT197"/>
    <mergeCell ref="AH203:AJ203"/>
    <mergeCell ref="AT203:AV203"/>
    <mergeCell ref="BF203:BH203"/>
    <mergeCell ref="BR203:BT203"/>
    <mergeCell ref="AH185:AJ185"/>
    <mergeCell ref="AT185:AV185"/>
    <mergeCell ref="BF185:BH185"/>
    <mergeCell ref="BR185:BT185"/>
    <mergeCell ref="AH191:AJ191"/>
    <mergeCell ref="AT191:AV191"/>
    <mergeCell ref="BF191:BH191"/>
    <mergeCell ref="BR191:BT191"/>
    <mergeCell ref="AH173:AJ173"/>
    <mergeCell ref="AT173:AV173"/>
    <mergeCell ref="BF173:BH173"/>
    <mergeCell ref="BR173:BT173"/>
    <mergeCell ref="AH179:AJ179"/>
    <mergeCell ref="AT179:AV179"/>
    <mergeCell ref="BF179:BH179"/>
    <mergeCell ref="BR179:BT179"/>
    <mergeCell ref="AH161:AJ161"/>
    <mergeCell ref="AT161:AV161"/>
    <mergeCell ref="BF161:BH161"/>
    <mergeCell ref="BR161:BT161"/>
    <mergeCell ref="AH167:AJ167"/>
    <mergeCell ref="AT167:AV167"/>
    <mergeCell ref="BF167:BH167"/>
    <mergeCell ref="BR167:BT167"/>
    <mergeCell ref="AH149:AJ149"/>
    <mergeCell ref="AT149:AV149"/>
    <mergeCell ref="BF149:BH149"/>
    <mergeCell ref="BR149:BT149"/>
    <mergeCell ref="AH155:AJ155"/>
    <mergeCell ref="AT155:AV155"/>
    <mergeCell ref="BF155:BH155"/>
    <mergeCell ref="BR155:BT155"/>
    <mergeCell ref="AH137:AJ137"/>
    <mergeCell ref="AT137:AV137"/>
    <mergeCell ref="BF137:BH137"/>
    <mergeCell ref="BR137:BT137"/>
    <mergeCell ref="AH143:AJ143"/>
    <mergeCell ref="AT143:AV143"/>
    <mergeCell ref="BF143:BH143"/>
    <mergeCell ref="BR143:BT143"/>
    <mergeCell ref="AH125:AJ125"/>
    <mergeCell ref="AT125:AV125"/>
    <mergeCell ref="BF125:BH125"/>
    <mergeCell ref="BR125:BT125"/>
    <mergeCell ref="AH131:AJ131"/>
    <mergeCell ref="AT131:AV131"/>
    <mergeCell ref="BF131:BH131"/>
    <mergeCell ref="BR131:BT131"/>
    <mergeCell ref="AH113:AJ113"/>
    <mergeCell ref="AT113:AV113"/>
    <mergeCell ref="BF113:BH113"/>
    <mergeCell ref="BR113:BT113"/>
    <mergeCell ref="AH119:AJ119"/>
    <mergeCell ref="AT119:AV119"/>
    <mergeCell ref="BF119:BH119"/>
    <mergeCell ref="BR119:BT119"/>
    <mergeCell ref="AH101:AJ101"/>
    <mergeCell ref="AT101:AV101"/>
    <mergeCell ref="BF101:BH101"/>
    <mergeCell ref="BR101:BT101"/>
    <mergeCell ref="AH107:AJ107"/>
    <mergeCell ref="AT107:AV107"/>
    <mergeCell ref="BF107:BH107"/>
    <mergeCell ref="BR107:BT107"/>
    <mergeCell ref="AH89:AJ89"/>
    <mergeCell ref="AT89:AV89"/>
    <mergeCell ref="BF89:BH89"/>
    <mergeCell ref="BR89:BT89"/>
    <mergeCell ref="AH95:AJ95"/>
    <mergeCell ref="AT95:AV95"/>
    <mergeCell ref="BF95:BH95"/>
    <mergeCell ref="BR95:BT95"/>
    <mergeCell ref="AH77:AJ77"/>
    <mergeCell ref="AT77:AV77"/>
    <mergeCell ref="BF77:BH77"/>
    <mergeCell ref="BR77:BT77"/>
    <mergeCell ref="AH83:AJ83"/>
    <mergeCell ref="AT83:AV83"/>
    <mergeCell ref="BF83:BH83"/>
    <mergeCell ref="BR83:BT83"/>
    <mergeCell ref="BF65:BH65"/>
    <mergeCell ref="BR65:BT65"/>
    <mergeCell ref="B66:B67"/>
    <mergeCell ref="C66:C67"/>
    <mergeCell ref="D66:D67"/>
    <mergeCell ref="AH71:AJ71"/>
    <mergeCell ref="AT71:AV71"/>
    <mergeCell ref="BF71:BH71"/>
    <mergeCell ref="BR71:BT71"/>
    <mergeCell ref="B64:B65"/>
    <mergeCell ref="C64:C65"/>
    <mergeCell ref="D64:D65"/>
    <mergeCell ref="AH65:AJ65"/>
    <mergeCell ref="AT65:AV65"/>
    <mergeCell ref="BF59:BH59"/>
    <mergeCell ref="BR59:BT59"/>
    <mergeCell ref="B60:B61"/>
    <mergeCell ref="C60:C61"/>
    <mergeCell ref="D60:D61"/>
    <mergeCell ref="B62:B63"/>
    <mergeCell ref="C62:C63"/>
    <mergeCell ref="D62:D63"/>
    <mergeCell ref="B58:B59"/>
    <mergeCell ref="C58:C59"/>
    <mergeCell ref="D58:D59"/>
    <mergeCell ref="AH59:AJ59"/>
    <mergeCell ref="AT59:AV59"/>
    <mergeCell ref="BF53:BH53"/>
    <mergeCell ref="BR53:BT53"/>
    <mergeCell ref="B54:B55"/>
    <mergeCell ref="C54:C55"/>
    <mergeCell ref="D54:D55"/>
    <mergeCell ref="B56:B57"/>
    <mergeCell ref="C56:C57"/>
    <mergeCell ref="D56:D57"/>
    <mergeCell ref="B52:B53"/>
    <mergeCell ref="C52:C53"/>
    <mergeCell ref="D52:D53"/>
    <mergeCell ref="AH53:AJ53"/>
    <mergeCell ref="AT53:AV53"/>
    <mergeCell ref="BF47:BH47"/>
    <mergeCell ref="BR47:BT47"/>
    <mergeCell ref="B48:B49"/>
    <mergeCell ref="C48:C49"/>
    <mergeCell ref="D48:D49"/>
    <mergeCell ref="B50:B51"/>
    <mergeCell ref="C50:C51"/>
    <mergeCell ref="D50:D51"/>
    <mergeCell ref="B46:B47"/>
    <mergeCell ref="C46:C47"/>
    <mergeCell ref="D46:D47"/>
    <mergeCell ref="AH47:AJ47"/>
    <mergeCell ref="AT47:AV47"/>
    <mergeCell ref="BF41:BH41"/>
    <mergeCell ref="BR41:BT41"/>
    <mergeCell ref="B42:B43"/>
    <mergeCell ref="C42:C43"/>
    <mergeCell ref="D42:D43"/>
    <mergeCell ref="B44:B45"/>
    <mergeCell ref="C44:C45"/>
    <mergeCell ref="D44:D45"/>
    <mergeCell ref="B40:B41"/>
    <mergeCell ref="C40:C41"/>
    <mergeCell ref="D40:D41"/>
    <mergeCell ref="AH41:AJ41"/>
    <mergeCell ref="AT41:AV41"/>
    <mergeCell ref="BF35:BH35"/>
    <mergeCell ref="BR35:BT35"/>
    <mergeCell ref="B36:B37"/>
    <mergeCell ref="C36:C37"/>
    <mergeCell ref="D36:D37"/>
    <mergeCell ref="B38:B39"/>
    <mergeCell ref="C38:C39"/>
    <mergeCell ref="D38:D39"/>
    <mergeCell ref="B34:B35"/>
    <mergeCell ref="C34:C35"/>
    <mergeCell ref="D34:D35"/>
    <mergeCell ref="AH35:AJ35"/>
    <mergeCell ref="AT35:AV35"/>
    <mergeCell ref="BF29:BH29"/>
    <mergeCell ref="BR29:BT29"/>
    <mergeCell ref="B30:B31"/>
    <mergeCell ref="C30:C31"/>
    <mergeCell ref="D30:D31"/>
    <mergeCell ref="B32:B33"/>
    <mergeCell ref="C32:C33"/>
    <mergeCell ref="D32:D33"/>
    <mergeCell ref="B28:B29"/>
    <mergeCell ref="C28:C29"/>
    <mergeCell ref="D28:D29"/>
    <mergeCell ref="AH29:AJ29"/>
    <mergeCell ref="AT29:AV29"/>
    <mergeCell ref="BF23:BH23"/>
    <mergeCell ref="BR23:BT23"/>
    <mergeCell ref="B24:B25"/>
    <mergeCell ref="C24:C25"/>
    <mergeCell ref="D24:D25"/>
    <mergeCell ref="B26:B27"/>
    <mergeCell ref="C26:C27"/>
    <mergeCell ref="D26:D27"/>
    <mergeCell ref="B22:B23"/>
    <mergeCell ref="C22:C23"/>
    <mergeCell ref="D22:D23"/>
    <mergeCell ref="AH23:AJ23"/>
    <mergeCell ref="AT23:AV23"/>
    <mergeCell ref="BF17:BH17"/>
    <mergeCell ref="BR17:BT17"/>
    <mergeCell ref="B18:B19"/>
    <mergeCell ref="C18:C19"/>
    <mergeCell ref="D18:D19"/>
    <mergeCell ref="B20:B21"/>
    <mergeCell ref="C20:C21"/>
    <mergeCell ref="D20:D21"/>
    <mergeCell ref="B16:B17"/>
    <mergeCell ref="C16:C17"/>
    <mergeCell ref="D16:D17"/>
    <mergeCell ref="AH17:AJ17"/>
    <mergeCell ref="AT17:AV17"/>
    <mergeCell ref="BF11:BH11"/>
    <mergeCell ref="BR11:BT11"/>
    <mergeCell ref="B12:B13"/>
    <mergeCell ref="C12:C13"/>
    <mergeCell ref="D12:D13"/>
    <mergeCell ref="B14:B15"/>
    <mergeCell ref="C14:C15"/>
    <mergeCell ref="D14:D15"/>
    <mergeCell ref="B10:B11"/>
    <mergeCell ref="C10:C11"/>
    <mergeCell ref="D10:D11"/>
    <mergeCell ref="AH11:AJ11"/>
    <mergeCell ref="AT11:AV11"/>
    <mergeCell ref="BF5:BH5"/>
    <mergeCell ref="BR5:BT5"/>
    <mergeCell ref="B6:B7"/>
    <mergeCell ref="C6:C7"/>
    <mergeCell ref="D6:D7"/>
    <mergeCell ref="B8:B9"/>
    <mergeCell ref="C8:C9"/>
    <mergeCell ref="D8:D9"/>
    <mergeCell ref="B4:B5"/>
    <mergeCell ref="C4:C5"/>
    <mergeCell ref="D4:D5"/>
    <mergeCell ref="AH5:AJ5"/>
    <mergeCell ref="AT5:AV5"/>
  </mergeCells>
  <pageMargins left="0.19685039370078741" right="0.15748031496062992" top="0.2" bottom="0.27559055118110237" header="0.15" footer="0.15748031496062992"/>
  <pageSetup paperSize="9" scale="27" fitToHeight="2" orientation="landscape" horizontalDpi="300" verticalDpi="300" r:id="rId1"/>
  <headerFooter alignWithMargins="0"/>
  <rowBreaks count="1" manualBreakCount="1">
    <brk id="35" min="2" max="10" man="1"/>
  </rowBreaks>
</worksheet>
</file>

<file path=xl/worksheets/sheet15.xml><?xml version="1.0" encoding="utf-8"?>
<worksheet xmlns="http://schemas.openxmlformats.org/spreadsheetml/2006/main" xmlns:r="http://schemas.openxmlformats.org/officeDocument/2006/relationships">
  <dimension ref="A1:I37"/>
  <sheetViews>
    <sheetView showGridLines="0" view="pageBreakPreview" zoomScale="90" zoomScaleSheetLayoutView="90" workbookViewId="0">
      <selection activeCell="G8" sqref="G8"/>
    </sheetView>
  </sheetViews>
  <sheetFormatPr defaultRowHeight="15"/>
  <cols>
    <col min="1" max="1" width="9.140625" style="136"/>
    <col min="2" max="2" width="25.28515625" customWidth="1"/>
    <col min="3" max="3" width="14.7109375" customWidth="1"/>
    <col min="4" max="4" width="33.42578125" customWidth="1"/>
    <col min="7" max="8" width="9.140625" style="406"/>
  </cols>
  <sheetData>
    <row r="1" spans="1:9" s="180" customFormat="1" ht="38.25" customHeight="1">
      <c r="A1" s="554" t="str">
        <f>CONCATENATE("Majstrovstvá Slovenska jednotlivcov - ",'startova listina'!D3)</f>
        <v>Majstrovstvá Slovenska jednotlivcov - Mladší žiaci</v>
      </c>
      <c r="B1" s="555"/>
      <c r="C1" s="555"/>
      <c r="D1" s="555"/>
      <c r="G1" s="405"/>
      <c r="H1" s="405"/>
    </row>
    <row r="2" spans="1:9" ht="46.5" customHeight="1">
      <c r="C2" s="395" t="str">
        <f>'startova listina'!F2</f>
        <v>Valaliky, 7. - 8. 6. 2014</v>
      </c>
    </row>
    <row r="3" spans="1:9" ht="30" customHeight="1">
      <c r="A3" s="396" t="s">
        <v>380</v>
      </c>
    </row>
    <row r="4" spans="1:9" ht="18.75">
      <c r="A4" s="137"/>
      <c r="B4" s="6" t="s">
        <v>3</v>
      </c>
      <c r="C4" s="6" t="s">
        <v>4</v>
      </c>
      <c r="D4" s="6" t="s">
        <v>5</v>
      </c>
    </row>
    <row r="5" spans="1:9" ht="18.75">
      <c r="A5" s="176">
        <v>1</v>
      </c>
      <c r="B5" s="6" t="str">
        <f>'KO Chlapci'!V4</f>
        <v>PINDURA Tobiáš</v>
      </c>
      <c r="C5" s="6">
        <f>VLOOKUP(B5,'startova listina'!$E$7:$I$39,2,0)</f>
        <v>2001</v>
      </c>
      <c r="D5" s="6" t="str">
        <f>VLOOKUP(B5,'startova listina'!$E$7:$I$39,3,0)</f>
        <v>ŠKST RUŽOMBEROK</v>
      </c>
      <c r="G5" s="406">
        <f>LEN(B5)</f>
        <v>14</v>
      </c>
      <c r="H5" s="406" t="e">
        <f>FIND("_",B5)</f>
        <v>#VALUE!</v>
      </c>
      <c r="I5" t="e">
        <f>RIGHT(B5,G5-H5)</f>
        <v>#VALUE!</v>
      </c>
    </row>
    <row r="6" spans="1:9" ht="18.75">
      <c r="A6" s="176">
        <v>2</v>
      </c>
      <c r="B6" s="6" t="str">
        <f>'KO Chlapci'!V5</f>
        <v>DIKO Dalibor</v>
      </c>
      <c r="C6" s="6">
        <f>VLOOKUP(B6,'startova listina'!$E$7:$I$39,2,0)</f>
        <v>2002</v>
      </c>
      <c r="D6" s="6" t="str">
        <f>VLOOKUP(B6,'startova listina'!$E$7:$I$39,3,0)</f>
        <v>TJ ORAVAN NÁMESTOVO</v>
      </c>
      <c r="G6" s="406">
        <f t="shared" ref="G6:G36" si="0">LEN(B6)</f>
        <v>12</v>
      </c>
      <c r="H6" s="406" t="e">
        <f t="shared" ref="H6:H36" si="1">FIND("_",B6)</f>
        <v>#VALUE!</v>
      </c>
      <c r="I6" t="e">
        <f t="shared" ref="I6:I36" si="2">RIGHT(B6,G6-H6)</f>
        <v>#VALUE!</v>
      </c>
    </row>
    <row r="7" spans="1:9" ht="18.75">
      <c r="A7" s="177" t="s">
        <v>381</v>
      </c>
      <c r="B7" s="6" t="str">
        <f>'KO Chlapci'!V6</f>
        <v>FEČO Samuel</v>
      </c>
      <c r="C7" s="6">
        <f>VLOOKUP(B7,'startova listina'!$E$7:$I$39,2,0)</f>
        <v>2001</v>
      </c>
      <c r="D7" s="6" t="str">
        <f>VLOOKUP(B7,'startova listina'!$E$7:$I$39,3,0)</f>
        <v>MŠK VSTK VRANOV NAD TOPĽOU</v>
      </c>
      <c r="G7" s="406">
        <f t="shared" si="0"/>
        <v>11</v>
      </c>
      <c r="H7" s="406" t="e">
        <f t="shared" si="1"/>
        <v>#VALUE!</v>
      </c>
      <c r="I7" t="e">
        <f t="shared" si="2"/>
        <v>#VALUE!</v>
      </c>
    </row>
    <row r="8" spans="1:9" ht="18.75">
      <c r="A8" s="176"/>
      <c r="B8" s="6" t="str">
        <f>'KO Chlapci'!V7</f>
        <v>KYSEL Martin</v>
      </c>
      <c r="C8" s="6">
        <f>VLOOKUP(B8,'startova listina'!$E$7:$I$39,2,0)</f>
        <v>2001</v>
      </c>
      <c r="D8" s="6" t="str">
        <f>VLOOKUP(B8,'startova listina'!$E$7:$I$39,3,0)</f>
        <v>MSTK TVRDOŠÍN</v>
      </c>
      <c r="G8" s="406">
        <f t="shared" si="0"/>
        <v>12</v>
      </c>
      <c r="H8" s="406" t="e">
        <f t="shared" si="1"/>
        <v>#VALUE!</v>
      </c>
      <c r="I8" t="e">
        <f t="shared" si="2"/>
        <v>#VALUE!</v>
      </c>
    </row>
    <row r="9" spans="1:9" ht="18.75">
      <c r="A9" s="177" t="s">
        <v>119</v>
      </c>
      <c r="B9" s="6" t="str">
        <f>'KO Chlapci'!V8</f>
        <v>CYPRICH Samuel</v>
      </c>
      <c r="C9" s="6">
        <f>VLOOKUP(B9,'startova listina'!$E$7:$I$39,2,0)</f>
        <v>2001</v>
      </c>
      <c r="D9" s="6" t="str">
        <f>VLOOKUP(B9,'startova listina'!$E$7:$I$39,3,0)</f>
        <v>MSK ČADCA</v>
      </c>
      <c r="G9" s="406">
        <f t="shared" si="0"/>
        <v>14</v>
      </c>
      <c r="H9" s="406" t="e">
        <f t="shared" si="1"/>
        <v>#VALUE!</v>
      </c>
      <c r="I9" t="e">
        <f t="shared" si="2"/>
        <v>#VALUE!</v>
      </c>
    </row>
    <row r="10" spans="1:9" ht="18.75">
      <c r="A10" s="176"/>
      <c r="B10" s="6" t="str">
        <f>'KO Chlapci'!V9</f>
        <v>HURKA Rastislav</v>
      </c>
      <c r="C10" s="6">
        <f>VLOOKUP(B10,'startova listina'!$E$7:$I$39,2,0)</f>
        <v>2001</v>
      </c>
      <c r="D10" s="6" t="str">
        <f>VLOOKUP(B10,'startova listina'!$E$7:$I$39,3,0)</f>
        <v>STO VALALIKY</v>
      </c>
      <c r="G10" s="406">
        <f t="shared" si="0"/>
        <v>15</v>
      </c>
      <c r="H10" s="406" t="e">
        <f t="shared" si="1"/>
        <v>#VALUE!</v>
      </c>
      <c r="I10" t="e">
        <f t="shared" si="2"/>
        <v>#VALUE!</v>
      </c>
    </row>
    <row r="11" spans="1:9" ht="18.75">
      <c r="A11" s="176"/>
      <c r="B11" s="6" t="str">
        <f>'KO Chlapci'!V10</f>
        <v>PETRÍK Filip</v>
      </c>
      <c r="C11" s="6">
        <f>VLOOKUP(B11,'startova listina'!$E$7:$I$39,2,0)</f>
        <v>2001</v>
      </c>
      <c r="D11" s="6" t="str">
        <f>VLOOKUP(B11,'startova listina'!$E$7:$I$39,3,0)</f>
        <v>KST PLUS40 TREBIŠOV/ŠKST MICHALOVCE</v>
      </c>
      <c r="G11" s="406">
        <f t="shared" si="0"/>
        <v>12</v>
      </c>
      <c r="H11" s="406" t="e">
        <f t="shared" si="1"/>
        <v>#VALUE!</v>
      </c>
      <c r="I11" t="e">
        <f t="shared" si="2"/>
        <v>#VALUE!</v>
      </c>
    </row>
    <row r="12" spans="1:9" ht="18.75">
      <c r="A12" s="176"/>
      <c r="B12" s="6" t="str">
        <f>'KO Chlapci'!V11</f>
        <v>KLAJBER Adam</v>
      </c>
      <c r="C12" s="6">
        <f>VLOOKUP(B12,'startova listina'!$E$7:$I$39,2,0)</f>
        <v>2003</v>
      </c>
      <c r="D12" s="6" t="str">
        <f>VLOOKUP(B12,'startova listina'!$E$7:$I$39,3,0)</f>
        <v>SŠK POPROČ</v>
      </c>
      <c r="G12" s="406">
        <f t="shared" si="0"/>
        <v>12</v>
      </c>
      <c r="H12" s="406" t="e">
        <f t="shared" si="1"/>
        <v>#VALUE!</v>
      </c>
      <c r="I12" t="e">
        <f t="shared" si="2"/>
        <v>#VALUE!</v>
      </c>
    </row>
    <row r="13" spans="1:9" ht="18.75">
      <c r="A13" s="176" t="s">
        <v>118</v>
      </c>
      <c r="B13" s="6" t="str">
        <f>'KO Chlapci'!V12</f>
        <v>ĎANOVSKÝ Martin</v>
      </c>
      <c r="C13" s="6">
        <f>VLOOKUP(B13,'startova listina'!$E$7:$I$39,2,0)</f>
        <v>2002</v>
      </c>
      <c r="D13" s="6" t="str">
        <f>VLOOKUP(B13,'startova listina'!$E$7:$I$39,3,0)</f>
        <v>LOKOMOTÍVA VRÚTKY</v>
      </c>
      <c r="G13" s="406">
        <f t="shared" si="0"/>
        <v>15</v>
      </c>
      <c r="H13" s="406" t="e">
        <f t="shared" si="1"/>
        <v>#VALUE!</v>
      </c>
      <c r="I13" t="e">
        <f t="shared" si="2"/>
        <v>#VALUE!</v>
      </c>
    </row>
    <row r="14" spans="1:9" ht="18.75">
      <c r="A14" s="176"/>
      <c r="B14" s="6" t="str">
        <f>'KO Chlapci'!V13</f>
        <v>SUCHA Tomáš</v>
      </c>
      <c r="C14" s="6">
        <f>VLOOKUP(B14,'startova listina'!$E$7:$I$39,2,0)</f>
        <v>2001</v>
      </c>
      <c r="D14" s="6" t="str">
        <f>VLOOKUP(B14,'startova listina'!$E$7:$I$39,3,0)</f>
        <v>ŠKST KARLOVA VES</v>
      </c>
      <c r="G14" s="406">
        <f t="shared" si="0"/>
        <v>11</v>
      </c>
      <c r="H14" s="406" t="e">
        <f t="shared" si="1"/>
        <v>#VALUE!</v>
      </c>
      <c r="I14" t="e">
        <f t="shared" si="2"/>
        <v>#VALUE!</v>
      </c>
    </row>
    <row r="15" spans="1:9" ht="18.75">
      <c r="A15" s="176"/>
      <c r="B15" s="6" t="str">
        <f>'KO Chlapci'!V14</f>
        <v>PAPÁNEK Martin</v>
      </c>
      <c r="C15" s="6">
        <f>VLOOKUP(B15,'startova listina'!$E$7:$I$39,2,0)</f>
        <v>2001</v>
      </c>
      <c r="D15" s="6" t="str">
        <f>VLOOKUP(B15,'startova listina'!$E$7:$I$39,3,0)</f>
        <v>STK NOVÁ BAŇA/PODLUŽANY</v>
      </c>
      <c r="G15" s="406">
        <f t="shared" si="0"/>
        <v>14</v>
      </c>
      <c r="H15" s="406" t="e">
        <f t="shared" si="1"/>
        <v>#VALUE!</v>
      </c>
      <c r="I15" t="e">
        <f t="shared" si="2"/>
        <v>#VALUE!</v>
      </c>
    </row>
    <row r="16" spans="1:9" ht="18.75">
      <c r="A16" s="176"/>
      <c r="B16" s="6" t="str">
        <f>'KO Chlapci'!V15</f>
        <v>GREGOR Jakub</v>
      </c>
      <c r="C16" s="6">
        <f>VLOOKUP(B16,'startova listina'!$E$7:$I$39,2,0)</f>
        <v>2001</v>
      </c>
      <c r="D16" s="6" t="str">
        <f>VLOOKUP(B16,'startova listina'!$E$7:$I$39,3,0)</f>
        <v>ŠKST KARLOVA VES</v>
      </c>
      <c r="G16" s="406">
        <f t="shared" si="0"/>
        <v>12</v>
      </c>
      <c r="H16" s="406" t="e">
        <f t="shared" si="1"/>
        <v>#VALUE!</v>
      </c>
      <c r="I16" t="e">
        <f t="shared" si="2"/>
        <v>#VALUE!</v>
      </c>
    </row>
    <row r="17" spans="1:9" ht="18.75">
      <c r="A17" s="176"/>
      <c r="B17" s="6" t="str">
        <f>'KO Chlapci'!V16</f>
        <v>MILAN Martin</v>
      </c>
      <c r="C17" s="6">
        <f>VLOOKUP(B17,'startova listina'!$E$7:$I$39,2,0)</f>
        <v>2001</v>
      </c>
      <c r="D17" s="6" t="str">
        <f>VLOOKUP(B17,'startova listina'!$E$7:$I$39,3,0)</f>
        <v>1.PPC FORTUNA KEŽMAROK/TJ OBCE SPIŠSKÝ ŠTIAVNIK</v>
      </c>
      <c r="G17" s="406">
        <f t="shared" si="0"/>
        <v>12</v>
      </c>
      <c r="H17" s="406" t="e">
        <f t="shared" si="1"/>
        <v>#VALUE!</v>
      </c>
      <c r="I17" t="e">
        <f t="shared" si="2"/>
        <v>#VALUE!</v>
      </c>
    </row>
    <row r="18" spans="1:9" ht="18.75">
      <c r="A18" s="176"/>
      <c r="B18" s="6" t="str">
        <f>'KO Chlapci'!V17</f>
        <v>FUSEK Patrik</v>
      </c>
      <c r="C18" s="6">
        <f>VLOOKUP(B18,'startova listina'!$E$7:$I$39,2,0)</f>
        <v>2002</v>
      </c>
      <c r="D18" s="6" t="str">
        <f>VLOOKUP(B18,'startova listina'!$E$7:$I$39,3,0)</f>
        <v>MSK MALACKY</v>
      </c>
      <c r="G18" s="406">
        <f t="shared" si="0"/>
        <v>12</v>
      </c>
      <c r="H18" s="406" t="e">
        <f t="shared" si="1"/>
        <v>#VALUE!</v>
      </c>
      <c r="I18" t="e">
        <f t="shared" si="2"/>
        <v>#VALUE!</v>
      </c>
    </row>
    <row r="19" spans="1:9" ht="18.75">
      <c r="A19" s="176"/>
      <c r="B19" s="6" t="str">
        <f>'KO Chlapci'!V18</f>
        <v>FEČO Michal</v>
      </c>
      <c r="C19" s="6">
        <f>VLOOKUP(B19,'startova listina'!$E$7:$I$39,2,0)</f>
        <v>2001</v>
      </c>
      <c r="D19" s="6" t="str">
        <f>VLOOKUP(B19,'startova listina'!$E$7:$I$39,3,0)</f>
        <v>MŠK VSTK VRANOV NAD TOPĽOU</v>
      </c>
      <c r="G19" s="406">
        <f t="shared" si="0"/>
        <v>11</v>
      </c>
      <c r="H19" s="406" t="e">
        <f t="shared" si="1"/>
        <v>#VALUE!</v>
      </c>
      <c r="I19" t="e">
        <f t="shared" si="2"/>
        <v>#VALUE!</v>
      </c>
    </row>
    <row r="20" spans="1:9" ht="18.75">
      <c r="A20" s="176"/>
      <c r="B20" s="6" t="str">
        <f>'KO Chlapci'!V19</f>
        <v>IVANČO Félix</v>
      </c>
      <c r="C20" s="6">
        <f>VLOOKUP(B20,'startova listina'!$E$7:$I$39,2,0)</f>
        <v>2003</v>
      </c>
      <c r="D20" s="6" t="str">
        <f>VLOOKUP(B20,'startova listina'!$E$7:$I$39,3,0)</f>
        <v>MSK MALACKY</v>
      </c>
      <c r="G20" s="406">
        <f t="shared" si="0"/>
        <v>12</v>
      </c>
      <c r="H20" s="406" t="e">
        <f t="shared" si="1"/>
        <v>#VALUE!</v>
      </c>
      <c r="I20" t="e">
        <f t="shared" si="2"/>
        <v>#VALUE!</v>
      </c>
    </row>
    <row r="21" spans="1:9" ht="18.75">
      <c r="A21" s="176" t="s">
        <v>382</v>
      </c>
      <c r="B21" s="6" t="str">
        <f>VLOOKUP("A3",'poradie v skupinach'!$A$5:$B$36,2,0)</f>
        <v>MARUNIAK Martin</v>
      </c>
      <c r="C21" s="6">
        <f>VLOOKUP(B21,'startova listina'!$E$7:$I$39,2,0)</f>
        <v>2001</v>
      </c>
      <c r="D21" s="6" t="str">
        <f>VLOOKUP(B21,'startova listina'!$E$7:$I$39,3,0)</f>
        <v>MSTK VTJ MARTIN</v>
      </c>
      <c r="G21" s="406">
        <f t="shared" si="0"/>
        <v>15</v>
      </c>
      <c r="H21" s="406" t="e">
        <f t="shared" si="1"/>
        <v>#VALUE!</v>
      </c>
      <c r="I21" t="e">
        <f t="shared" si="2"/>
        <v>#VALUE!</v>
      </c>
    </row>
    <row r="22" spans="1:9" ht="18.75">
      <c r="A22" s="176"/>
      <c r="B22" s="6" t="str">
        <f>VLOOKUP("b3",'poradie v skupinach'!$A$5:$B$36,2,0)</f>
        <v>KAPUSTA Martin</v>
      </c>
      <c r="C22" s="6">
        <f>VLOOKUP(B22,'startova listina'!$E$7:$I$39,2,0)</f>
        <v>2002</v>
      </c>
      <c r="D22" s="6" t="str">
        <f>VLOOKUP(B22,'startova listina'!$E$7:$I$39,3,0)</f>
        <v>MSK ČADCA</v>
      </c>
      <c r="G22" s="406">
        <f t="shared" si="0"/>
        <v>14</v>
      </c>
      <c r="H22" s="406" t="e">
        <f t="shared" si="1"/>
        <v>#VALUE!</v>
      </c>
      <c r="I22" t="e">
        <f t="shared" si="2"/>
        <v>#VALUE!</v>
      </c>
    </row>
    <row r="23" spans="1:9" ht="18.75">
      <c r="A23" s="176"/>
      <c r="B23" s="6" t="str">
        <f>VLOOKUP("c3",'poradie v skupinach'!$A$5:$B$36,2,0)</f>
        <v>FREUND Andrej</v>
      </c>
      <c r="C23" s="6">
        <f>VLOOKUP(B23,'startova listina'!$E$7:$I$39,2,0)</f>
        <v>2002</v>
      </c>
      <c r="D23" s="6" t="str">
        <f>VLOOKUP(B23,'startova listina'!$E$7:$I$39,3,0)</f>
        <v>MSK MALACKY</v>
      </c>
      <c r="G23" s="406">
        <f t="shared" si="0"/>
        <v>13</v>
      </c>
      <c r="H23" s="406" t="e">
        <f t="shared" si="1"/>
        <v>#VALUE!</v>
      </c>
      <c r="I23" t="e">
        <f t="shared" si="2"/>
        <v>#VALUE!</v>
      </c>
    </row>
    <row r="24" spans="1:9" ht="18.75">
      <c r="A24" s="176"/>
      <c r="B24" s="6" t="str">
        <f>VLOOKUP("d3",'poradie v skupinach'!$A$5:$B$36,2,0)</f>
        <v>DELINČAK Filip</v>
      </c>
      <c r="C24" s="6">
        <f>VLOOKUP(B24,'startova listina'!$E$7:$I$39,2,0)</f>
        <v>2003</v>
      </c>
      <c r="D24" s="6" t="str">
        <f>VLOOKUP(B24,'startova listina'!$E$7:$I$39,3,0)</f>
        <v>MSK ČADCA</v>
      </c>
      <c r="G24" s="406">
        <f t="shared" si="0"/>
        <v>14</v>
      </c>
      <c r="H24" s="406" t="e">
        <f t="shared" si="1"/>
        <v>#VALUE!</v>
      </c>
      <c r="I24" t="e">
        <f t="shared" si="2"/>
        <v>#VALUE!</v>
      </c>
    </row>
    <row r="25" spans="1:9" ht="18.75">
      <c r="A25" s="176"/>
      <c r="B25" s="6" t="str">
        <f>VLOOKUP("e3",'poradie v skupinach'!$A$5:$B$36,2,0)</f>
        <v>VICO Dávid</v>
      </c>
      <c r="C25" s="6">
        <f>VLOOKUP(B25,'startova listina'!$E$7:$I$39,2,0)</f>
        <v>2001</v>
      </c>
      <c r="D25" s="6" t="str">
        <f>VLOOKUP(B25,'startova listina'!$E$7:$I$39,3,0)</f>
        <v>STO VALALIKY</v>
      </c>
      <c r="G25" s="406">
        <f t="shared" si="0"/>
        <v>10</v>
      </c>
      <c r="H25" s="406" t="e">
        <f t="shared" si="1"/>
        <v>#VALUE!</v>
      </c>
      <c r="I25" t="e">
        <f t="shared" si="2"/>
        <v>#VALUE!</v>
      </c>
    </row>
    <row r="26" spans="1:9" ht="18.75">
      <c r="A26" s="176"/>
      <c r="B26" s="6" t="str">
        <f>VLOOKUP("f3",'poradie v skupinach'!$A$5:$B$36,2,0)</f>
        <v>PACH Kamil</v>
      </c>
      <c r="C26" s="6">
        <f>VLOOKUP(B26,'startova listina'!$E$7:$I$39,2,0)</f>
        <v>2003</v>
      </c>
      <c r="D26" s="6" t="str">
        <f>VLOOKUP(B26,'startova listina'!$E$7:$I$39,3,0)</f>
        <v>STO VALALIKY</v>
      </c>
      <c r="G26" s="406">
        <f t="shared" si="0"/>
        <v>10</v>
      </c>
      <c r="H26" s="406" t="e">
        <f t="shared" si="1"/>
        <v>#VALUE!</v>
      </c>
      <c r="I26" t="e">
        <f t="shared" si="2"/>
        <v>#VALUE!</v>
      </c>
    </row>
    <row r="27" spans="1:9" ht="18.75">
      <c r="A27" s="176"/>
      <c r="B27" s="6" t="str">
        <f>VLOOKUP("g3",'poradie v skupinach'!$A$5:$B$36,2,0)</f>
        <v>TUREK Teodor</v>
      </c>
      <c r="C27" s="6">
        <f>VLOOKUP(B27,'startova listina'!$E$7:$I$39,2,0)</f>
        <v>2001</v>
      </c>
      <c r="D27" s="6" t="str">
        <f>VLOOKUP(B27,'startova listina'!$E$7:$I$39,3,0)</f>
        <v>ŠK ŠOG NITRA</v>
      </c>
      <c r="G27" s="406">
        <f t="shared" si="0"/>
        <v>12</v>
      </c>
      <c r="H27" s="406" t="e">
        <f t="shared" si="1"/>
        <v>#VALUE!</v>
      </c>
      <c r="I27" t="e">
        <f t="shared" si="2"/>
        <v>#VALUE!</v>
      </c>
    </row>
    <row r="28" spans="1:9" ht="18.75">
      <c r="A28" s="176"/>
      <c r="B28" s="6" t="str">
        <f>VLOOKUP("h3",'poradie v skupinach'!$A$5:$B$36,2,0)</f>
        <v>TRUBÁČIK Tomáš</v>
      </c>
      <c r="C28" s="6">
        <f>VLOOKUP(B28,'startova listina'!$E$7:$I$39,2,0)</f>
        <v>2002</v>
      </c>
      <c r="D28" s="6" t="str">
        <f>VLOOKUP(B28,'startova listina'!$E$7:$I$39,3,0)</f>
        <v>CVČ ZLATÉ MORAVCE</v>
      </c>
      <c r="G28" s="406">
        <f t="shared" si="0"/>
        <v>14</v>
      </c>
      <c r="H28" s="406" t="e">
        <f t="shared" si="1"/>
        <v>#VALUE!</v>
      </c>
      <c r="I28" t="e">
        <f t="shared" si="2"/>
        <v>#VALUE!</v>
      </c>
    </row>
    <row r="29" spans="1:9" ht="18.75">
      <c r="A29" s="176" t="str">
        <f>CONCATENATE("25","-",'startova listina'!E5)</f>
        <v>25-32</v>
      </c>
      <c r="B29" s="6" t="str">
        <f>IF(ISERROR(VLOOKUP("a4",'poradie v skupinach'!$A$5:$B$36,2,0))=TRUE,"",VLOOKUP("a4",'poradie v skupinach'!$A$5:$B$36,2,0))</f>
        <v>MIKLUŠČÁK Benjamín</v>
      </c>
      <c r="C29" s="6">
        <f>VLOOKUP(B29,'startova listina'!$E$7:$I$39,2,0)</f>
        <v>2002</v>
      </c>
      <c r="D29" s="6" t="str">
        <f>VLOOKUP(B29,'startova listina'!$E$7:$I$39,3,0)</f>
        <v>ŠKST KARLOVA VES</v>
      </c>
      <c r="G29" s="406">
        <f t="shared" si="0"/>
        <v>18</v>
      </c>
      <c r="H29" s="406" t="e">
        <f t="shared" si="1"/>
        <v>#VALUE!</v>
      </c>
      <c r="I29" t="e">
        <f t="shared" si="2"/>
        <v>#VALUE!</v>
      </c>
    </row>
    <row r="30" spans="1:9" ht="18.75">
      <c r="A30" s="178"/>
      <c r="B30" s="6" t="str">
        <f>IF(ISERROR(VLOOKUP("b4",'poradie v skupinach'!$A$5:$B$36,2,0))=TRUE,"",VLOOKUP("b4",'poradie v skupinach'!$A$5:$B$36,2,0))</f>
        <v>ZAJAC Jakub</v>
      </c>
      <c r="C30" s="6">
        <f>VLOOKUP(B30,'startova listina'!$E$7:$I$39,2,0)</f>
        <v>2001</v>
      </c>
      <c r="D30" s="6" t="str">
        <f>VLOOKUP(B30,'startova listina'!$E$7:$I$39,3,0)</f>
        <v>TJ ORAVAN NÁMESTOVO</v>
      </c>
      <c r="G30" s="406">
        <f t="shared" si="0"/>
        <v>11</v>
      </c>
      <c r="H30" s="406" t="e">
        <f t="shared" si="1"/>
        <v>#VALUE!</v>
      </c>
      <c r="I30" t="e">
        <f t="shared" si="2"/>
        <v>#VALUE!</v>
      </c>
    </row>
    <row r="31" spans="1:9" ht="18.75">
      <c r="A31" s="178"/>
      <c r="B31" s="6" t="str">
        <f>IF(ISERROR(VLOOKUP("c4",'poradie v skupinach'!$A$5:$B$36,2,0))=TRUE,"",VLOOKUP("c4",'poradie v skupinach'!$A$5:$B$36,2,0))</f>
        <v>KLUČÁR Matej</v>
      </c>
      <c r="C31" s="6">
        <f>VLOOKUP(B31,'startova listina'!$E$7:$I$39,2,0)</f>
        <v>2002</v>
      </c>
      <c r="D31" s="6" t="str">
        <f>VLOOKUP(B31,'startova listina'!$E$7:$I$39,3,0)</f>
        <v>TTC MAJCICHOV</v>
      </c>
      <c r="G31" s="406">
        <f t="shared" si="0"/>
        <v>12</v>
      </c>
      <c r="H31" s="406" t="e">
        <f t="shared" si="1"/>
        <v>#VALUE!</v>
      </c>
      <c r="I31" t="e">
        <f t="shared" si="2"/>
        <v>#VALUE!</v>
      </c>
    </row>
    <row r="32" spans="1:9" ht="18.75">
      <c r="A32" s="178"/>
      <c r="B32" s="6" t="str">
        <f>IF(ISERROR(VLOOKUP("d4",'poradie v skupinach'!$A$5:$B$36,2,0))=TRUE,"",VLOOKUP("d4",'poradie v skupinach'!$A$5:$B$36,2,0))</f>
        <v>TRŇAN Jakub</v>
      </c>
      <c r="C32" s="6">
        <f>VLOOKUP(B32,'startova listina'!$E$7:$I$39,2,0)</f>
        <v>2001</v>
      </c>
      <c r="D32" s="6" t="str">
        <f>VLOOKUP(B32,'startova listina'!$E$7:$I$39,3,0)</f>
        <v>STK RYBNÍK</v>
      </c>
      <c r="G32" s="406">
        <f t="shared" si="0"/>
        <v>11</v>
      </c>
      <c r="H32" s="406" t="e">
        <f t="shared" si="1"/>
        <v>#VALUE!</v>
      </c>
      <c r="I32" t="e">
        <f t="shared" si="2"/>
        <v>#VALUE!</v>
      </c>
    </row>
    <row r="33" spans="1:9" ht="18.75">
      <c r="A33" s="178"/>
      <c r="B33" s="6" t="str">
        <f>IF(ISERROR(VLOOKUP("e4",'poradie v skupinach'!$A$5:$B$36,2,0))=TRUE,"",VLOOKUP("e4",'poradie v skupinach'!$A$5:$B$36,2,0))</f>
        <v>MACKO Miroslav</v>
      </c>
      <c r="C33" s="6">
        <f>VLOOKUP(B33,'startova listina'!$E$7:$I$39,2,0)</f>
        <v>2001</v>
      </c>
      <c r="D33" s="6" t="str">
        <f>VLOOKUP(B33,'startova listina'!$E$7:$I$39,3,0)</f>
        <v>ŠKST KARLOVA VES</v>
      </c>
      <c r="G33" s="406">
        <f t="shared" si="0"/>
        <v>14</v>
      </c>
      <c r="H33" s="406" t="e">
        <f t="shared" si="1"/>
        <v>#VALUE!</v>
      </c>
      <c r="I33" t="e">
        <f t="shared" si="2"/>
        <v>#VALUE!</v>
      </c>
    </row>
    <row r="34" spans="1:9" ht="18.75">
      <c r="A34" s="178"/>
      <c r="B34" s="6" t="str">
        <f>IF(ISERROR(VLOOKUP("f4",'poradie v skupinach'!$A$5:$B$36,2,0))=TRUE,"",VLOOKUP("f4",'poradie v skupinach'!$A$5:$B$36,2,0))</f>
        <v>KALINKA Timotej</v>
      </c>
      <c r="C34" s="6">
        <f>VLOOKUP(B34,'startova listina'!$E$7:$I$39,2,0)</f>
        <v>2002</v>
      </c>
      <c r="D34" s="6" t="str">
        <f>VLOOKUP(B34,'startova listina'!$E$7:$I$39,3,0)</f>
        <v>MSTK VTJ MARTIN</v>
      </c>
      <c r="G34" s="406">
        <f t="shared" si="0"/>
        <v>15</v>
      </c>
      <c r="H34" s="406" t="e">
        <f t="shared" si="1"/>
        <v>#VALUE!</v>
      </c>
      <c r="I34" t="e">
        <f t="shared" si="2"/>
        <v>#VALUE!</v>
      </c>
    </row>
    <row r="35" spans="1:9" ht="18.75">
      <c r="A35" s="178"/>
      <c r="B35" s="6" t="str">
        <f>IF(ISERROR(VLOOKUP("g4",'poradie v skupinach'!$A$5:$B$36,2,0))=TRUE,"",VLOOKUP("g4",'poradie v skupinach'!$A$5:$B$36,2,0))</f>
        <v>JALOVECKÝ Marek</v>
      </c>
      <c r="C35" s="6">
        <f>VLOOKUP(B35,'startova listina'!$E$7:$I$39,2,0)</f>
        <v>2001</v>
      </c>
      <c r="D35" s="6" t="str">
        <f>VLOOKUP(B35,'startova listina'!$E$7:$I$39,3,0)</f>
        <v>STK ZŠ NA BIELENISKU PEZINOK</v>
      </c>
      <c r="G35" s="406">
        <f t="shared" si="0"/>
        <v>15</v>
      </c>
      <c r="H35" s="406" t="e">
        <f t="shared" si="1"/>
        <v>#VALUE!</v>
      </c>
      <c r="I35" t="e">
        <f t="shared" si="2"/>
        <v>#VALUE!</v>
      </c>
    </row>
    <row r="36" spans="1:9" ht="18.75">
      <c r="A36" s="178"/>
      <c r="B36" s="6" t="str">
        <f>IF(ISERROR(VLOOKUP("h4",'poradie v skupinach'!$A$5:$B$36,2,0))=TRUE,"",VLOOKUP("h4",'poradie v skupinach'!$A$5:$B$36,2,0))</f>
        <v>MAKÚCH Damian</v>
      </c>
      <c r="C36" s="6">
        <f>VLOOKUP(B36,'startova listina'!$E$7:$I$39,2,0)</f>
        <v>2001</v>
      </c>
      <c r="D36" s="6" t="str">
        <f>VLOOKUP(B36,'startova listina'!$E$7:$I$39,3,0)</f>
        <v>TJ ORAVAN NÁMESTOVO/TATRAN KRUŠETNICA</v>
      </c>
      <c r="G36" s="406">
        <f t="shared" si="0"/>
        <v>13</v>
      </c>
      <c r="H36" s="406" t="e">
        <f t="shared" si="1"/>
        <v>#VALUE!</v>
      </c>
      <c r="I36" t="e">
        <f t="shared" si="2"/>
        <v>#VALUE!</v>
      </c>
    </row>
    <row r="37" spans="1:9" ht="18.75">
      <c r="B37" s="30"/>
    </row>
  </sheetData>
  <mergeCells count="1">
    <mergeCell ref="A1:D1"/>
  </mergeCells>
  <pageMargins left="0.70866141732283472" right="0.31496062992125984" top="0.27559055118110237" bottom="0.47244094488188981" header="0.15748031496062992" footer="0.31496062992125984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D28"/>
  <sheetViews>
    <sheetView showGridLines="0" view="pageBreakPreview" topLeftCell="A3" zoomScale="90" zoomScaleSheetLayoutView="90" workbookViewId="0">
      <selection activeCell="B38" sqref="B38"/>
    </sheetView>
  </sheetViews>
  <sheetFormatPr defaultRowHeight="15"/>
  <cols>
    <col min="1" max="1" width="10" style="136" customWidth="1"/>
    <col min="2" max="2" width="27.42578125" customWidth="1"/>
    <col min="3" max="3" width="14" customWidth="1"/>
    <col min="4" max="4" width="33" customWidth="1"/>
  </cols>
  <sheetData>
    <row r="1" spans="1:4" s="180" customFormat="1" ht="38.25" customHeight="1">
      <c r="A1" s="554" t="str">
        <f>CONCATENATE("Majstrovstvá Slovenska jednotlivcov - ",'startova listina'!D3)</f>
        <v>Majstrovstvá Slovenska jednotlivcov - Mladší žiaci</v>
      </c>
      <c r="B1" s="555"/>
      <c r="C1" s="555"/>
      <c r="D1" s="555"/>
    </row>
    <row r="2" spans="1:4" ht="46.5" customHeight="1">
      <c r="C2" s="395" t="str">
        <f>'startova listina'!F2</f>
        <v>Valaliky, 7. - 8. 6. 2014</v>
      </c>
    </row>
    <row r="3" spans="1:4" ht="30" customHeight="1">
      <c r="A3" s="396" t="s">
        <v>389</v>
      </c>
    </row>
    <row r="4" spans="1:4" ht="18.75">
      <c r="A4" s="176" t="s">
        <v>390</v>
      </c>
      <c r="B4" s="6" t="s">
        <v>3</v>
      </c>
      <c r="C4" s="6" t="s">
        <v>4</v>
      </c>
      <c r="D4" s="6" t="s">
        <v>5</v>
      </c>
    </row>
    <row r="5" spans="1:4" ht="18.75">
      <c r="A5" s="176">
        <v>1</v>
      </c>
      <c r="B5" s="6" t="str">
        <f>'KO dievcata'!V4</f>
        <v>LABOŠOVÁ Ema</v>
      </c>
      <c r="C5" s="6">
        <f>VLOOKUP(B5,'startova listina'!$E$45:$I$68,2,0)</f>
        <v>2001</v>
      </c>
      <c r="D5" s="6" t="str">
        <f>VLOOKUP(B5,'startova listina'!$E$45:$I$68,3,0)</f>
        <v>ŠSTK JUNIOR ČAŇA</v>
      </c>
    </row>
    <row r="6" spans="1:4" ht="18.75">
      <c r="A6" s="176">
        <v>2</v>
      </c>
      <c r="B6" s="6" t="str">
        <f>'KO dievcata'!V5</f>
        <v>ŠINKAROVÁ Dáša</v>
      </c>
      <c r="C6" s="6">
        <f>VLOOKUP(B6,'startova listina'!$E$45:$I$68,2,0)</f>
        <v>2001</v>
      </c>
      <c r="D6" s="6" t="str">
        <f>VLOOKUP(B6,'startova listina'!$E$45:$I$68,3,0)</f>
        <v>ŠKST MICHALOVCE</v>
      </c>
    </row>
    <row r="7" spans="1:4" ht="18.75">
      <c r="A7" s="177" t="s">
        <v>381</v>
      </c>
      <c r="B7" s="6" t="str">
        <f>'KO dievcata'!V6</f>
        <v>MAJERSKÁ Alena</v>
      </c>
      <c r="C7" s="6">
        <f>VLOOKUP(B7,'startova listina'!$E$45:$I$68,2,0)</f>
        <v>2002</v>
      </c>
      <c r="D7" s="6" t="str">
        <f>VLOOKUP(B7,'startova listina'!$E$45:$I$68,3,0)</f>
        <v>STO VALALIKY</v>
      </c>
    </row>
    <row r="8" spans="1:4" ht="18.75">
      <c r="A8" s="176"/>
      <c r="B8" s="6" t="str">
        <f>'KO dievcata'!V7</f>
        <v>PEKOVÁ Zuzana</v>
      </c>
      <c r="C8" s="6">
        <f>VLOOKUP(B8,'startova listina'!$E$45:$I$68,2,0)</f>
        <v>2002</v>
      </c>
      <c r="D8" s="6" t="str">
        <f>VLOOKUP(B8,'startova listina'!$E$45:$I$68,3,0)</f>
        <v>KST VIKTÓRIA TRNAVA</v>
      </c>
    </row>
    <row r="9" spans="1:4" ht="18.75">
      <c r="A9" s="177" t="s">
        <v>119</v>
      </c>
      <c r="B9" s="6" t="str">
        <f>'KO dievcata'!V8</f>
        <v>TEREZKOVÁ Jana</v>
      </c>
      <c r="C9" s="6">
        <f>VLOOKUP(B9,'startova listina'!$E$45:$I$68,2,0)</f>
        <v>2002</v>
      </c>
      <c r="D9" s="6" t="str">
        <f>VLOOKUP(B9,'startova listina'!$E$45:$I$68,3,0)</f>
        <v>ŠKST MICHALOVCE</v>
      </c>
    </row>
    <row r="10" spans="1:4" ht="18.75">
      <c r="A10" s="176"/>
      <c r="B10" s="6" t="str">
        <f>'KO dievcata'!V9</f>
        <v>SLOBODNÍKOVÁ Hana</v>
      </c>
      <c r="C10" s="6">
        <f>VLOOKUP(B10,'startova listina'!$E$45:$I$68,2,0)</f>
        <v>2003</v>
      </c>
      <c r="D10" s="6" t="str">
        <f>VLOOKUP(B10,'startova listina'!$E$45:$I$68,3,0)</f>
        <v>ŠKST KARLOVA VES</v>
      </c>
    </row>
    <row r="11" spans="1:4" ht="18.75">
      <c r="A11" s="176"/>
      <c r="B11" s="6" t="str">
        <f>'KO dievcata'!V10</f>
        <v>DIVINSKÁ Natália</v>
      </c>
      <c r="C11" s="6">
        <f>VLOOKUP(B11,'startova listina'!$E$45:$I$68,2,0)</f>
        <v>2002</v>
      </c>
      <c r="D11" s="6" t="str">
        <f>VLOOKUP(B11,'startova listina'!$E$45:$I$68,3,0)</f>
        <v>MSTK TVRDOŠÍN</v>
      </c>
    </row>
    <row r="12" spans="1:4" ht="18.75">
      <c r="A12" s="176"/>
      <c r="B12" s="6" t="str">
        <f>'KO dievcata'!V11</f>
        <v>ŠVAJDLENKOVÁ Laura</v>
      </c>
      <c r="C12" s="6">
        <f>VLOOKUP(B12,'startova listina'!$E$45:$I$68,2,0)</f>
        <v>2001</v>
      </c>
      <c r="D12" s="6" t="str">
        <f>VLOOKUP(B12,'startova listina'!$E$45:$I$68,3,0)</f>
        <v>MSK MALACKY</v>
      </c>
    </row>
    <row r="13" spans="1:4" ht="18.75">
      <c r="A13" s="176" t="s">
        <v>118</v>
      </c>
      <c r="B13" s="6" t="str">
        <f>'KO dievcata'!V12</f>
        <v>MIKULOVÁ Terézia</v>
      </c>
      <c r="C13" s="6">
        <f>VLOOKUP(B13,'startova listina'!$E$45:$I$68,2,0)</f>
        <v>2001</v>
      </c>
      <c r="D13" s="6" t="str">
        <f>VLOOKUP(B13,'startova listina'!$E$45:$I$68,3,0)</f>
        <v>KST DRIVE TR. JASTRABIE</v>
      </c>
    </row>
    <row r="14" spans="1:4" ht="18.75">
      <c r="A14" s="176"/>
      <c r="B14" s="6" t="str">
        <f>'KO dievcata'!V13</f>
        <v>DZUROVÁ Lenka</v>
      </c>
      <c r="C14" s="6">
        <f>VLOOKUP(B14,'startova listina'!$E$45:$I$68,2,0)</f>
        <v>2002</v>
      </c>
      <c r="D14" s="6" t="str">
        <f>VLOOKUP(B14,'startova listina'!$E$45:$I$68,3,0)</f>
        <v>STK STARÁ TURÁ</v>
      </c>
    </row>
    <row r="15" spans="1:4" ht="18.75">
      <c r="A15" s="176"/>
      <c r="B15" s="6" t="str">
        <f>'KO dievcata'!V14</f>
        <v>PAPCUNOVÁ Viktória</v>
      </c>
      <c r="C15" s="6">
        <f>VLOOKUP(B15,'startova listina'!$E$45:$I$68,2,0)</f>
        <v>2001</v>
      </c>
      <c r="D15" s="6" t="str">
        <f>VLOOKUP(B15,'startova listina'!$E$45:$I$68,3,0)</f>
        <v>ŠSTK JUNIOR ČAŇA</v>
      </c>
    </row>
    <row r="16" spans="1:4" ht="18.75">
      <c r="A16" s="176"/>
      <c r="B16" s="6" t="str">
        <f>'KO dievcata'!V15</f>
        <v>DZELINSKA Júlia</v>
      </c>
      <c r="C16" s="6">
        <f>VLOOKUP(B16,'startova listina'!$E$45:$I$68,2,0)</f>
        <v>2002</v>
      </c>
      <c r="D16" s="6" t="str">
        <f>VLOOKUP(B16,'startova listina'!$E$45:$I$68,3,0)</f>
        <v>ŠKST MICHALOVCE/STK LOKOMOTÍVA KOŠICE</v>
      </c>
    </row>
    <row r="17" spans="1:4" ht="18.75">
      <c r="A17" s="176"/>
      <c r="B17" s="6" t="str">
        <f>'KO dievcata'!V16</f>
        <v>CHYLOVÁ Sabína</v>
      </c>
      <c r="C17" s="6">
        <f>VLOOKUP(B17,'startova listina'!$E$45:$I$68,2,0)</f>
        <v>2001</v>
      </c>
      <c r="D17" s="6" t="str">
        <f>VLOOKUP(B17,'startova listina'!$E$45:$I$68,3,0)</f>
        <v>MSTK TVRDOŠÍN</v>
      </c>
    </row>
    <row r="18" spans="1:4" ht="18.75">
      <c r="A18" s="176"/>
      <c r="B18" s="6" t="str">
        <f>'KO dievcata'!V17</f>
        <v>GORFOLOVÁ Viktória</v>
      </c>
      <c r="C18" s="6">
        <f>VLOOKUP(B18,'startova listina'!$E$45:$I$68,2,0)</f>
        <v>2001</v>
      </c>
      <c r="D18" s="6" t="str">
        <f>VLOOKUP(B18,'startova listina'!$E$45:$I$68,3,0)</f>
        <v>GASTO METALFIN GALANTA</v>
      </c>
    </row>
    <row r="19" spans="1:4" ht="18.75">
      <c r="A19" s="176"/>
      <c r="B19" s="6" t="str">
        <f>'KO dievcata'!V18</f>
        <v>VOJTASOVA Patrícia</v>
      </c>
      <c r="C19" s="6">
        <f>VLOOKUP(B19,'startova listina'!$E$45:$I$68,2,0)</f>
        <v>2001</v>
      </c>
      <c r="D19" s="6" t="str">
        <f>VLOOKUP(B19,'startova listina'!$E$45:$I$68,3,0)</f>
        <v>ZŠ LIETAVSKÁ LÚČKA</v>
      </c>
    </row>
    <row r="20" spans="1:4" ht="18.75">
      <c r="A20" s="176"/>
      <c r="B20" s="6" t="str">
        <f>'KO dievcata'!V19</f>
        <v>HUDÁKOVÁ Ivana</v>
      </c>
      <c r="C20" s="6">
        <f>VLOOKUP(B20,'startova listina'!$E$45:$I$68,2,0)</f>
        <v>2001</v>
      </c>
      <c r="D20" s="6" t="str">
        <f>VLOOKUP(B20,'startova listina'!$E$45:$I$68,3,0)</f>
        <v>ZŠ VYŠNÝ ŽIPOV</v>
      </c>
    </row>
    <row r="21" spans="1:4" ht="18.75">
      <c r="A21" s="176" t="str">
        <f>CONCATENATE("17","-",'startova listina'!E42)</f>
        <v>17-24</v>
      </c>
      <c r="B21" s="6" t="str">
        <f>IF(ISERROR(VLOOKUP("a3",'poradie v skupinach'!$G$5:$I$28,2,0))=TRUE,"",VLOOKUP("a3",'poradie v skupinach'!$G$5:$I$28,2,0))</f>
        <v>LEDAJOVÁ Martina</v>
      </c>
      <c r="C21" s="6">
        <f>VLOOKUP(B21,'startova listina'!$E$45:$I$68,2,0)</f>
        <v>2001</v>
      </c>
      <c r="D21" s="6" t="str">
        <f>VLOOKUP(B21,'startova listina'!$E$45:$I$68,3,0)</f>
        <v>STK OROL OTRHÁNKY</v>
      </c>
    </row>
    <row r="22" spans="1:4" ht="18.75">
      <c r="A22" s="176"/>
      <c r="B22" s="6" t="str">
        <f>IF(ISERROR(VLOOKUP("b3",'poradie v skupinach'!$G$5:$I$28,2,0))=TRUE,"",VLOOKUP("b3",'poradie v skupinach'!$G$5:$I$28,2,0))</f>
        <v>GALČÍKOVÁ Sára</v>
      </c>
      <c r="C22" s="6">
        <f>VLOOKUP(B22,'startova listina'!$E$45:$I$68,2,0)</f>
        <v>2001</v>
      </c>
      <c r="D22" s="6" t="str">
        <f>VLOOKUP(B22,'startova listina'!$E$45:$I$68,3,0)</f>
        <v>TJ ORAVAN NÁMESTOVO</v>
      </c>
    </row>
    <row r="23" spans="1:4" ht="18.75">
      <c r="A23" s="176"/>
      <c r="B23" s="6" t="str">
        <f>IF(ISERROR(VLOOKUP("c3",'poradie v skupinach'!$G$5:$I$28,2,0))=TRUE,"",VLOOKUP("c3",'poradie v skupinach'!$G$5:$I$28,2,0))</f>
        <v>SISKOVÁ Zuzana</v>
      </c>
      <c r="C23" s="6">
        <f>VLOOKUP(B23,'startova listina'!$E$45:$I$68,2,0)</f>
        <v>2003</v>
      </c>
      <c r="D23" s="6" t="str">
        <f>VLOOKUP(B23,'startova listina'!$E$45:$I$68,3,0)</f>
        <v>TTC MAJCICHOV</v>
      </c>
    </row>
    <row r="24" spans="1:4" ht="18.75">
      <c r="A24" s="176"/>
      <c r="B24" s="6" t="str">
        <f>IF(ISERROR(VLOOKUP("d3",'poradie v skupinach'!$G$5:$I$28,2,0))=TRUE,"",VLOOKUP("d3",'poradie v skupinach'!$G$5:$I$28,2,0))</f>
        <v>GAŠPARÍKOVÁ Lucia</v>
      </c>
      <c r="C24" s="6">
        <f>VLOOKUP(B24,'startova listina'!$E$45:$I$68,2,0)</f>
        <v>2002</v>
      </c>
      <c r="D24" s="6" t="str">
        <f>VLOOKUP(B24,'startova listina'!$E$45:$I$68,3,0)</f>
        <v>TTC MAJCICHOV</v>
      </c>
    </row>
    <row r="25" spans="1:4" ht="18.75">
      <c r="A25" s="176"/>
      <c r="B25" s="6" t="str">
        <f>IF(ISERROR(VLOOKUP("e3",'poradie v skupinach'!$G$5:$I$28,2,0))=TRUE,"",VLOOKUP("e3",'poradie v skupinach'!$G$5:$I$28,2,0))</f>
        <v>HURBANOVÁ Isabella</v>
      </c>
      <c r="C25" s="6">
        <f>VLOOKUP(B25,'startova listina'!$E$45:$I$68,2,0)</f>
        <v>2003</v>
      </c>
      <c r="D25" s="6" t="str">
        <f>VLOOKUP(B25,'startova listina'!$E$45:$I$68,3,0)</f>
        <v>MSK MALACKY</v>
      </c>
    </row>
    <row r="26" spans="1:4" ht="18.75">
      <c r="A26" s="176"/>
      <c r="B26" s="6" t="str">
        <f>IF(ISERROR(VLOOKUP("f3",'poradie v skupinach'!$G$5:$I$28,2,0))=TRUE,"",VLOOKUP("f3",'poradie v skupinach'!$G$5:$I$28,2,0))</f>
        <v>LACENOVÁ Renáta</v>
      </c>
      <c r="C26" s="6">
        <f>VLOOKUP(B26,'startova listina'!$E$45:$I$68,2,0)</f>
        <v>2003</v>
      </c>
      <c r="D26" s="6" t="str">
        <f>VLOOKUP(B26,'startova listina'!$E$45:$I$68,3,0)</f>
        <v>ŠKST TOPOĽČANY</v>
      </c>
    </row>
    <row r="27" spans="1:4" ht="18.75">
      <c r="A27" s="176"/>
      <c r="B27" s="6" t="str">
        <f>IF(ISERROR(VLOOKUP("g3",'poradie v skupinach'!$G$5:$I$28,2,0))=TRUE,"",VLOOKUP("g3",'poradie v skupinach'!$G$5:$I$28,2,0))</f>
        <v>VIŠŇOVSKÁ Nina</v>
      </c>
      <c r="C27" s="6">
        <f>VLOOKUP(B27,'startova listina'!$E$45:$I$68,2,0)</f>
        <v>2003</v>
      </c>
      <c r="D27" s="6" t="str">
        <f>VLOOKUP(B27,'startova listina'!$E$45:$I$68,3,0)</f>
        <v>TTC INTERSPEAD N.ZÁMKY</v>
      </c>
    </row>
    <row r="28" spans="1:4" ht="18.75">
      <c r="A28" s="176"/>
      <c r="B28" s="6" t="str">
        <f>IF(ISERROR(VLOOKUP("h3",'poradie v skupinach'!$G$5:$I$28,2,0))=TRUE,"",VLOOKUP("h3",'poradie v skupinach'!$G$5:$I$28,2,0))</f>
        <v>PISARČIKOVÁ Frederika</v>
      </c>
      <c r="C28" s="6">
        <f>VLOOKUP(B28,'startova listina'!$E$45:$I$68,2,0)</f>
        <v>2002</v>
      </c>
      <c r="D28" s="6" t="str">
        <f>VLOOKUP(B28,'startova listina'!$E$45:$I$68,3,0)</f>
        <v>ŠKST RUŽOMBEROK</v>
      </c>
    </row>
  </sheetData>
  <mergeCells count="1">
    <mergeCell ref="A1:D1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D37"/>
  <sheetViews>
    <sheetView showGridLines="0" view="pageBreakPreview" zoomScale="80" zoomScaleSheetLayoutView="80" workbookViewId="0">
      <selection activeCell="I24" sqref="I24"/>
    </sheetView>
  </sheetViews>
  <sheetFormatPr defaultRowHeight="15"/>
  <cols>
    <col min="1" max="1" width="9.140625" style="136"/>
    <col min="2" max="2" width="29.5703125" customWidth="1"/>
    <col min="3" max="3" width="12" customWidth="1"/>
    <col min="4" max="4" width="34.5703125" customWidth="1"/>
    <col min="5" max="5" width="3" customWidth="1"/>
  </cols>
  <sheetData>
    <row r="1" spans="1:4" s="180" customFormat="1" ht="38.25" customHeight="1">
      <c r="A1" s="561" t="str">
        <f>CONCATENATE("Majstrovstvá Slovenska jednotlivcov - ",'startova listina'!D3)</f>
        <v>Majstrovstvá Slovenska jednotlivcov - Mladší žiaci</v>
      </c>
      <c r="B1" s="562"/>
      <c r="C1" s="562"/>
      <c r="D1" s="562"/>
    </row>
    <row r="2" spans="1:4" ht="46.5" customHeight="1">
      <c r="C2" s="395" t="str">
        <f>'startova listina'!F2</f>
        <v>Valaliky, 7. - 8. 6. 2014</v>
      </c>
    </row>
    <row r="3" spans="1:4" ht="30" customHeight="1" thickBot="1">
      <c r="A3" s="396" t="s">
        <v>391</v>
      </c>
    </row>
    <row r="4" spans="1:4" ht="19.5" thickBot="1">
      <c r="A4" s="186"/>
      <c r="B4" s="187" t="s">
        <v>3</v>
      </c>
      <c r="C4" s="187" t="s">
        <v>4</v>
      </c>
      <c r="D4" s="188" t="s">
        <v>5</v>
      </c>
    </row>
    <row r="5" spans="1:4" ht="18.75">
      <c r="A5" s="557">
        <v>1</v>
      </c>
      <c r="B5" s="397" t="str">
        <f>VLOOKUP('CH4'!V4,vylosovanie!$N$75:$Q$106,3,0)</f>
        <v>ĎANOVSKÝ Martin</v>
      </c>
      <c r="C5" s="397">
        <f>VLOOKUP(B5,'startova listina'!$E$8:$G$39,2,0)</f>
        <v>2002</v>
      </c>
      <c r="D5" s="398" t="str">
        <f>VLOOKUP(B5,'startova listina'!$E$8:$G$39,3,0)</f>
        <v>LOKOMOTÍVA VRÚTKY</v>
      </c>
    </row>
    <row r="6" spans="1:4" ht="19.5" thickBot="1">
      <c r="A6" s="558"/>
      <c r="B6" s="399" t="str">
        <f>VLOOKUP('CH4'!V4,vylosovanie!$N$75:$Q$106,4,0)</f>
        <v>MILAN Martin</v>
      </c>
      <c r="C6" s="399">
        <f>VLOOKUP(B6,'startova listina'!$E$8:$G$39,2,0)</f>
        <v>2001</v>
      </c>
      <c r="D6" s="400" t="str">
        <f>VLOOKUP(B6,'startova listina'!$E$8:$G$39,3,0)</f>
        <v>1.PPC FORTUNA KEŽMAROK/TJ OBCE SPIŠSKÝ ŠTIAVNIK</v>
      </c>
    </row>
    <row r="7" spans="1:4" ht="18.75">
      <c r="A7" s="559">
        <v>2</v>
      </c>
      <c r="B7" s="182" t="str">
        <f>VLOOKUP('CH4'!V5,vylosovanie!$N$75:$Q$106,3,0)</f>
        <v>DIKO Dalibor</v>
      </c>
      <c r="C7" s="182">
        <f>VLOOKUP(B7,'startova listina'!$E$8:$G$39,2,0)</f>
        <v>2002</v>
      </c>
      <c r="D7" s="183" t="str">
        <f>VLOOKUP(B7,'startova listina'!$E$8:$G$39,3,0)</f>
        <v>TJ ORAVAN NÁMESTOVO</v>
      </c>
    </row>
    <row r="8" spans="1:4" ht="19.5" thickBot="1">
      <c r="A8" s="560"/>
      <c r="B8" s="184" t="str">
        <f>VLOOKUP('CH4'!V5,vylosovanie!$N$75:$Q$106,4,0)</f>
        <v>KYSEL Martin</v>
      </c>
      <c r="C8" s="184">
        <f>VLOOKUP(B8,'startova listina'!$E$8:$G$39,2,0)</f>
        <v>2001</v>
      </c>
      <c r="D8" s="185" t="str">
        <f>VLOOKUP(B8,'startova listina'!$E$8:$G$39,3,0)</f>
        <v>MSTK TVRDOŠÍN</v>
      </c>
    </row>
    <row r="9" spans="1:4" ht="18.75">
      <c r="A9" s="563" t="s">
        <v>381</v>
      </c>
      <c r="B9" s="397" t="str">
        <f>VLOOKUP('CH4'!V6,vylosovanie!$N$75:$Q$106,3,0)</f>
        <v>FEČO Samuel</v>
      </c>
      <c r="C9" s="397">
        <f>VLOOKUP(B9,'startova listina'!$E$8:$G$39,2,0)</f>
        <v>2001</v>
      </c>
      <c r="D9" s="398" t="str">
        <f>VLOOKUP(B9,'startova listina'!$E$8:$G$39,3,0)</f>
        <v>MŠK VSTK VRANOV NAD TOPĽOU</v>
      </c>
    </row>
    <row r="10" spans="1:4" ht="19.5" thickBot="1">
      <c r="A10" s="558"/>
      <c r="B10" s="399" t="str">
        <f>VLOOKUP('CH4'!V6,vylosovanie!$N$75:$Q$106,4,0)</f>
        <v>PAPÁNEK Martin</v>
      </c>
      <c r="C10" s="399">
        <f>VLOOKUP(B10,'startova listina'!$E$8:$G$39,2,0)</f>
        <v>2001</v>
      </c>
      <c r="D10" s="400" t="str">
        <f>VLOOKUP(B10,'startova listina'!$E$8:$G$39,3,0)</f>
        <v>STK NOVÁ BAŇA/PODLUŽANY</v>
      </c>
    </row>
    <row r="11" spans="1:4" ht="18.75">
      <c r="A11" s="556"/>
      <c r="B11" s="182" t="str">
        <f>VLOOKUP('CH4'!V7,vylosovanie!$N$75:$Q$106,3,0)</f>
        <v>HURKA Rastislav</v>
      </c>
      <c r="C11" s="181">
        <f>VLOOKUP(B11,'startova listina'!$E$8:$G$39,2,0)</f>
        <v>2001</v>
      </c>
      <c r="D11" s="189" t="str">
        <f>VLOOKUP(B11,'startova listina'!$E$8:$G$39,3,0)</f>
        <v>STO VALALIKY</v>
      </c>
    </row>
    <row r="12" spans="1:4" ht="19.5" thickBot="1">
      <c r="A12" s="556"/>
      <c r="B12" s="184" t="str">
        <f>VLOOKUP('CH4'!V7,vylosovanie!$N$75:$Q$106,4,0)</f>
        <v>JALOVECKÝ Marek</v>
      </c>
      <c r="C12" s="179">
        <f>VLOOKUP(B12,'startova listina'!$E$8:$G$39,2,0)</f>
        <v>2001</v>
      </c>
      <c r="D12" s="190" t="str">
        <f>VLOOKUP(B12,'startova listina'!$E$8:$G$39,3,0)</f>
        <v>STK ZŠ NA BIELENISKU PEZINOK</v>
      </c>
    </row>
    <row r="13" spans="1:4" ht="18.75">
      <c r="A13" s="557" t="s">
        <v>119</v>
      </c>
      <c r="B13" s="397" t="str">
        <f>VLOOKUP('CH4'!V8,vylosovanie!$N$75:$Q$106,3,0)</f>
        <v>PACH Kamil</v>
      </c>
      <c r="C13" s="397">
        <f>VLOOKUP(B13,'startova listina'!$E$8:$G$39,2,0)</f>
        <v>2003</v>
      </c>
      <c r="D13" s="398" t="str">
        <f>VLOOKUP(B13,'startova listina'!$E$8:$G$39,3,0)</f>
        <v>STO VALALIKY</v>
      </c>
    </row>
    <row r="14" spans="1:4" ht="19.5" thickBot="1">
      <c r="A14" s="558"/>
      <c r="B14" s="399" t="str">
        <f>VLOOKUP('CH4'!V8,vylosovanie!$N$75:$Q$106,4,0)</f>
        <v>DELINČAK Filip</v>
      </c>
      <c r="C14" s="399">
        <f>VLOOKUP(B14,'startova listina'!$E$8:$G$39,2,0)</f>
        <v>2003</v>
      </c>
      <c r="D14" s="400" t="str">
        <f>VLOOKUP(B14,'startova listina'!$E$8:$G$39,3,0)</f>
        <v>MSK ČADCA</v>
      </c>
    </row>
    <row r="15" spans="1:4" ht="18.75">
      <c r="A15" s="556"/>
      <c r="B15" s="182" t="str">
        <f>VLOOKUP('CH4'!V9,vylosovanie!$N$75:$Q$106,3,0)</f>
        <v>FUSEK Patrik</v>
      </c>
      <c r="C15" s="181">
        <f>VLOOKUP(B15,'startova listina'!$E$8:$G$39,2,0)</f>
        <v>2002</v>
      </c>
      <c r="D15" s="189" t="str">
        <f>VLOOKUP(B15,'startova listina'!$E$8:$G$39,3,0)</f>
        <v>MSK MALACKY</v>
      </c>
    </row>
    <row r="16" spans="1:4" ht="19.5" thickBot="1">
      <c r="A16" s="556"/>
      <c r="B16" s="184" t="str">
        <f>VLOOKUP('CH4'!V9,vylosovanie!$N$75:$Q$106,4,0)</f>
        <v>FREUND Andrej</v>
      </c>
      <c r="C16" s="179">
        <f>VLOOKUP(B16,'startova listina'!$E$8:$G$39,2,0)</f>
        <v>2002</v>
      </c>
      <c r="D16" s="190" t="str">
        <f>VLOOKUP(B16,'startova listina'!$E$8:$G$39,3,0)</f>
        <v>MSK MALACKY</v>
      </c>
    </row>
    <row r="17" spans="1:4" ht="18.75">
      <c r="A17" s="557"/>
      <c r="B17" s="397" t="str">
        <f>VLOOKUP('CH4'!V10,vylosovanie!$N$75:$Q$106,3,0)</f>
        <v>PETRÍK Filip</v>
      </c>
      <c r="C17" s="397">
        <f>VLOOKUP(B17,'startova listina'!$E$8:$G$39,2,0)</f>
        <v>2001</v>
      </c>
      <c r="D17" s="398" t="str">
        <f>VLOOKUP(B17,'startova listina'!$E$8:$G$39,3,0)</f>
        <v>KST PLUS40 TREBIŠOV/ŠKST MICHALOVCE</v>
      </c>
    </row>
    <row r="18" spans="1:4" ht="19.5" thickBot="1">
      <c r="A18" s="558"/>
      <c r="B18" s="399" t="str">
        <f>VLOOKUP('CH4'!V10,vylosovanie!$N$75:$Q$106,4,0)</f>
        <v>TUREK Teodor</v>
      </c>
      <c r="C18" s="399">
        <f>VLOOKUP(B18,'startova listina'!$E$8:$G$39,2,0)</f>
        <v>2001</v>
      </c>
      <c r="D18" s="400" t="str">
        <f>VLOOKUP(B18,'startova listina'!$E$8:$G$39,3,0)</f>
        <v>ŠK ŠOG NITRA</v>
      </c>
    </row>
    <row r="19" spans="1:4" ht="18.75">
      <c r="A19" s="556"/>
      <c r="B19" s="182" t="str">
        <f>VLOOKUP('CH4'!V11,vylosovanie!$N$75:$Q$106,3,0)</f>
        <v>PINDURA Tobiáš</v>
      </c>
      <c r="C19" s="181">
        <f>VLOOKUP(B19,'startova listina'!$E$8:$G$39,2,0)</f>
        <v>2001</v>
      </c>
      <c r="D19" s="189" t="str">
        <f>VLOOKUP(B19,'startova listina'!$E$8:$G$39,3,0)</f>
        <v>ŠKST RUŽOMBEROK</v>
      </c>
    </row>
    <row r="20" spans="1:4" ht="19.5" thickBot="1">
      <c r="A20" s="556"/>
      <c r="B20" s="184" t="str">
        <f>VLOOKUP('CH4'!V11,vylosovanie!$N$75:$Q$106,4,0)</f>
        <v>CYPRICH Samuel</v>
      </c>
      <c r="C20" s="179">
        <f>VLOOKUP(B20,'startova listina'!$E$8:$G$39,2,0)</f>
        <v>2001</v>
      </c>
      <c r="D20" s="190" t="str">
        <f>VLOOKUP(B20,'startova listina'!$E$8:$G$39,3,0)</f>
        <v>MSK ČADCA</v>
      </c>
    </row>
    <row r="21" spans="1:4" ht="18.75">
      <c r="A21" s="564" t="str">
        <f>CONCATENATE("9","-",'CH4'!H1)</f>
        <v>9-16</v>
      </c>
      <c r="B21" s="397" t="str">
        <f>IF(ISERROR(VLOOKUP('pomocne poradie CH4'!L21,'pomocne poradie CH4'!$A$21:$C$36,3,0))=TRUE,"",(VLOOKUP('pomocne poradie CH4'!L21,'pomocne poradie CH4'!$A$21:$C$36,3,0)))</f>
        <v>MARUNIAK Martin</v>
      </c>
      <c r="C21" s="397">
        <f>VLOOKUP(B21,'startova listina'!$E$8:$G$39,2,0)</f>
        <v>2001</v>
      </c>
      <c r="D21" s="398" t="str">
        <f>VLOOKUP(B21,'startova listina'!$E$8:$G$39,3,0)</f>
        <v>MSTK VTJ MARTIN</v>
      </c>
    </row>
    <row r="22" spans="1:4" ht="19.5" thickBot="1">
      <c r="A22" s="565"/>
      <c r="B22" s="399" t="str">
        <f>IF(ISERROR(VLOOKUP('pomocne poradie CH4'!L22,'pomocne poradie CH4'!$A$21:$C$36,3,0))=TRUE,"",(VLOOKUP('pomocne poradie CH4'!L22,'pomocne poradie CH4'!$A$21:$C$36,3,0)))</f>
        <v>KALINKA Timotej</v>
      </c>
      <c r="C22" s="399">
        <f>VLOOKUP(B22,'startova listina'!$E$8:$G$39,2,0)</f>
        <v>2002</v>
      </c>
      <c r="D22" s="400" t="str">
        <f>VLOOKUP(B22,'startova listina'!$E$8:$G$39,3,0)</f>
        <v>MSTK VTJ MARTIN</v>
      </c>
    </row>
    <row r="23" spans="1:4" ht="18.75">
      <c r="A23" s="556"/>
      <c r="B23" s="181" t="str">
        <f>IF(ISERROR(VLOOKUP('pomocne poradie CH4'!L23,'pomocne poradie CH4'!$A$21:$C$36,3,0))=TRUE,"",(VLOOKUP('pomocne poradie CH4'!L23,'pomocne poradie CH4'!$A$21:$C$36,3,0)))</f>
        <v>ZAJAC Jakub</v>
      </c>
      <c r="C23" s="181">
        <f>VLOOKUP(B23,'startova listina'!$E$8:$G$39,2,0)</f>
        <v>2001</v>
      </c>
      <c r="D23" s="189" t="str">
        <f>VLOOKUP(B23,'startova listina'!$E$8:$G$39,3,0)</f>
        <v>TJ ORAVAN NÁMESTOVO</v>
      </c>
    </row>
    <row r="24" spans="1:4" ht="19.5" thickBot="1">
      <c r="A24" s="556"/>
      <c r="B24" s="179" t="str">
        <f>IF(ISERROR(VLOOKUP('pomocne poradie CH4'!L24,'pomocne poradie CH4'!$A$21:$C$36,3,0))=TRUE,"",(VLOOKUP('pomocne poradie CH4'!L24,'pomocne poradie CH4'!$A$21:$C$36,3,0)))</f>
        <v>MAKÚCH Damian</v>
      </c>
      <c r="C24" s="179">
        <f>VLOOKUP(B24,'startova listina'!$E$8:$G$39,2,0)</f>
        <v>2001</v>
      </c>
      <c r="D24" s="190" t="str">
        <f>VLOOKUP(B24,'startova listina'!$E$8:$G$39,3,0)</f>
        <v>TJ ORAVAN NÁMESTOVO/TATRAN KRUŠETNICA</v>
      </c>
    </row>
    <row r="25" spans="1:4" ht="18.75">
      <c r="A25" s="557"/>
      <c r="B25" s="397" t="str">
        <f>IF(ISERROR(VLOOKUP('pomocne poradie CH4'!L25,'pomocne poradie CH4'!$A$21:$C$36,3,0))=TRUE,"",(VLOOKUP('pomocne poradie CH4'!L25,'pomocne poradie CH4'!$A$21:$C$36,3,0)))</f>
        <v>TRŇAN Jakub</v>
      </c>
      <c r="C25" s="397">
        <f>VLOOKUP(B25,'startova listina'!$E$8:$G$39,2,0)</f>
        <v>2001</v>
      </c>
      <c r="D25" s="398" t="str">
        <f>VLOOKUP(B25,'startova listina'!$E$8:$G$39,3,0)</f>
        <v>STK RYBNÍK</v>
      </c>
    </row>
    <row r="26" spans="1:4" ht="19.5" thickBot="1">
      <c r="A26" s="558"/>
      <c r="B26" s="399" t="str">
        <f>IF(ISERROR(VLOOKUP('pomocne poradie CH4'!L26,'pomocne poradie CH4'!$A$21:$C$36,3,0))=TRUE,"",(VLOOKUP('pomocne poradie CH4'!L26,'pomocne poradie CH4'!$A$21:$C$36,3,0)))</f>
        <v>TRUBÁČIK Tomáš</v>
      </c>
      <c r="C26" s="399">
        <f>VLOOKUP(B26,'startova listina'!$E$8:$G$39,2,0)</f>
        <v>2002</v>
      </c>
      <c r="D26" s="400" t="str">
        <f>VLOOKUP(B26,'startova listina'!$E$8:$G$39,3,0)</f>
        <v>CVČ ZLATÉ MORAVCE</v>
      </c>
    </row>
    <row r="27" spans="1:4" ht="18.75">
      <c r="A27" s="556"/>
      <c r="B27" s="181" t="str">
        <f>IF(ISERROR(VLOOKUP('pomocne poradie CH4'!L27,'pomocne poradie CH4'!$A$21:$C$36,3,0))=TRUE,"",(VLOOKUP('pomocne poradie CH4'!L27,'pomocne poradie CH4'!$A$21:$C$36,3,0)))</f>
        <v>SUCHA Tomáš</v>
      </c>
      <c r="C27" s="181">
        <f>VLOOKUP(B27,'startova listina'!$E$8:$G$39,2,0)</f>
        <v>2001</v>
      </c>
      <c r="D27" s="189" t="str">
        <f>VLOOKUP(B27,'startova listina'!$E$8:$G$39,3,0)</f>
        <v>ŠKST KARLOVA VES</v>
      </c>
    </row>
    <row r="28" spans="1:4" ht="19.5" thickBot="1">
      <c r="A28" s="556"/>
      <c r="B28" s="179" t="str">
        <f>IF(ISERROR(VLOOKUP('pomocne poradie CH4'!L28,'pomocne poradie CH4'!$A$21:$C$36,3,0))=TRUE,"",(VLOOKUP('pomocne poradie CH4'!L28,'pomocne poradie CH4'!$A$21:$C$36,3,0)))</f>
        <v>MIKLUŠČÁK Benjamín</v>
      </c>
      <c r="C28" s="179">
        <f>VLOOKUP(B28,'startova listina'!$E$8:$G$39,2,0)</f>
        <v>2002</v>
      </c>
      <c r="D28" s="190" t="str">
        <f>VLOOKUP(B28,'startova listina'!$E$8:$G$39,3,0)</f>
        <v>ŠKST KARLOVA VES</v>
      </c>
    </row>
    <row r="29" spans="1:4" ht="18.75">
      <c r="A29" s="557"/>
      <c r="B29" s="397" t="str">
        <f>IF(ISERROR(VLOOKUP('pomocne poradie CH4'!L29,'pomocne poradie CH4'!$A$21:$C$36,3,0))=TRUE,"",(VLOOKUP('pomocne poradie CH4'!L29,'pomocne poradie CH4'!$A$21:$C$36,3,0)))</f>
        <v>FEČO Michal</v>
      </c>
      <c r="C29" s="397">
        <f>VLOOKUP(B29,'startova listina'!$E$8:$G$39,2,0)</f>
        <v>2001</v>
      </c>
      <c r="D29" s="398" t="str">
        <f>VLOOKUP(B29,'startova listina'!$E$8:$G$39,3,0)</f>
        <v>MŠK VSTK VRANOV NAD TOPĽOU</v>
      </c>
    </row>
    <row r="30" spans="1:4" ht="19.5" thickBot="1">
      <c r="A30" s="558"/>
      <c r="B30" s="399" t="str">
        <f>IF(ISERROR(VLOOKUP('pomocne poradie CH4'!L30,'pomocne poradie CH4'!$A$21:$C$36,3,0))=TRUE,"",(VLOOKUP('pomocne poradie CH4'!L30,'pomocne poradie CH4'!$A$21:$C$36,3,0)))</f>
        <v>KAPUSTA Martin</v>
      </c>
      <c r="C30" s="399">
        <f>VLOOKUP(B30,'startova listina'!$E$8:$G$39,2,0)</f>
        <v>2002</v>
      </c>
      <c r="D30" s="400" t="str">
        <f>VLOOKUP(B30,'startova listina'!$E$8:$G$39,3,0)</f>
        <v>MSK ČADCA</v>
      </c>
    </row>
    <row r="31" spans="1:4" ht="18.75">
      <c r="A31" s="556"/>
      <c r="B31" s="181" t="str">
        <f>IF(ISERROR(VLOOKUP('pomocne poradie CH4'!L31,'pomocne poradie CH4'!$A$21:$C$36,3,0))=TRUE,"",(VLOOKUP('pomocne poradie CH4'!L31,'pomocne poradie CH4'!$A$21:$C$36,3,0)))</f>
        <v>MACKO Miroslav</v>
      </c>
      <c r="C31" s="181">
        <f>VLOOKUP(B31,'startova listina'!$E$8:$G$39,2,0)</f>
        <v>2001</v>
      </c>
      <c r="D31" s="189" t="str">
        <f>VLOOKUP(B31,'startova listina'!$E$8:$G$39,3,0)</f>
        <v>ŠKST KARLOVA VES</v>
      </c>
    </row>
    <row r="32" spans="1:4" ht="19.5" thickBot="1">
      <c r="A32" s="556"/>
      <c r="B32" s="179" t="str">
        <f>IF(ISERROR(VLOOKUP('pomocne poradie CH4'!L32,'pomocne poradie CH4'!$A$21:$C$36,3,0))=TRUE,"",(VLOOKUP('pomocne poradie CH4'!L32,'pomocne poradie CH4'!$A$21:$C$36,3,0)))</f>
        <v>GREGOR Jakub</v>
      </c>
      <c r="C32" s="179">
        <f>VLOOKUP(B32,'startova listina'!$E$8:$G$39,2,0)</f>
        <v>2001</v>
      </c>
      <c r="D32" s="190" t="str">
        <f>VLOOKUP(B32,'startova listina'!$E$8:$G$39,3,0)</f>
        <v>ŠKST KARLOVA VES</v>
      </c>
    </row>
    <row r="33" spans="1:4" ht="18.75">
      <c r="A33" s="557"/>
      <c r="B33" s="397" t="str">
        <f>IF(ISERROR(VLOOKUP('pomocne poradie CH4'!L33,'pomocne poradie CH4'!$A$21:$C$36,3,0))=TRUE,"",(VLOOKUP('pomocne poradie CH4'!L33,'pomocne poradie CH4'!$A$21:$C$36,3,0)))</f>
        <v>KLAJBER Adam</v>
      </c>
      <c r="C33" s="397">
        <f>VLOOKUP(B33,'startova listina'!$E$8:$G$39,2,0)</f>
        <v>2003</v>
      </c>
      <c r="D33" s="398" t="str">
        <f>VLOOKUP(B33,'startova listina'!$E$8:$G$39,3,0)</f>
        <v>SŠK POPROČ</v>
      </c>
    </row>
    <row r="34" spans="1:4" ht="19.5" thickBot="1">
      <c r="A34" s="558"/>
      <c r="B34" s="399" t="str">
        <f>IF(ISERROR(VLOOKUP('pomocne poradie CH4'!L34,'pomocne poradie CH4'!$A$21:$C$36,3,0))=TRUE,"",(VLOOKUP('pomocne poradie CH4'!L34,'pomocne poradie CH4'!$A$21:$C$36,3,0)))</f>
        <v>IVANČO Félix</v>
      </c>
      <c r="C34" s="399">
        <f>VLOOKUP(B34,'startova listina'!$E$8:$G$39,2,0)</f>
        <v>2003</v>
      </c>
      <c r="D34" s="400" t="str">
        <f>VLOOKUP(B34,'startova listina'!$E$8:$G$39,3,0)</f>
        <v>MSK MALACKY</v>
      </c>
    </row>
    <row r="35" spans="1:4" ht="18.75">
      <c r="A35" s="559"/>
      <c r="B35" s="181" t="str">
        <f>IF(ISERROR(VLOOKUP('pomocne poradie CH4'!L35,'pomocne poradie CH4'!$A$21:$C$36,3,0))=TRUE,"",(VLOOKUP('pomocne poradie CH4'!L35,'pomocne poradie CH4'!$A$21:$C$36,3,0)))</f>
        <v>VICO Dávid</v>
      </c>
      <c r="C35" s="182">
        <f>VLOOKUP(B35,'startova listina'!$E$8:$G$39,2,0)</f>
        <v>2001</v>
      </c>
      <c r="D35" s="183" t="str">
        <f>VLOOKUP(B35,'startova listina'!$E$8:$G$39,3,0)</f>
        <v>STO VALALIKY</v>
      </c>
    </row>
    <row r="36" spans="1:4" ht="19.5" thickBot="1">
      <c r="A36" s="560"/>
      <c r="B36" s="184" t="str">
        <f>IF(ISERROR(VLOOKUP('pomocne poradie CH4'!L36,'pomocne poradie CH4'!$A$21:$C$36,3,0))=TRUE,"",(VLOOKUP('pomocne poradie CH4'!L36,'pomocne poradie CH4'!$A$21:$C$36,3,0)))</f>
        <v>KLUČÁR Matej</v>
      </c>
      <c r="C36" s="184">
        <f>VLOOKUP(B36,'startova listina'!$E$8:$G$39,2,0)</f>
        <v>2002</v>
      </c>
      <c r="D36" s="185" t="str">
        <f>VLOOKUP(B36,'startova listina'!$E$8:$G$39,3,0)</f>
        <v>TTC MAJCICHOV</v>
      </c>
    </row>
    <row r="37" spans="1:4" ht="18.75">
      <c r="B37" s="30"/>
    </row>
  </sheetData>
  <mergeCells count="17">
    <mergeCell ref="A25:A26"/>
    <mergeCell ref="A1:D1"/>
    <mergeCell ref="A5:A6"/>
    <mergeCell ref="A7:A8"/>
    <mergeCell ref="A9:A10"/>
    <mergeCell ref="A11:A12"/>
    <mergeCell ref="A13:A14"/>
    <mergeCell ref="A15:A16"/>
    <mergeCell ref="A17:A18"/>
    <mergeCell ref="A19:A20"/>
    <mergeCell ref="A21:A22"/>
    <mergeCell ref="A23:A24"/>
    <mergeCell ref="A27:A28"/>
    <mergeCell ref="A29:A30"/>
    <mergeCell ref="A31:A32"/>
    <mergeCell ref="A33:A34"/>
    <mergeCell ref="A35:A36"/>
  </mergeCells>
  <pageMargins left="0.7" right="0.7" top="0.44" bottom="0.43" header="0.3" footer="0.3"/>
  <pageSetup paperSize="9" scale="92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D37"/>
  <sheetViews>
    <sheetView view="pageBreakPreview" zoomScale="90" zoomScaleSheetLayoutView="90" workbookViewId="0">
      <selection activeCell="H19" sqref="H19"/>
    </sheetView>
  </sheetViews>
  <sheetFormatPr defaultRowHeight="15"/>
  <cols>
    <col min="1" max="1" width="9.140625" style="136"/>
    <col min="2" max="2" width="33.42578125" customWidth="1"/>
    <col min="3" max="3" width="12.28515625" customWidth="1"/>
    <col min="4" max="4" width="31.42578125" customWidth="1"/>
  </cols>
  <sheetData>
    <row r="1" spans="1:4" s="180" customFormat="1" ht="38.25" customHeight="1">
      <c r="A1" s="561" t="str">
        <f>CONCATENATE("Majstrovstvá Slovenska jednotlivcov - ",'startova listina'!D3)</f>
        <v>Majstrovstvá Slovenska jednotlivcov - Mladší žiaci</v>
      </c>
      <c r="B1" s="562"/>
      <c r="C1" s="562"/>
      <c r="D1" s="562"/>
    </row>
    <row r="2" spans="1:4" ht="46.5" customHeight="1">
      <c r="C2" s="395" t="str">
        <f>'startova listina'!F2</f>
        <v>Valaliky, 7. - 8. 6. 2014</v>
      </c>
    </row>
    <row r="3" spans="1:4" ht="30" customHeight="1" thickBot="1">
      <c r="A3" s="396" t="s">
        <v>392</v>
      </c>
    </row>
    <row r="4" spans="1:4" ht="19.5" thickBot="1">
      <c r="A4" s="186"/>
      <c r="B4" s="187" t="s">
        <v>3</v>
      </c>
      <c r="C4" s="187" t="s">
        <v>4</v>
      </c>
      <c r="D4" s="188" t="s">
        <v>5</v>
      </c>
    </row>
    <row r="5" spans="1:4" ht="18.75">
      <c r="A5" s="564">
        <v>1</v>
      </c>
      <c r="B5" s="397" t="str">
        <f>VLOOKUP('D4'!V4,vylosovanie!$N$113:$Q$136,3,0)</f>
        <v>PEKOVÁ Zuzana</v>
      </c>
      <c r="C5" s="397">
        <f>VLOOKUP(B5,'startova listina'!$E$45:$G$68,2,0)</f>
        <v>2002</v>
      </c>
      <c r="D5" s="398" t="str">
        <f>VLOOKUP(B5,'startova listina'!$E$45:$G$68,3,0)</f>
        <v>KST VIKTÓRIA TRNAVA</v>
      </c>
    </row>
    <row r="6" spans="1:4" ht="19.5" thickBot="1">
      <c r="A6" s="565"/>
      <c r="B6" s="399" t="str">
        <f>VLOOKUP('D4'!V4,vylosovanie!$N$113:$Q$136,4,0)</f>
        <v>DIVINSKÁ Natália</v>
      </c>
      <c r="C6" s="399">
        <f>VLOOKUP(B6,'startova listina'!$E$45:$G$68,2,0)</f>
        <v>2002</v>
      </c>
      <c r="D6" s="400" t="str">
        <f>VLOOKUP(B6,'startova listina'!$E$45:$G$68,3,0)</f>
        <v>MSTK TVRDOŠÍN</v>
      </c>
    </row>
    <row r="7" spans="1:4" ht="18.75">
      <c r="A7" s="568">
        <v>2</v>
      </c>
      <c r="B7" s="181" t="str">
        <f>VLOOKUP('D4'!V5,vylosovanie!$N$113:$Q$136,3,0)</f>
        <v>LABOŠOVÁ Ema</v>
      </c>
      <c r="C7" s="181">
        <f>VLOOKUP(B7,'startova listina'!$E$45:$G$68,2,0)</f>
        <v>2001</v>
      </c>
      <c r="D7" s="189" t="str">
        <f>VLOOKUP(B7,'startova listina'!$E$45:$G$68,3,0)</f>
        <v>ŠSTK JUNIOR ČAŇA</v>
      </c>
    </row>
    <row r="8" spans="1:4" ht="19.5" thickBot="1">
      <c r="A8" s="569"/>
      <c r="B8" s="179" t="str">
        <f>VLOOKUP('D4'!V5,vylosovanie!$N$113:$Q$136,4,0)</f>
        <v>ŠINKAROVÁ Dáša</v>
      </c>
      <c r="C8" s="179">
        <f>VLOOKUP(B8,'startova listina'!$E$45:$G$68,2,0)</f>
        <v>2001</v>
      </c>
      <c r="D8" s="190" t="str">
        <f>VLOOKUP(B8,'startova listina'!$E$45:$G$68,3,0)</f>
        <v>ŠKST MICHALOVCE</v>
      </c>
    </row>
    <row r="9" spans="1:4" ht="18.75">
      <c r="A9" s="570" t="s">
        <v>381</v>
      </c>
      <c r="B9" s="397" t="str">
        <f>VLOOKUP('D4'!V6,vylosovanie!$N$113:$Q$136,3,0)</f>
        <v>ŠVAJDLENKOVÁ Laura</v>
      </c>
      <c r="C9" s="397">
        <f>VLOOKUP(B9,'startova listina'!$E$45:$G$68,2,0)</f>
        <v>2001</v>
      </c>
      <c r="D9" s="398" t="str">
        <f>VLOOKUP(B9,'startova listina'!$E$45:$G$68,3,0)</f>
        <v>MSK MALACKY</v>
      </c>
    </row>
    <row r="10" spans="1:4" ht="19.5" thickBot="1">
      <c r="A10" s="565"/>
      <c r="B10" s="399" t="str">
        <f>VLOOKUP('D4'!V6,vylosovanie!$N$113:$Q$136,4,0)</f>
        <v>HURBANOVÁ Isabella</v>
      </c>
      <c r="C10" s="399">
        <f>VLOOKUP(B10,'startova listina'!$E$45:$G$68,2,0)</f>
        <v>2003</v>
      </c>
      <c r="D10" s="400" t="str">
        <f>VLOOKUP(B10,'startova listina'!$E$45:$G$68,3,0)</f>
        <v>MSK MALACKY</v>
      </c>
    </row>
    <row r="11" spans="1:4" ht="18.75">
      <c r="A11" s="568"/>
      <c r="B11" s="181" t="str">
        <f>VLOOKUP('D4'!V7,vylosovanie!$N$113:$Q$136,3,0)</f>
        <v>DZELINSKA Júlia</v>
      </c>
      <c r="C11" s="181">
        <f>VLOOKUP(B11,'startova listina'!$E$45:$G$68,2,0)</f>
        <v>2002</v>
      </c>
      <c r="D11" s="189" t="str">
        <f>VLOOKUP(B11,'startova listina'!$E$45:$G$68,3,0)</f>
        <v>ŠKST MICHALOVCE/STK LOKOMOTÍVA KOŠICE</v>
      </c>
    </row>
    <row r="12" spans="1:4" ht="19.5" thickBot="1">
      <c r="A12" s="569"/>
      <c r="B12" s="179" t="str">
        <f>VLOOKUP('D4'!V7,vylosovanie!$N$113:$Q$136,4,0)</f>
        <v>TEREZKOVÁ Jana</v>
      </c>
      <c r="C12" s="179">
        <f>VLOOKUP(B12,'startova listina'!$E$45:$G$68,2,0)</f>
        <v>2002</v>
      </c>
      <c r="D12" s="190" t="str">
        <f>VLOOKUP(B12,'startova listina'!$E$45:$G$68,3,0)</f>
        <v>ŠKST MICHALOVCE</v>
      </c>
    </row>
    <row r="13" spans="1:4" ht="18.75">
      <c r="A13" s="564" t="s">
        <v>119</v>
      </c>
      <c r="B13" s="397" t="str">
        <f>VLOOKUP('D4'!V8,vylosovanie!$N$113:$Q$136,3,0)</f>
        <v>PISARČIKOVÁ Frederika</v>
      </c>
      <c r="C13" s="397">
        <f>VLOOKUP(B13,'startova listina'!$E$45:$G$68,2,0)</f>
        <v>2002</v>
      </c>
      <c r="D13" s="398" t="str">
        <f>VLOOKUP(B13,'startova listina'!$E$45:$G$68,3,0)</f>
        <v>ŠKST RUŽOMBEROK</v>
      </c>
    </row>
    <row r="14" spans="1:4" ht="19.5" thickBot="1">
      <c r="A14" s="565"/>
      <c r="B14" s="399" t="str">
        <f>VLOOKUP('D4'!V8,vylosovanie!$N$113:$Q$136,4,0)</f>
        <v>HUDÁKOVÁ Ivana</v>
      </c>
      <c r="C14" s="399">
        <f>VLOOKUP(B14,'startova listina'!$E$45:$G$68,2,0)</f>
        <v>2001</v>
      </c>
      <c r="D14" s="400" t="str">
        <f>VLOOKUP(B14,'startova listina'!$E$45:$G$68,3,0)</f>
        <v>ZŠ VYŠNÝ ŽIPOV</v>
      </c>
    </row>
    <row r="15" spans="1:4" ht="18.75">
      <c r="A15" s="568"/>
      <c r="B15" s="181" t="str">
        <f>VLOOKUP('D4'!V9,vylosovanie!$N$113:$Q$136,3,0)</f>
        <v>MAJERSKÁ Alena</v>
      </c>
      <c r="C15" s="181">
        <f>VLOOKUP(B15,'startova listina'!$E$45:$G$68,2,0)</f>
        <v>2002</v>
      </c>
      <c r="D15" s="189" t="str">
        <f>VLOOKUP(B15,'startova listina'!$E$45:$G$68,3,0)</f>
        <v>STO VALALIKY</v>
      </c>
    </row>
    <row r="16" spans="1:4" ht="18.75">
      <c r="A16" s="571"/>
      <c r="B16" s="6" t="str">
        <f>VLOOKUP('D4'!V9,vylosovanie!$N$113:$Q$136,4,0)</f>
        <v>GAŠPARÍKOVÁ Lucia</v>
      </c>
      <c r="C16" s="6">
        <f>VLOOKUP(B16,'startova listina'!$E$45:$G$68,2,0)</f>
        <v>2002</v>
      </c>
      <c r="D16" s="191" t="str">
        <f>VLOOKUP(B16,'startova listina'!$E$45:$G$68,3,0)</f>
        <v>TTC MAJCICHOV</v>
      </c>
    </row>
    <row r="17" spans="1:4" ht="18.75">
      <c r="A17" s="572"/>
      <c r="B17" s="401" t="str">
        <f>VLOOKUP('D4'!V10,vylosovanie!$N$113:$Q$136,3,0)</f>
        <v>VIŠŇOVSKÁ Nina</v>
      </c>
      <c r="C17" s="401">
        <f>VLOOKUP(B17,'startova listina'!$E$45:$G$68,2,0)</f>
        <v>2003</v>
      </c>
      <c r="D17" s="402" t="str">
        <f>VLOOKUP(B17,'startova listina'!$E$45:$G$68,3,0)</f>
        <v>TTC INTERSPEAD N.ZÁMKY</v>
      </c>
    </row>
    <row r="18" spans="1:4" ht="18.75">
      <c r="A18" s="572"/>
      <c r="B18" s="401" t="str">
        <f>VLOOKUP('D4'!V10,vylosovanie!$N$113:$Q$136,4,0)</f>
        <v>LEDAJOVÁ Martina</v>
      </c>
      <c r="C18" s="401">
        <f>VLOOKUP(B18,'startova listina'!$E$45:$G$68,2,0)</f>
        <v>2001</v>
      </c>
      <c r="D18" s="402" t="str">
        <f>VLOOKUP(B18,'startova listina'!$E$45:$G$68,3,0)</f>
        <v>STK OROL OTRHÁNKY</v>
      </c>
    </row>
    <row r="19" spans="1:4" ht="18.75">
      <c r="A19" s="571"/>
      <c r="B19" s="6" t="str">
        <f>VLOOKUP('D4'!V11,vylosovanie!$N$113:$Q$136,3,0)</f>
        <v>SLOBODNÍKOVÁ Hana</v>
      </c>
      <c r="C19" s="6">
        <f>VLOOKUP(B19,'startova listina'!$E$45:$G$68,2,0)</f>
        <v>2003</v>
      </c>
      <c r="D19" s="191" t="str">
        <f>VLOOKUP(B19,'startova listina'!$E$45:$G$68,3,0)</f>
        <v>ŠKST KARLOVA VES</v>
      </c>
    </row>
    <row r="20" spans="1:4" ht="19.5" thickBot="1">
      <c r="A20" s="569"/>
      <c r="B20" s="179" t="str">
        <f>VLOOKUP('D4'!V11,vylosovanie!$N$113:$Q$136,4,0)</f>
        <v>LACENOVÁ Renáta</v>
      </c>
      <c r="C20" s="179">
        <f>VLOOKUP(B20,'startova listina'!$E$45:$G$68,2,0)</f>
        <v>2003</v>
      </c>
      <c r="D20" s="190" t="str">
        <f>VLOOKUP(B20,'startova listina'!$E$45:$G$68,3,0)</f>
        <v>ŠKST TOPOĽČANY</v>
      </c>
    </row>
    <row r="21" spans="1:4" ht="18.75">
      <c r="A21" s="564" t="str">
        <f>CONCATENATE("9","-",'D4'!T20)</f>
        <v>9-12</v>
      </c>
      <c r="B21" s="397" t="str">
        <f>IF(ISERROR(VLOOKUP('pomocne poradie D4'!L21,'pomocne poradie D4'!$A$21:$C$36,3,0))=TRUE,"",(VLOOKUP('pomocne poradie D4'!L21,'pomocne poradie D4'!$A$21:$C$36,3,0)))</f>
        <v>GALČÍKOVÁ Sára</v>
      </c>
      <c r="C21" s="397">
        <f>IF(ISERROR(VLOOKUP(B21,'startova listina'!$E$45:$G$68,2,0))=TRUE,"",VLOOKUP(B21,'startova listina'!$E$45:$G$68,2,0))</f>
        <v>2001</v>
      </c>
      <c r="D21" s="398" t="str">
        <f>IF(ISERROR(VLOOKUP(B21,'startova listina'!$E$45:$G$68,3,0))=TRUE,"",VLOOKUP(B21,'startova listina'!$E$45:$G$68,3,0))</f>
        <v>TJ ORAVAN NÁMESTOVO</v>
      </c>
    </row>
    <row r="22" spans="1:4" ht="19.5" thickBot="1">
      <c r="A22" s="565"/>
      <c r="B22" s="399" t="str">
        <f>IF(ISERROR(VLOOKUP('pomocne poradie D4'!L22,'pomocne poradie D4'!$A$21:$C$36,3,0))=TRUE,"",(VLOOKUP('pomocne poradie D4'!L22,'pomocne poradie D4'!$A$21:$C$36,3,0)))</f>
        <v>VOJTASOVA Patrícia</v>
      </c>
      <c r="C22" s="399">
        <f>IF(ISERROR(VLOOKUP(B22,'startova listina'!$E$45:$G$68,2,0))=TRUE,"",VLOOKUP(B22,'startova listina'!$E$45:$G$68,2,0))</f>
        <v>2001</v>
      </c>
      <c r="D22" s="400" t="str">
        <f>IF(ISERROR(VLOOKUP(B22,'startova listina'!$E$45:$G$68,3,0))=TRUE,"",VLOOKUP(B22,'startova listina'!$E$45:$G$68,3,0))</f>
        <v>ZŠ LIETAVSKÁ LÚČKA</v>
      </c>
    </row>
    <row r="23" spans="1:4" ht="18.75">
      <c r="A23" s="568"/>
      <c r="B23" s="181" t="str">
        <f>IF(ISERROR(VLOOKUP('pomocne poradie D4'!L23,'pomocne poradie D4'!$A$21:$C$36,3,0))=TRUE,"",(VLOOKUP('pomocne poradie D4'!L23,'pomocne poradie D4'!$A$21:$C$36,3,0)))</f>
        <v>MIKULOVÁ Terézia</v>
      </c>
      <c r="C23" s="181">
        <f>IF(ISERROR(VLOOKUP(B23,'startova listina'!$E$45:$G$68,2,0))=TRUE,"",VLOOKUP(B23,'startova listina'!$E$45:$G$68,2,0))</f>
        <v>2001</v>
      </c>
      <c r="D23" s="189" t="str">
        <f>IF(ISERROR(VLOOKUP(B23,'startova listina'!$E$45:$G$68,3,0))=TRUE,"",VLOOKUP(B23,'startova listina'!$E$45:$G$68,3,0))</f>
        <v>KST DRIVE TR. JASTRABIE</v>
      </c>
    </row>
    <row r="24" spans="1:4" ht="19.5" thickBot="1">
      <c r="A24" s="569"/>
      <c r="B24" s="179" t="str">
        <f>IF(ISERROR(VLOOKUP('pomocne poradie D4'!L24,'pomocne poradie D4'!$A$21:$C$36,3,0))=TRUE,"",(VLOOKUP('pomocne poradie D4'!L24,'pomocne poradie D4'!$A$21:$C$36,3,0)))</f>
        <v>DZUROVÁ Lenka</v>
      </c>
      <c r="C24" s="179">
        <f>IF(ISERROR(VLOOKUP(B24,'startova listina'!$E$45:$G$68,2,0))=TRUE,"",VLOOKUP(B24,'startova listina'!$E$45:$G$68,2,0))</f>
        <v>2002</v>
      </c>
      <c r="D24" s="190" t="str">
        <f>IF(ISERROR(VLOOKUP(B24,'startova listina'!$E$45:$G$68,3,0))=TRUE,"",VLOOKUP(B24,'startova listina'!$E$45:$G$68,3,0))</f>
        <v>STK STARÁ TURÁ</v>
      </c>
    </row>
    <row r="25" spans="1:4" ht="18.75">
      <c r="A25" s="564"/>
      <c r="B25" s="397" t="str">
        <f>IF(ISERROR(VLOOKUP('pomocne poradie D4'!L25,'pomocne poradie D4'!$A$21:$C$36,3,0))=TRUE,"",(VLOOKUP('pomocne poradie D4'!L25,'pomocne poradie D4'!$A$21:$C$36,3,0)))</f>
        <v>SISKOVÁ Zuzana</v>
      </c>
      <c r="C25" s="397">
        <f>IF(ISERROR(VLOOKUP(B25,'startova listina'!$E$45:$G$68,2,0))=TRUE,"",VLOOKUP(B25,'startova listina'!$E$45:$G$68,2,0))</f>
        <v>2003</v>
      </c>
      <c r="D25" s="398" t="str">
        <f>IF(ISERROR(VLOOKUP(B25,'startova listina'!$E$45:$G$68,3,0))=TRUE,"",VLOOKUP(B25,'startova listina'!$E$45:$G$68,3,0))</f>
        <v>TTC MAJCICHOV</v>
      </c>
    </row>
    <row r="26" spans="1:4" ht="19.5" thickBot="1">
      <c r="A26" s="565"/>
      <c r="B26" s="399" t="str">
        <f>IF(ISERROR(VLOOKUP('pomocne poradie D4'!L26,'pomocne poradie D4'!$A$21:$C$36,3,0))=TRUE,"",(VLOOKUP('pomocne poradie D4'!L26,'pomocne poradie D4'!$A$21:$C$36,3,0)))</f>
        <v>GORFOLOVÁ Viktória</v>
      </c>
      <c r="C26" s="399">
        <f>IF(ISERROR(VLOOKUP(B26,'startova listina'!$E$45:$G$68,2,0))=TRUE,"",VLOOKUP(B26,'startova listina'!$E$45:$G$68,2,0))</f>
        <v>2001</v>
      </c>
      <c r="D26" s="400" t="str">
        <f>IF(ISERROR(VLOOKUP(B26,'startova listina'!$E$45:$G$68,3,0))=TRUE,"",VLOOKUP(B26,'startova listina'!$E$45:$G$68,3,0))</f>
        <v>GASTO METALFIN GALANTA</v>
      </c>
    </row>
    <row r="27" spans="1:4" ht="18.75">
      <c r="A27" s="566"/>
      <c r="B27" s="182" t="str">
        <f>IF(ISERROR(VLOOKUP('pomocne poradie D4'!L27,'pomocne poradie D4'!$A$21:$C$36,3,0))=TRUE,"",(VLOOKUP('pomocne poradie D4'!L27,'pomocne poradie D4'!$A$21:$C$36,3,0)))</f>
        <v>CHYLOVÁ Sabína</v>
      </c>
      <c r="C27" s="182">
        <f>IF(ISERROR(VLOOKUP(B27,'startova listina'!$E$45:$G$68,2,0))=TRUE,"",VLOOKUP(B27,'startova listina'!$E$45:$G$68,2,0))</f>
        <v>2001</v>
      </c>
      <c r="D27" s="183" t="str">
        <f>IF(ISERROR(VLOOKUP(B27,'startova listina'!$E$45:$G$68,3,0))=TRUE,"",VLOOKUP(B27,'startova listina'!$E$45:$G$68,3,0))</f>
        <v>MSTK TVRDOŠÍN</v>
      </c>
    </row>
    <row r="28" spans="1:4" ht="19.5" thickBot="1">
      <c r="A28" s="567"/>
      <c r="B28" s="184" t="str">
        <f>IF(ISERROR(VLOOKUP('pomocne poradie D4'!L28,'pomocne poradie D4'!$A$21:$C$36,3,0))=TRUE,"",(VLOOKUP('pomocne poradie D4'!L28,'pomocne poradie D4'!$A$21:$C$36,3,0)))</f>
        <v>PAPCUNOVÁ Viktória</v>
      </c>
      <c r="C28" s="184">
        <f>IF(ISERROR(VLOOKUP(B28,'startova listina'!$E$45:$G$68,2,0))=TRUE,"",VLOOKUP(B28,'startova listina'!$E$45:$G$68,2,0))</f>
        <v>2001</v>
      </c>
      <c r="D28" s="185" t="str">
        <f>IF(ISERROR(VLOOKUP(B28,'startova listina'!$E$45:$G$68,3,0))=TRUE,"",VLOOKUP(B28,'startova listina'!$E$45:$G$68,3,0))</f>
        <v>ŠSTK JUNIOR ČAŇA</v>
      </c>
    </row>
    <row r="29" spans="1:4" ht="18.75">
      <c r="A29" s="564"/>
      <c r="B29" s="397" t="str">
        <f>IF(ISERROR(VLOOKUP('pomocne poradie D4'!L29,'pomocne poradie D4'!$A$21:$C$36,3,0))=TRUE,"",(VLOOKUP('pomocne poradie D4'!L29,'pomocne poradie D4'!$A$21:$C$36,3,0)))</f>
        <v/>
      </c>
      <c r="C29" s="397" t="str">
        <f>IF(ISERROR(VLOOKUP(B29,'startova listina'!$E$45:$G$68,2,0))=TRUE,"",VLOOKUP(B29,'startova listina'!$E$45:$G$68,2,0))</f>
        <v/>
      </c>
      <c r="D29" s="398" t="str">
        <f>IF(ISERROR(VLOOKUP(B29,'startova listina'!$E$45:$G$68,3,0))=TRUE,"",VLOOKUP(B29,'startova listina'!$E$45:$G$68,3,0))</f>
        <v/>
      </c>
    </row>
    <row r="30" spans="1:4" ht="19.5" thickBot="1">
      <c r="A30" s="565"/>
      <c r="B30" s="399" t="str">
        <f>IF(ISERROR(VLOOKUP('pomocne poradie D4'!L30,'pomocne poradie D4'!$A$21:$C$36,3,0))=TRUE,"",(VLOOKUP('pomocne poradie D4'!L30,'pomocne poradie D4'!$A$21:$C$36,3,0)))</f>
        <v/>
      </c>
      <c r="C30" s="399" t="str">
        <f>IF(ISERROR(VLOOKUP(B30,'startova listina'!$E$45:$G$68,2,0))=TRUE,"",VLOOKUP(B30,'startova listina'!$E$45:$G$68,2,0))</f>
        <v/>
      </c>
      <c r="D30" s="400" t="str">
        <f>IF(ISERROR(VLOOKUP(B30,'startova listina'!$E$45:$G$68,3,0))=TRUE,"",VLOOKUP(B30,'startova listina'!$E$45:$G$68,3,0))</f>
        <v/>
      </c>
    </row>
    <row r="31" spans="1:4" ht="18.75">
      <c r="A31" s="568"/>
      <c r="B31" s="181" t="str">
        <f>IF(ISERROR(VLOOKUP('pomocne poradie D4'!L31,'pomocne poradie D4'!$A$21:$C$36,3,0))=TRUE,"",(VLOOKUP('pomocne poradie D4'!L31,'pomocne poradie D4'!$A$21:$C$36,3,0)))</f>
        <v/>
      </c>
      <c r="C31" s="181" t="str">
        <f>IF(ISERROR(VLOOKUP(B31,'startova listina'!$E$45:$G$68,2,0))=TRUE,"",VLOOKUP(B31,'startova listina'!$E$45:$G$68,2,0))</f>
        <v/>
      </c>
      <c r="D31" s="189" t="str">
        <f>IF(ISERROR(VLOOKUP(B31,'startova listina'!$E$45:$G$68,3,0))=TRUE,"",VLOOKUP(B31,'startova listina'!$E$45:$G$68,3,0))</f>
        <v/>
      </c>
    </row>
    <row r="32" spans="1:4" ht="19.5" thickBot="1">
      <c r="A32" s="569"/>
      <c r="B32" s="179" t="str">
        <f>IF(ISERROR(VLOOKUP('pomocne poradie D4'!L32,'pomocne poradie D4'!$A$21:$C$36,3,0))=TRUE,"",(VLOOKUP('pomocne poradie D4'!L32,'pomocne poradie D4'!$A$21:$C$36,3,0)))</f>
        <v/>
      </c>
      <c r="C32" s="179" t="str">
        <f>IF(ISERROR(VLOOKUP(B32,'startova listina'!$E$45:$G$68,2,0))=TRUE,"",VLOOKUP(B32,'startova listina'!$E$45:$G$68,2,0))</f>
        <v/>
      </c>
      <c r="D32" s="190" t="str">
        <f>IF(ISERROR(VLOOKUP(B32,'startova listina'!$E$45:$G$68,3,0))=TRUE,"",VLOOKUP(B32,'startova listina'!$E$45:$G$68,3,0))</f>
        <v/>
      </c>
    </row>
    <row r="33" spans="1:4" ht="18.75">
      <c r="A33" s="564"/>
      <c r="B33" s="397" t="str">
        <f>IF(ISERROR(VLOOKUP('pomocne poradie D4'!L33,'pomocne poradie D4'!$A$21:$C$36,3,0))=TRUE,"",(VLOOKUP('pomocne poradie D4'!L33,'pomocne poradie D4'!$A$21:$C$36,3,0)))</f>
        <v/>
      </c>
      <c r="C33" s="397" t="str">
        <f>IF(ISERROR(VLOOKUP(B33,'startova listina'!$E$45:$G$68,2,0))=TRUE,"",VLOOKUP(B33,'startova listina'!$E$45:$G$68,2,0))</f>
        <v/>
      </c>
      <c r="D33" s="398" t="str">
        <f>IF(ISERROR(VLOOKUP(B33,'startova listina'!$E$45:$G$68,3,0))=TRUE,"",VLOOKUP(B33,'startova listina'!$E$45:$G$68,3,0))</f>
        <v/>
      </c>
    </row>
    <row r="34" spans="1:4" ht="19.5" thickBot="1">
      <c r="A34" s="565"/>
      <c r="B34" s="399" t="str">
        <f>IF(ISERROR(VLOOKUP('pomocne poradie D4'!L34,'pomocne poradie D4'!$A$21:$C$36,3,0))=TRUE,"",(VLOOKUP('pomocne poradie D4'!L34,'pomocne poradie D4'!$A$21:$C$36,3,0)))</f>
        <v/>
      </c>
      <c r="C34" s="399" t="str">
        <f>IF(ISERROR(VLOOKUP(B34,'startova listina'!$E$45:$G$68,2,0))=TRUE,"",VLOOKUP(B34,'startova listina'!$E$45:$G$68,2,0))</f>
        <v/>
      </c>
      <c r="D34" s="400" t="str">
        <f>IF(ISERROR(VLOOKUP(B34,'startova listina'!$E$45:$G$68,3,0))=TRUE,"",VLOOKUP(B34,'startova listina'!$E$45:$G$68,3,0))</f>
        <v/>
      </c>
    </row>
    <row r="35" spans="1:4" ht="18.75">
      <c r="A35" s="568"/>
      <c r="B35" s="181" t="str">
        <f>IF(ISERROR(VLOOKUP('pomocne poradie D4'!L35,'pomocne poradie D4'!$A$21:$C$36,3,0))=TRUE,"",(VLOOKUP('pomocne poradie D4'!L35,'pomocne poradie D4'!$A$21:$C$36,3,0)))</f>
        <v/>
      </c>
      <c r="C35" s="181" t="str">
        <f>IF(ISERROR(VLOOKUP(B35,'startova listina'!$E$45:$G$68,2,0))=TRUE,"",VLOOKUP(B35,'startova listina'!$E$45:$G$68,2,0))</f>
        <v/>
      </c>
      <c r="D35" s="189" t="str">
        <f>IF(ISERROR(VLOOKUP(B35,'startova listina'!$E$45:$G$68,3,0))=TRUE,"",VLOOKUP(B35,'startova listina'!$E$45:$G$68,3,0))</f>
        <v/>
      </c>
    </row>
    <row r="36" spans="1:4" ht="19.5" thickBot="1">
      <c r="A36" s="567"/>
      <c r="B36" s="184" t="str">
        <f>IF(ISERROR(VLOOKUP('pomocne poradie D4'!L36,'pomocne poradie D4'!$A$21:$C$36,3,0))=TRUE,"",(VLOOKUP('pomocne poradie D4'!L36,'pomocne poradie D4'!$A$21:$C$36,3,0)))</f>
        <v/>
      </c>
      <c r="C36" s="184" t="str">
        <f>IF(ISERROR(VLOOKUP(B36,'startova listina'!$E$45:$G$68,2,0))=TRUE,"",VLOOKUP(B36,'startova listina'!$E$45:$G$68,2,0))</f>
        <v/>
      </c>
      <c r="D36" s="185" t="str">
        <f>IF(ISERROR(VLOOKUP(B36,'startova listina'!$E$45:$G$68,3,0))=TRUE,"",VLOOKUP(B36,'startova listina'!$E$45:$G$68,3,0))</f>
        <v/>
      </c>
    </row>
    <row r="37" spans="1:4" ht="18.75">
      <c r="B37" s="30"/>
    </row>
  </sheetData>
  <mergeCells count="17">
    <mergeCell ref="A25:A26"/>
    <mergeCell ref="A1:D1"/>
    <mergeCell ref="A5:A6"/>
    <mergeCell ref="A7:A8"/>
    <mergeCell ref="A9:A10"/>
    <mergeCell ref="A11:A12"/>
    <mergeCell ref="A13:A14"/>
    <mergeCell ref="A15:A16"/>
    <mergeCell ref="A17:A18"/>
    <mergeCell ref="A19:A20"/>
    <mergeCell ref="A21:A22"/>
    <mergeCell ref="A23:A24"/>
    <mergeCell ref="A27:A28"/>
    <mergeCell ref="A29:A30"/>
    <mergeCell ref="A31:A32"/>
    <mergeCell ref="A33:A34"/>
    <mergeCell ref="A35:A36"/>
  </mergeCells>
  <pageMargins left="0.7" right="0.7" top="0.75" bottom="0.75" header="0.3" footer="0.3"/>
  <pageSetup paperSize="9" scale="98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D68"/>
  <sheetViews>
    <sheetView showGridLines="0" view="pageBreakPreview" zoomScale="90" zoomScaleSheetLayoutView="90" workbookViewId="0">
      <selection activeCell="B5" sqref="B5"/>
    </sheetView>
  </sheetViews>
  <sheetFormatPr defaultRowHeight="15"/>
  <cols>
    <col min="1" max="1" width="9.140625" style="136"/>
    <col min="2" max="2" width="34.28515625" customWidth="1"/>
    <col min="3" max="3" width="12.28515625" customWidth="1"/>
    <col min="4" max="4" width="30.42578125" customWidth="1"/>
  </cols>
  <sheetData>
    <row r="1" spans="1:4" s="180" customFormat="1" ht="38.25" customHeight="1">
      <c r="A1" s="561" t="str">
        <f>CONCATENATE("Majstrovstvá Slovenska jednotlivcov - ",'startova listina'!D3)</f>
        <v>Majstrovstvá Slovenska jednotlivcov - Mladší žiaci</v>
      </c>
      <c r="B1" s="562"/>
      <c r="C1" s="562"/>
      <c r="D1" s="562"/>
    </row>
    <row r="2" spans="1:4" ht="46.5" customHeight="1">
      <c r="C2" s="395" t="str">
        <f>'startova listina'!F2</f>
        <v>Valaliky, 7. - 8. 6. 2014</v>
      </c>
    </row>
    <row r="3" spans="1:4" ht="30" customHeight="1" thickBot="1">
      <c r="A3" s="396" t="s">
        <v>393</v>
      </c>
    </row>
    <row r="4" spans="1:4" ht="19.5" thickBot="1">
      <c r="A4" s="186"/>
      <c r="B4" s="187" t="s">
        <v>3</v>
      </c>
      <c r="C4" s="187" t="s">
        <v>4</v>
      </c>
      <c r="D4" s="188" t="s">
        <v>5</v>
      </c>
    </row>
    <row r="5" spans="1:4" ht="18.75">
      <c r="A5" s="557">
        <v>1</v>
      </c>
      <c r="B5" s="397" t="str">
        <f>VLOOKUP(MIX!V4,vylosovanie!$N$143:$Q$190,3,0)</f>
        <v>PINDURA Tobiáš</v>
      </c>
      <c r="C5" s="397">
        <f>VLOOKUP(B5,'startova listina'!$E$8:$G$68,2,0)</f>
        <v>2001</v>
      </c>
      <c r="D5" s="398" t="str">
        <f>VLOOKUP(B5,'startova listina'!$E$8:$G$68,3,0)</f>
        <v>ŠKST RUŽOMBEROK</v>
      </c>
    </row>
    <row r="6" spans="1:4" ht="19.5" thickBot="1">
      <c r="A6" s="558"/>
      <c r="B6" s="399" t="str">
        <f>VLOOKUP(MIX!V4,vylosovanie!$N$143:$Q$190,4,0)</f>
        <v>ŠINKAROVÁ Dáša</v>
      </c>
      <c r="C6" s="399">
        <f>VLOOKUP(B6,'startova listina'!$E$8:$G$68,2,0)</f>
        <v>2001</v>
      </c>
      <c r="D6" s="400" t="str">
        <f>VLOOKUP(B6,'startova listina'!$E$8:$G$68,3,0)</f>
        <v>ŠKST MICHALOVCE</v>
      </c>
    </row>
    <row r="7" spans="1:4" ht="18.75">
      <c r="A7" s="559">
        <v>2</v>
      </c>
      <c r="B7" s="182" t="str">
        <f>VLOOKUP(MIX!V5,vylosovanie!$N$143:$Q$190,3,0)</f>
        <v>KYSEL Martin</v>
      </c>
      <c r="C7" s="182">
        <f>VLOOKUP(B7,'startova listina'!$E$8:$G$68,2,0)</f>
        <v>2001</v>
      </c>
      <c r="D7" s="183" t="str">
        <f>VLOOKUP(B7,'startova listina'!$E$8:$G$68,3,0)</f>
        <v>MSTK TVRDOŠÍN</v>
      </c>
    </row>
    <row r="8" spans="1:4" ht="19.5" thickBot="1">
      <c r="A8" s="560"/>
      <c r="B8" s="184" t="str">
        <f>VLOOKUP(MIX!V5,vylosovanie!$N$143:$Q$190,4,0)</f>
        <v>LABOŠOVÁ Ema</v>
      </c>
      <c r="C8" s="184">
        <f>VLOOKUP(B8,'startova listina'!$E$8:$G$68,2,0)</f>
        <v>2001</v>
      </c>
      <c r="D8" s="185" t="str">
        <f>VLOOKUP(B8,'startova listina'!$E$8:$G$68,3,0)</f>
        <v>ŠSTK JUNIOR ČAŇA</v>
      </c>
    </row>
    <row r="9" spans="1:4" ht="18.75">
      <c r="A9" s="563" t="s">
        <v>381</v>
      </c>
      <c r="B9" s="397" t="str">
        <f>VLOOKUP(MIX!V6,vylosovanie!$N$143:$Q$190,3,0)</f>
        <v>FEČO Samuel</v>
      </c>
      <c r="C9" s="397">
        <f>VLOOKUP(B9,'startova listina'!$E$8:$G$68,2,0)</f>
        <v>2001</v>
      </c>
      <c r="D9" s="398" t="str">
        <f>VLOOKUP(B9,'startova listina'!$E$8:$G$68,3,0)</f>
        <v>MŠK VSTK VRANOV NAD TOPĽOU</v>
      </c>
    </row>
    <row r="10" spans="1:4" ht="19.5" thickBot="1">
      <c r="A10" s="558"/>
      <c r="B10" s="399" t="str">
        <f>VLOOKUP(MIX!V6,vylosovanie!$N$143:$Q$190,4,0)</f>
        <v>DZELINSKA Júlia</v>
      </c>
      <c r="C10" s="399">
        <f>VLOOKUP(B10,'startova listina'!$E$8:$G$68,2,0)</f>
        <v>2002</v>
      </c>
      <c r="D10" s="400" t="str">
        <f>VLOOKUP(B10,'startova listina'!$E$8:$G$68,3,0)</f>
        <v>ŠKST MICHALOVCE/STK LOKOMOTÍVA KOŠICE</v>
      </c>
    </row>
    <row r="11" spans="1:4" ht="18.75">
      <c r="A11" s="556"/>
      <c r="B11" s="182" t="str">
        <f>VLOOKUP(MIX!V7,vylosovanie!$N$143:$Q$190,3,0)</f>
        <v>DIKO Dalibor</v>
      </c>
      <c r="C11" s="182">
        <f>VLOOKUP(B11,'startova listina'!$E$8:$G$68,2,0)</f>
        <v>2002</v>
      </c>
      <c r="D11" s="183" t="str">
        <f>VLOOKUP(B11,'startova listina'!$E$8:$G$68,3,0)</f>
        <v>TJ ORAVAN NÁMESTOVO</v>
      </c>
    </row>
    <row r="12" spans="1:4" ht="19.5" thickBot="1">
      <c r="A12" s="556"/>
      <c r="B12" s="184" t="str">
        <f>VLOOKUP(MIX!V7,vylosovanie!$N$143:$Q$190,4,0)</f>
        <v>PEKOVÁ Zuzana</v>
      </c>
      <c r="C12" s="184">
        <f>VLOOKUP(B12,'startova listina'!$E$8:$G$68,2,0)</f>
        <v>2002</v>
      </c>
      <c r="D12" s="185" t="str">
        <f>VLOOKUP(B12,'startova listina'!$E$8:$G$68,3,0)</f>
        <v>KST VIKTÓRIA TRNAVA</v>
      </c>
    </row>
    <row r="13" spans="1:4" ht="18.75">
      <c r="A13" s="557" t="s">
        <v>119</v>
      </c>
      <c r="B13" s="397" t="str">
        <f>VLOOKUP(MIX!V8,vylosovanie!$N$143:$Q$190,3,0)</f>
        <v>HURKA Rastislav</v>
      </c>
      <c r="C13" s="397">
        <f>VLOOKUP(B13,'startova listina'!$E$8:$G$68,2,0)</f>
        <v>2001</v>
      </c>
      <c r="D13" s="398" t="str">
        <f>VLOOKUP(B13,'startova listina'!$E$8:$G$68,3,0)</f>
        <v>STO VALALIKY</v>
      </c>
    </row>
    <row r="14" spans="1:4" ht="19.5" thickBot="1">
      <c r="A14" s="558"/>
      <c r="B14" s="399" t="str">
        <f>VLOOKUP(MIX!V8,vylosovanie!$N$143:$Q$190,4,0)</f>
        <v>MAJERSKÁ Alena</v>
      </c>
      <c r="C14" s="399">
        <f>VLOOKUP(B14,'startova listina'!$E$8:$G$68,2,0)</f>
        <v>2002</v>
      </c>
      <c r="D14" s="400" t="str">
        <f>VLOOKUP(B14,'startova listina'!$E$8:$G$68,3,0)</f>
        <v>STO VALALIKY</v>
      </c>
    </row>
    <row r="15" spans="1:4" ht="18.75">
      <c r="A15" s="556"/>
      <c r="B15" s="182" t="str">
        <f>VLOOKUP(MIX!V9,vylosovanie!$N$143:$Q$190,3,0)</f>
        <v>ĎANOVSKÝ Martin</v>
      </c>
      <c r="C15" s="182">
        <f>VLOOKUP(B15,'startova listina'!$E$8:$G$68,2,0)</f>
        <v>2002</v>
      </c>
      <c r="D15" s="183" t="str">
        <f>VLOOKUP(B15,'startova listina'!$E$8:$G$68,3,0)</f>
        <v>LOKOMOTÍVA VRÚTKY</v>
      </c>
    </row>
    <row r="16" spans="1:4" ht="19.5" thickBot="1">
      <c r="A16" s="556"/>
      <c r="B16" s="184" t="str">
        <f>VLOOKUP(MIX!V9,vylosovanie!$N$143:$Q$190,4,0)</f>
        <v>DIVINSKÁ Natália</v>
      </c>
      <c r="C16" s="184">
        <f>VLOOKUP(B16,'startova listina'!$E$8:$G$68,2,0)</f>
        <v>2002</v>
      </c>
      <c r="D16" s="185" t="str">
        <f>VLOOKUP(B16,'startova listina'!$E$8:$G$68,3,0)</f>
        <v>MSTK TVRDOŠÍN</v>
      </c>
    </row>
    <row r="17" spans="1:4" ht="18.75">
      <c r="A17" s="557"/>
      <c r="B17" s="397" t="str">
        <f>VLOOKUP(MIX!V10,vylosovanie!$N$143:$Q$190,3,0)</f>
        <v>TUREK Teodor</v>
      </c>
      <c r="C17" s="397">
        <f>VLOOKUP(B17,'startova listina'!$E$8:$G$68,2,0)</f>
        <v>2001</v>
      </c>
      <c r="D17" s="398" t="str">
        <f>VLOOKUP(B17,'startova listina'!$E$8:$G$68,3,0)</f>
        <v>ŠK ŠOG NITRA</v>
      </c>
    </row>
    <row r="18" spans="1:4" ht="19.5" thickBot="1">
      <c r="A18" s="558"/>
      <c r="B18" s="399" t="str">
        <f>VLOOKUP(MIX!V10,vylosovanie!$N$143:$Q$190,4,0)</f>
        <v>DZUROVÁ Lenka</v>
      </c>
      <c r="C18" s="399">
        <f>VLOOKUP(B18,'startova listina'!$E$8:$G$68,2,0)</f>
        <v>2002</v>
      </c>
      <c r="D18" s="400" t="str">
        <f>VLOOKUP(B18,'startova listina'!$E$8:$G$68,3,0)</f>
        <v>STK STARÁ TURÁ</v>
      </c>
    </row>
    <row r="19" spans="1:4" ht="18.75">
      <c r="A19" s="556"/>
      <c r="B19" s="182" t="str">
        <f>VLOOKUP(MIX!V11,vylosovanie!$N$143:$Q$190,3,0)</f>
        <v>PETRÍK Filip</v>
      </c>
      <c r="C19" s="182">
        <f>VLOOKUP(B19,'startova listina'!$E$8:$G$68,2,0)</f>
        <v>2001</v>
      </c>
      <c r="D19" s="183" t="str">
        <f>VLOOKUP(B19,'startova listina'!$E$8:$G$68,3,0)</f>
        <v>KST PLUS40 TREBIŠOV/ŠKST MICHALOVCE</v>
      </c>
    </row>
    <row r="20" spans="1:4" ht="19.5" thickBot="1">
      <c r="A20" s="556"/>
      <c r="B20" s="184" t="str">
        <f>VLOOKUP(MIX!V11,vylosovanie!$N$143:$Q$190,4,0)</f>
        <v>PAPCUNOVÁ Viktória</v>
      </c>
      <c r="C20" s="184">
        <f>VLOOKUP(B20,'startova listina'!$E$8:$G$68,2,0)</f>
        <v>2001</v>
      </c>
      <c r="D20" s="185" t="str">
        <f>VLOOKUP(B20,'startova listina'!$E$8:$G$68,3,0)</f>
        <v>ŠSTK JUNIOR ČAŇA</v>
      </c>
    </row>
    <row r="21" spans="1:4" ht="18.75">
      <c r="A21" s="557" t="s">
        <v>118</v>
      </c>
      <c r="B21" s="397" t="str">
        <f>VLOOKUP(MIX!V12,vylosovanie!$N$143:$Q$190,3,0)</f>
        <v>MILAN Martin</v>
      </c>
      <c r="C21" s="397">
        <f>VLOOKUP(B21,'startova listina'!$E$8:$G$68,2,0)</f>
        <v>2001</v>
      </c>
      <c r="D21" s="398" t="str">
        <f>VLOOKUP(B21,'startova listina'!$E$8:$G$68,3,0)</f>
        <v>1.PPC FORTUNA KEŽMAROK/TJ OBCE SPIŠSKÝ ŠTIAVNIK</v>
      </c>
    </row>
    <row r="22" spans="1:4" ht="19.5" thickBot="1">
      <c r="A22" s="558"/>
      <c r="B22" s="399" t="str">
        <f>VLOOKUP(MIX!V12,vylosovanie!$N$143:$Q$190,4,0)</f>
        <v>GAŠPARÍKOVÁ Lucia</v>
      </c>
      <c r="C22" s="399">
        <f>VLOOKUP(B22,'startova listina'!$E$8:$G$68,2,0)</f>
        <v>2002</v>
      </c>
      <c r="D22" s="400" t="str">
        <f>VLOOKUP(B22,'startova listina'!$E$8:$G$68,3,0)</f>
        <v>TTC MAJCICHOV</v>
      </c>
    </row>
    <row r="23" spans="1:4" ht="18.75">
      <c r="A23" s="556"/>
      <c r="B23" s="182" t="str">
        <f>VLOOKUP(MIX!V13,vylosovanie!$N$143:$Q$190,3,0)</f>
        <v>PACH Kamil</v>
      </c>
      <c r="C23" s="182">
        <f>VLOOKUP(B23,'startova listina'!$E$8:$G$68,2,0)</f>
        <v>2003</v>
      </c>
      <c r="D23" s="183" t="str">
        <f>VLOOKUP(B23,'startova listina'!$E$8:$G$68,3,0)</f>
        <v>STO VALALIKY</v>
      </c>
    </row>
    <row r="24" spans="1:4" ht="19.5" thickBot="1">
      <c r="A24" s="556"/>
      <c r="B24" s="184" t="str">
        <f>VLOOKUP(MIX!V13,vylosovanie!$N$143:$Q$190,4,0)</f>
        <v>VIŠŇOVSKÁ Nina</v>
      </c>
      <c r="C24" s="184">
        <f>VLOOKUP(B24,'startova listina'!$E$8:$G$68,2,0)</f>
        <v>2003</v>
      </c>
      <c r="D24" s="185" t="str">
        <f>VLOOKUP(B24,'startova listina'!$E$8:$G$68,3,0)</f>
        <v>TTC INTERSPEAD N.ZÁMKY</v>
      </c>
    </row>
    <row r="25" spans="1:4" ht="18.75">
      <c r="A25" s="557"/>
      <c r="B25" s="397" t="str">
        <f>VLOOKUP(MIX!V14,vylosovanie!$N$143:$Q$190,3,0)</f>
        <v>KLUČÁR Matej</v>
      </c>
      <c r="C25" s="397">
        <f>VLOOKUP(B25,'startova listina'!$E$8:$G$68,2,0)</f>
        <v>2002</v>
      </c>
      <c r="D25" s="398" t="str">
        <f>VLOOKUP(B25,'startova listina'!$E$8:$G$68,3,0)</f>
        <v>TTC MAJCICHOV</v>
      </c>
    </row>
    <row r="26" spans="1:4" ht="19.5" thickBot="1">
      <c r="A26" s="558"/>
      <c r="B26" s="399" t="str">
        <f>VLOOKUP(MIX!V14,vylosovanie!$N$143:$Q$190,4,0)</f>
        <v>GORFOLOVÁ Viktória</v>
      </c>
      <c r="C26" s="399">
        <f>VLOOKUP(B26,'startova listina'!$E$8:$G$68,2,0)</f>
        <v>2001</v>
      </c>
      <c r="D26" s="400" t="str">
        <f>VLOOKUP(B26,'startova listina'!$E$8:$G$68,3,0)</f>
        <v>GASTO METALFIN GALANTA</v>
      </c>
    </row>
    <row r="27" spans="1:4" ht="18.75">
      <c r="A27" s="556"/>
      <c r="B27" s="182" t="str">
        <f>VLOOKUP(MIX!V15,vylosovanie!$N$143:$Q$190,3,0)</f>
        <v>JALOVECKÝ Marek</v>
      </c>
      <c r="C27" s="181">
        <f>VLOOKUP(B27,'startova listina'!$E$8:$G$68,2,0)</f>
        <v>2001</v>
      </c>
      <c r="D27" s="189" t="str">
        <f>VLOOKUP(B27,'startova listina'!$E$8:$G$68,3,0)</f>
        <v>STK ZŠ NA BIELENISKU PEZINOK</v>
      </c>
    </row>
    <row r="28" spans="1:4" ht="19.5" thickBot="1">
      <c r="A28" s="556"/>
      <c r="B28" s="184" t="str">
        <f>VLOOKUP(MIX!V15,vylosovanie!$N$143:$Q$190,4,0)</f>
        <v>SLOBODNÍKOVÁ Hana</v>
      </c>
      <c r="C28" s="179">
        <f>VLOOKUP(B28,'startova listina'!$E$8:$G$68,2,0)</f>
        <v>2003</v>
      </c>
      <c r="D28" s="190" t="str">
        <f>VLOOKUP(B28,'startova listina'!$E$8:$G$68,3,0)</f>
        <v>ŠKST KARLOVA VES</v>
      </c>
    </row>
    <row r="29" spans="1:4" ht="18.75">
      <c r="A29" s="557"/>
      <c r="B29" s="397" t="str">
        <f>VLOOKUP(MIX!V16,vylosovanie!$N$143:$Q$190,3,0)</f>
        <v>MARUNIAK Martin</v>
      </c>
      <c r="C29" s="397">
        <f>VLOOKUP(B29,'startova listina'!$E$8:$G$68,2,0)</f>
        <v>2001</v>
      </c>
      <c r="D29" s="398" t="str">
        <f>VLOOKUP(B29,'startova listina'!$E$8:$G$68,3,0)</f>
        <v>MSTK VTJ MARTIN</v>
      </c>
    </row>
    <row r="30" spans="1:4" ht="19.5" thickBot="1">
      <c r="A30" s="558"/>
      <c r="B30" s="399" t="str">
        <f>VLOOKUP(MIX!V16,vylosovanie!$N$143:$Q$190,4,0)</f>
        <v>VOJTASOVA Patrícia</v>
      </c>
      <c r="C30" s="399">
        <f>VLOOKUP(B30,'startova listina'!$E$8:$G$68,2,0)</f>
        <v>2001</v>
      </c>
      <c r="D30" s="400" t="str">
        <f>VLOOKUP(B30,'startova listina'!$E$8:$G$68,3,0)</f>
        <v>ZŠ LIETAVSKÁ LÚČKA</v>
      </c>
    </row>
    <row r="31" spans="1:4" ht="18.75">
      <c r="A31" s="556"/>
      <c r="B31" s="182" t="str">
        <f>VLOOKUP(MIX!V17,vylosovanie!$N$143:$Q$190,3,0)</f>
        <v>CYPRICH Samuel</v>
      </c>
      <c r="C31" s="181">
        <f>VLOOKUP(B31,'startova listina'!$E$8:$G$68,2,0)</f>
        <v>2001</v>
      </c>
      <c r="D31" s="189" t="str">
        <f>VLOOKUP(B31,'startova listina'!$E$8:$G$68,3,0)</f>
        <v>MSK ČADCA</v>
      </c>
    </row>
    <row r="32" spans="1:4" ht="19.5" thickBot="1">
      <c r="A32" s="556"/>
      <c r="B32" s="184" t="str">
        <f>VLOOKUP(MIX!V17,vylosovanie!$N$143:$Q$190,4,0)</f>
        <v>ŠVAJDLENKOVÁ Laura</v>
      </c>
      <c r="C32" s="179">
        <f>VLOOKUP(B32,'startova listina'!$E$8:$G$68,2,0)</f>
        <v>2001</v>
      </c>
      <c r="D32" s="190" t="str">
        <f>VLOOKUP(B32,'startova listina'!$E$8:$G$68,3,0)</f>
        <v>MSK MALACKY</v>
      </c>
    </row>
    <row r="33" spans="1:4" ht="18.75">
      <c r="A33" s="557"/>
      <c r="B33" s="397" t="str">
        <f>VLOOKUP(MIX!V18,vylosovanie!$N$143:$Q$190,3,0)</f>
        <v>MAKÚCH Damian</v>
      </c>
      <c r="C33" s="397">
        <f>VLOOKUP(B33,'startova listina'!$E$8:$G$68,2,0)</f>
        <v>2001</v>
      </c>
      <c r="D33" s="398" t="str">
        <f>VLOOKUP(B33,'startova listina'!$E$8:$G$68,3,0)</f>
        <v>TJ ORAVAN NÁMESTOVO/TATRAN KRUŠETNICA</v>
      </c>
    </row>
    <row r="34" spans="1:4" ht="19.5" thickBot="1">
      <c r="A34" s="558"/>
      <c r="B34" s="399" t="str">
        <f>VLOOKUP(MIX!V18,vylosovanie!$N$143:$Q$190,4,0)</f>
        <v>GALČÍKOVÁ Sára</v>
      </c>
      <c r="C34" s="399">
        <f>VLOOKUP(B34,'startova listina'!$E$8:$G$68,2,0)</f>
        <v>2001</v>
      </c>
      <c r="D34" s="400" t="str">
        <f>VLOOKUP(B34,'startova listina'!$E$8:$G$68,3,0)</f>
        <v>TJ ORAVAN NÁMESTOVO</v>
      </c>
    </row>
    <row r="35" spans="1:4" ht="18.75">
      <c r="A35" s="559"/>
      <c r="B35" s="182" t="str">
        <f>VLOOKUP(MIX!V19,vylosovanie!$N$143:$Q$190,3,0)</f>
        <v>MIKLUŠČÁK Benjamín</v>
      </c>
      <c r="C35" s="182">
        <f>VLOOKUP(B35,'startova listina'!$E$8:$G$68,2,0)</f>
        <v>2002</v>
      </c>
      <c r="D35" s="183" t="str">
        <f>VLOOKUP(B35,'startova listina'!$E$8:$G$68,3,0)</f>
        <v>ŠKST KARLOVA VES</v>
      </c>
    </row>
    <row r="36" spans="1:4" ht="19.5" thickBot="1">
      <c r="A36" s="560"/>
      <c r="B36" s="184" t="str">
        <f>VLOOKUP(MIX!V19,vylosovanie!$N$143:$Q$190,4,0)</f>
        <v>LACENOVÁ Renáta</v>
      </c>
      <c r="C36" s="184">
        <f>VLOOKUP(B36,'startova listina'!$E$8:$G$68,2,0)</f>
        <v>2003</v>
      </c>
      <c r="D36" s="185" t="str">
        <f>VLOOKUP(B36,'startova listina'!$E$8:$G$68,3,0)</f>
        <v>ŠKST TOPOĽČANY</v>
      </c>
    </row>
    <row r="37" spans="1:4" ht="18.75">
      <c r="A37" s="564" t="str">
        <f>CONCATENATE("17","-",MIX!H1)</f>
        <v>17-24</v>
      </c>
      <c r="B37" s="397" t="str">
        <f>IF(ISERROR(VLOOKUP('pomocne poradie MIX'!L37,'pomocne poradie MIX'!$A$21:$C$68,3,0))=TRUE,"",(VLOOKUP('pomocne poradie MIX'!L37,'pomocne poradie MIX'!$A$21:$C$68,3,0)))</f>
        <v>DELINČAK Filip</v>
      </c>
      <c r="C37" s="397">
        <f>VLOOKUP(B37,'startova listina'!$E$8:$G$68,2,0)</f>
        <v>2003</v>
      </c>
      <c r="D37" s="398" t="str">
        <f>VLOOKUP(B37,'startova listina'!$E$8:$G$68,3,0)</f>
        <v>MSK ČADCA</v>
      </c>
    </row>
    <row r="38" spans="1:4" ht="19.5" thickBot="1">
      <c r="A38" s="565"/>
      <c r="B38" s="399" t="str">
        <f>IF(ISERROR(VLOOKUP('pomocne poradie MIX'!L38,'pomocne poradie MIX'!$A$21:$C$68,3,0))=TRUE,"",(VLOOKUP('pomocne poradie MIX'!L38,'pomocne poradie MIX'!$A$21:$C$68,3,0)))</f>
        <v>PISARČIKOVÁ Frederika</v>
      </c>
      <c r="C38" s="399">
        <f>VLOOKUP(B38,'startova listina'!$E$8:$G$68,2,0)</f>
        <v>2002</v>
      </c>
      <c r="D38" s="400" t="str">
        <f>VLOOKUP(B38,'startova listina'!$E$8:$G$68,3,0)</f>
        <v>ŠKST RUŽOMBEROK</v>
      </c>
    </row>
    <row r="39" spans="1:4" ht="18.75">
      <c r="A39" s="566"/>
      <c r="B39" s="182" t="str">
        <f>IF(ISERROR(VLOOKUP('pomocne poradie MIX'!L39,'pomocne poradie MIX'!$A$21:$C$68,3,0))=TRUE,"",(VLOOKUP('pomocne poradie MIX'!L39,'pomocne poradie MIX'!$A$21:$C$68,3,0)))</f>
        <v>IVANČO Félix</v>
      </c>
      <c r="C39" s="182">
        <f>VLOOKUP(B39,'startova listina'!$E$8:$G$68,2,0)</f>
        <v>2003</v>
      </c>
      <c r="D39" s="183" t="str">
        <f>VLOOKUP(B39,'startova listina'!$E$8:$G$68,3,0)</f>
        <v>MSK MALACKY</v>
      </c>
    </row>
    <row r="40" spans="1:4" ht="19.5" thickBot="1">
      <c r="A40" s="567"/>
      <c r="B40" s="184" t="str">
        <f>IF(ISERROR(VLOOKUP('pomocne poradie MIX'!L40,'pomocne poradie MIX'!$A$21:$C$68,3,0))=TRUE,"",(VLOOKUP('pomocne poradie MIX'!L40,'pomocne poradie MIX'!$A$21:$C$68,3,0)))</f>
        <v>HURBANOVÁ Isabella</v>
      </c>
      <c r="C40" s="184">
        <f>VLOOKUP(B40,'startova listina'!$E$8:$G$68,2,0)</f>
        <v>2003</v>
      </c>
      <c r="D40" s="185" t="str">
        <f>VLOOKUP(B40,'startova listina'!$E$8:$G$68,3,0)</f>
        <v>MSK MALACKY</v>
      </c>
    </row>
    <row r="41" spans="1:4" ht="18.75">
      <c r="A41" s="564"/>
      <c r="B41" s="397" t="str">
        <f>IF(ISERROR(VLOOKUP('pomocne poradie MIX'!L41,'pomocne poradie MIX'!$A$21:$C$68,3,0))=TRUE,"",(VLOOKUP('pomocne poradie MIX'!L41,'pomocne poradie MIX'!$A$21:$C$68,3,0)))</f>
        <v>FEČO Michal</v>
      </c>
      <c r="C41" s="397">
        <f>VLOOKUP(B41,'startova listina'!$E$8:$G$68,2,0)</f>
        <v>2001</v>
      </c>
      <c r="D41" s="398" t="str">
        <f>VLOOKUP(B41,'startova listina'!$E$8:$G$68,3,0)</f>
        <v>MŠK VSTK VRANOV NAD TOPĽOU</v>
      </c>
    </row>
    <row r="42" spans="1:4" ht="19.5" thickBot="1">
      <c r="A42" s="565"/>
      <c r="B42" s="399" t="str">
        <f>IF(ISERROR(VLOOKUP('pomocne poradie MIX'!L42,'pomocne poradie MIX'!$A$21:$C$68,3,0))=TRUE,"",(VLOOKUP('pomocne poradie MIX'!L42,'pomocne poradie MIX'!$A$21:$C$68,3,0)))</f>
        <v>TEREZKOVÁ Jana</v>
      </c>
      <c r="C42" s="399">
        <f>VLOOKUP(B42,'startova listina'!$E$8:$G$68,2,0)</f>
        <v>2002</v>
      </c>
      <c r="D42" s="400" t="str">
        <f>VLOOKUP(B42,'startova listina'!$E$8:$G$68,3,0)</f>
        <v>ŠKST MICHALOVCE</v>
      </c>
    </row>
    <row r="43" spans="1:4" ht="18.75">
      <c r="A43" s="566"/>
      <c r="B43" s="182" t="str">
        <f>IF(ISERROR(VLOOKUP('pomocne poradie MIX'!L43,'pomocne poradie MIX'!$A$21:$C$68,3,0))=TRUE,"",(VLOOKUP('pomocne poradie MIX'!L43,'pomocne poradie MIX'!$A$21:$C$68,3,0)))</f>
        <v>FREUND Andrej</v>
      </c>
      <c r="C43" s="182">
        <f>VLOOKUP(B43,'startova listina'!$E$8:$G$68,2,0)</f>
        <v>2002</v>
      </c>
      <c r="D43" s="183" t="str">
        <f>VLOOKUP(B43,'startova listina'!$E$8:$G$68,3,0)</f>
        <v>MSK MALACKY</v>
      </c>
    </row>
    <row r="44" spans="1:4" ht="19.5" thickBot="1">
      <c r="A44" s="567"/>
      <c r="B44" s="184" t="str">
        <f>IF(ISERROR(VLOOKUP('pomocne poradie MIX'!L44,'pomocne poradie MIX'!$A$21:$C$68,3,0))=TRUE,"",(VLOOKUP('pomocne poradie MIX'!L44,'pomocne poradie MIX'!$A$21:$C$68,3,0)))</f>
        <v>LEDAJOVÁ Martina</v>
      </c>
      <c r="C44" s="184">
        <f>VLOOKUP(B44,'startova listina'!$E$8:$G$68,2,0)</f>
        <v>2001</v>
      </c>
      <c r="D44" s="185" t="str">
        <f>VLOOKUP(B44,'startova listina'!$E$8:$G$68,3,0)</f>
        <v>STK OROL OTRHÁNKY</v>
      </c>
    </row>
    <row r="45" spans="1:4" ht="18.75">
      <c r="A45" s="564"/>
      <c r="B45" s="397" t="str">
        <f>IF(ISERROR(VLOOKUP('pomocne poradie MIX'!L45,'pomocne poradie MIX'!$A$21:$C$68,3,0))=TRUE,"",(VLOOKUP('pomocne poradie MIX'!L45,'pomocne poradie MIX'!$A$21:$C$68,3,0)))</f>
        <v>KLAJBER Adam</v>
      </c>
      <c r="C45" s="397">
        <f>VLOOKUP(B45,'startova listina'!$E$8:$G$68,2,0)</f>
        <v>2003</v>
      </c>
      <c r="D45" s="398" t="str">
        <f>VLOOKUP(B45,'startova listina'!$E$8:$G$68,3,0)</f>
        <v>SŠK POPROČ</v>
      </c>
    </row>
    <row r="46" spans="1:4" ht="19.5" thickBot="1">
      <c r="A46" s="565"/>
      <c r="B46" s="399" t="str">
        <f>IF(ISERROR(VLOOKUP('pomocne poradie MIX'!L46,'pomocne poradie MIX'!$A$21:$C$68,3,0))=TRUE,"",(VLOOKUP('pomocne poradie MIX'!L46,'pomocne poradie MIX'!$A$21:$C$68,3,0)))</f>
        <v>SISKOVÁ Zuzana</v>
      </c>
      <c r="C46" s="399">
        <f>VLOOKUP(B46,'startova listina'!$E$8:$G$68,2,0)</f>
        <v>2003</v>
      </c>
      <c r="D46" s="400" t="str">
        <f>VLOOKUP(B46,'startova listina'!$E$8:$G$68,3,0)</f>
        <v>TTC MAJCICHOV</v>
      </c>
    </row>
    <row r="47" spans="1:4" ht="18.75">
      <c r="A47" s="566"/>
      <c r="B47" s="182" t="str">
        <f>IF(ISERROR(VLOOKUP('pomocne poradie MIX'!L47,'pomocne poradie MIX'!$A$21:$C$68,3,0))=TRUE,"",(VLOOKUP('pomocne poradie MIX'!L47,'pomocne poradie MIX'!$A$21:$C$68,3,0)))</f>
        <v>PAPÁNEK Martin</v>
      </c>
      <c r="C47" s="182">
        <f>VLOOKUP(B47,'startova listina'!$E$8:$G$68,2,0)</f>
        <v>2001</v>
      </c>
      <c r="D47" s="183" t="str">
        <f>VLOOKUP(B47,'startova listina'!$E$8:$G$68,3,0)</f>
        <v>STK NOVÁ BAŇA/PODLUŽANY</v>
      </c>
    </row>
    <row r="48" spans="1:4" ht="19.5" thickBot="1">
      <c r="A48" s="567"/>
      <c r="B48" s="184" t="str">
        <f>IF(ISERROR(VLOOKUP('pomocne poradie MIX'!L48,'pomocne poradie MIX'!$A$21:$C$68,3,0))=TRUE,"",(VLOOKUP('pomocne poradie MIX'!L48,'pomocne poradie MIX'!$A$21:$C$68,3,0)))</f>
        <v>MIKULOVÁ Terézia</v>
      </c>
      <c r="C48" s="184">
        <f>VLOOKUP(B48,'startova listina'!$E$8:$G$68,2,0)</f>
        <v>2001</v>
      </c>
      <c r="D48" s="185" t="str">
        <f>VLOOKUP(B48,'startova listina'!$E$8:$G$68,3,0)</f>
        <v>KST DRIVE TR. JASTRABIE</v>
      </c>
    </row>
    <row r="49" spans="1:4" ht="18.75">
      <c r="A49" s="564"/>
      <c r="B49" s="397" t="str">
        <f>IF(ISERROR(VLOOKUP('pomocne poradie MIX'!L49,'pomocne poradie MIX'!$A$21:$C$68,3,0))=TRUE,"",(VLOOKUP('pomocne poradie MIX'!L49,'pomocne poradie MIX'!$A$21:$C$68,3,0)))</f>
        <v>KAPUSTA Martin</v>
      </c>
      <c r="C49" s="397">
        <f>VLOOKUP(B49,'startova listina'!$E$8:$G$68,2,0)</f>
        <v>2002</v>
      </c>
      <c r="D49" s="398" t="str">
        <f>VLOOKUP(B49,'startova listina'!$E$8:$G$68,3,0)</f>
        <v>MSK ČADCA</v>
      </c>
    </row>
    <row r="50" spans="1:4" ht="19.5" thickBot="1">
      <c r="A50" s="565"/>
      <c r="B50" s="399" t="str">
        <f>IF(ISERROR(VLOOKUP('pomocne poradie MIX'!L50,'pomocne poradie MIX'!$A$21:$C$68,3,0))=TRUE,"",(VLOOKUP('pomocne poradie MIX'!L50,'pomocne poradie MIX'!$A$21:$C$68,3,0)))</f>
        <v>CHYLOVÁ Sabína</v>
      </c>
      <c r="C50" s="399">
        <f>VLOOKUP(B50,'startova listina'!$E$8:$G$68,2,0)</f>
        <v>2001</v>
      </c>
      <c r="D50" s="400" t="str">
        <f>VLOOKUP(B50,'startova listina'!$E$8:$G$68,3,0)</f>
        <v>MSTK TVRDOŠÍN</v>
      </c>
    </row>
    <row r="51" spans="1:4" ht="18.75">
      <c r="A51" s="566"/>
      <c r="B51" s="182" t="str">
        <f>IF(ISERROR(VLOOKUP('pomocne poradie MIX'!L51,'pomocne poradie MIX'!$A$21:$C$68,3,0))=TRUE,"",(VLOOKUP('pomocne poradie MIX'!L51,'pomocne poradie MIX'!$A$21:$C$68,3,0)))</f>
        <v>VICO Dávid</v>
      </c>
      <c r="C51" s="182">
        <f>VLOOKUP(B51,'startova listina'!$E$8:$G$68,2,0)</f>
        <v>2001</v>
      </c>
      <c r="D51" s="183" t="str">
        <f>VLOOKUP(B51,'startova listina'!$E$8:$G$68,3,0)</f>
        <v>STO VALALIKY</v>
      </c>
    </row>
    <row r="52" spans="1:4" ht="19.5" thickBot="1">
      <c r="A52" s="567"/>
      <c r="B52" s="184" t="str">
        <f>IF(ISERROR(VLOOKUP('pomocne poradie MIX'!L52,'pomocne poradie MIX'!$A$21:$C$68,3,0))=TRUE,"",(VLOOKUP('pomocne poradie MIX'!L52,'pomocne poradie MIX'!$A$21:$C$68,3,0)))</f>
        <v>HUDÁKOVÁ Ivana</v>
      </c>
      <c r="C52" s="184">
        <f>VLOOKUP(B52,'startova listina'!$E$8:$G$68,2,0)</f>
        <v>2001</v>
      </c>
      <c r="D52" s="185" t="str">
        <f>VLOOKUP(B52,'startova listina'!$E$8:$G$68,3,0)</f>
        <v>ZŠ VYŠNÝ ŽIPOV</v>
      </c>
    </row>
    <row r="53" spans="1:4" ht="18.75">
      <c r="A53" s="566"/>
      <c r="B53" s="182" t="str">
        <f>IF(ISERROR(VLOOKUP('pomocne poradie MIX'!L53,'pomocne poradie MIX'!$A$21:$C$68,3,0))=TRUE,"",(VLOOKUP('pomocne poradie MIX'!L53,'pomocne poradie MIX'!$A$21:$C$68,3,0)))</f>
        <v/>
      </c>
      <c r="C53" s="182" t="str">
        <f>IF(ISERROR(VLOOKUP(B53,'startova listina'!$E$8:$G$68,2,0))=TRUE,"",VLOOKUP(B53,'startova listina'!$E$8:$G$68,2,0))</f>
        <v/>
      </c>
      <c r="D53" s="183" t="str">
        <f>IF(ISERROR(VLOOKUP(B53,'startova listina'!$E$8:$G$68,3,0))=TRUE,"",VLOOKUP(B53,'startova listina'!$E$8:$G$68,3,0))</f>
        <v/>
      </c>
    </row>
    <row r="54" spans="1:4" ht="19.5" thickBot="1">
      <c r="A54" s="567"/>
      <c r="B54" s="184" t="str">
        <f>IF(ISERROR(VLOOKUP('pomocne poradie MIX'!L54,'pomocne poradie MIX'!$A$21:$C$68,3,0))=TRUE,"",(VLOOKUP('pomocne poradie MIX'!L54,'pomocne poradie MIX'!$A$21:$C$68,3,0)))</f>
        <v/>
      </c>
      <c r="C54" s="184" t="str">
        <f>IF(ISERROR(VLOOKUP(B54,'startova listina'!$E$8:$G$68,2,0))=TRUE,"",VLOOKUP(B54,'startova listina'!$E$8:$G$68,2,0))</f>
        <v/>
      </c>
      <c r="D54" s="185" t="str">
        <f>IF(ISERROR(VLOOKUP(B54,'startova listina'!$E$8:$G$68,3,0))=TRUE,"",VLOOKUP(B54,'startova listina'!$E$8:$G$68,3,0))</f>
        <v/>
      </c>
    </row>
    <row r="55" spans="1:4" ht="18.75">
      <c r="A55" s="566"/>
      <c r="B55" s="182" t="str">
        <f>IF(ISERROR(VLOOKUP('pomocne poradie MIX'!L55,'pomocne poradie MIX'!$A$21:$C$68,3,0))=TRUE,"",(VLOOKUP('pomocne poradie MIX'!L55,'pomocne poradie MIX'!$A$21:$C$68,3,0)))</f>
        <v/>
      </c>
      <c r="C55" s="182" t="str">
        <f>IF(ISERROR(VLOOKUP(B55,'startova listina'!$E$8:$G$68,2,0))=TRUE,"",VLOOKUP(B55,'startova listina'!$E$8:$G$68,2,0))</f>
        <v/>
      </c>
      <c r="D55" s="183" t="str">
        <f>IF(ISERROR(VLOOKUP(B55,'startova listina'!$E$8:$G$68,3,0))=TRUE,"",VLOOKUP(B55,'startova listina'!$E$8:$G$68,3,0))</f>
        <v/>
      </c>
    </row>
    <row r="56" spans="1:4" ht="19.5" thickBot="1">
      <c r="A56" s="567"/>
      <c r="B56" s="184" t="str">
        <f>IF(ISERROR(VLOOKUP('pomocne poradie MIX'!L56,'pomocne poradie MIX'!$A$21:$C$68,3,0))=TRUE,"",(VLOOKUP('pomocne poradie MIX'!L56,'pomocne poradie MIX'!$A$21:$C$68,3,0)))</f>
        <v/>
      </c>
      <c r="C56" s="184" t="str">
        <f>IF(ISERROR(VLOOKUP(B56,'startova listina'!$E$8:$G$68,2,0))=TRUE,"",VLOOKUP(B56,'startova listina'!$E$8:$G$68,2,0))</f>
        <v/>
      </c>
      <c r="D56" s="185" t="str">
        <f>IF(ISERROR(VLOOKUP(B56,'startova listina'!$E$8:$G$68,3,0))=TRUE,"",VLOOKUP(B56,'startova listina'!$E$8:$G$68,3,0))</f>
        <v/>
      </c>
    </row>
    <row r="57" spans="1:4" ht="18.75">
      <c r="A57" s="566"/>
      <c r="B57" s="182" t="str">
        <f>IF(ISERROR(VLOOKUP('pomocne poradie MIX'!L57,'pomocne poradie MIX'!$A$21:$C$68,3,0))=TRUE,"",(VLOOKUP('pomocne poradie MIX'!L57,'pomocne poradie MIX'!$A$21:$C$68,3,0)))</f>
        <v/>
      </c>
      <c r="C57" s="182" t="str">
        <f>IF(ISERROR(VLOOKUP(B57,'startova listina'!$E$8:$G$68,2,0))=TRUE,"",VLOOKUP(B57,'startova listina'!$E$8:$G$68,2,0))</f>
        <v/>
      </c>
      <c r="D57" s="183" t="str">
        <f>IF(ISERROR(VLOOKUP(B57,'startova listina'!$E$8:$G$68,3,0))=TRUE,"",VLOOKUP(B57,'startova listina'!$E$8:$G$68,3,0))</f>
        <v/>
      </c>
    </row>
    <row r="58" spans="1:4" ht="19.5" thickBot="1">
      <c r="A58" s="567"/>
      <c r="B58" s="184" t="str">
        <f>IF(ISERROR(VLOOKUP('pomocne poradie MIX'!L58,'pomocne poradie MIX'!$A$21:$C$68,3,0))=TRUE,"",(VLOOKUP('pomocne poradie MIX'!L58,'pomocne poradie MIX'!$A$21:$C$68,3,0)))</f>
        <v/>
      </c>
      <c r="C58" s="184" t="str">
        <f>IF(ISERROR(VLOOKUP(B58,'startova listina'!$E$8:$G$68,2,0))=TRUE,"",VLOOKUP(B58,'startova listina'!$E$8:$G$68,2,0))</f>
        <v/>
      </c>
      <c r="D58" s="185" t="str">
        <f>IF(ISERROR(VLOOKUP(B58,'startova listina'!$E$8:$G$68,3,0))=TRUE,"",VLOOKUP(B58,'startova listina'!$E$8:$G$68,3,0))</f>
        <v/>
      </c>
    </row>
    <row r="59" spans="1:4" ht="18.75">
      <c r="A59" s="566"/>
      <c r="B59" s="182" t="str">
        <f>IF(ISERROR(VLOOKUP('pomocne poradie MIX'!L59,'pomocne poradie MIX'!$A$21:$C$68,3,0))=TRUE,"",(VLOOKUP('pomocne poradie MIX'!L59,'pomocne poradie MIX'!$A$21:$C$68,3,0)))</f>
        <v/>
      </c>
      <c r="C59" s="182" t="str">
        <f>IF(ISERROR(VLOOKUP(B59,'startova listina'!$E$8:$G$68,2,0))=TRUE,"",VLOOKUP(B59,'startova listina'!$E$8:$G$68,2,0))</f>
        <v/>
      </c>
      <c r="D59" s="183" t="str">
        <f>IF(ISERROR(VLOOKUP(B59,'startova listina'!$E$8:$G$68,3,0))=TRUE,"",VLOOKUP(B59,'startova listina'!$E$8:$G$68,3,0))</f>
        <v/>
      </c>
    </row>
    <row r="60" spans="1:4" ht="19.5" thickBot="1">
      <c r="A60" s="567"/>
      <c r="B60" s="184" t="str">
        <f>IF(ISERROR(VLOOKUP('pomocne poradie MIX'!L60,'pomocne poradie MIX'!$A$21:$C$68,3,0))=TRUE,"",(VLOOKUP('pomocne poradie MIX'!L60,'pomocne poradie MIX'!$A$21:$C$68,3,0)))</f>
        <v/>
      </c>
      <c r="C60" s="184" t="str">
        <f>IF(ISERROR(VLOOKUP(B60,'startova listina'!$E$8:$G$68,2,0))=TRUE,"",VLOOKUP(B60,'startova listina'!$E$8:$G$68,2,0))</f>
        <v/>
      </c>
      <c r="D60" s="185" t="str">
        <f>IF(ISERROR(VLOOKUP(B60,'startova listina'!$E$8:$G$68,3,0))=TRUE,"",VLOOKUP(B60,'startova listina'!$E$8:$G$68,3,0))</f>
        <v/>
      </c>
    </row>
    <row r="61" spans="1:4" ht="18.75">
      <c r="A61" s="566"/>
      <c r="B61" s="182" t="str">
        <f>IF(ISERROR(VLOOKUP('pomocne poradie MIX'!L61,'pomocne poradie MIX'!$A$21:$C$68,3,0))=TRUE,"",(VLOOKUP('pomocne poradie MIX'!L61,'pomocne poradie MIX'!$A$21:$C$68,3,0)))</f>
        <v/>
      </c>
      <c r="C61" s="182" t="str">
        <f>IF(ISERROR(VLOOKUP(B61,'startova listina'!$E$8:$G$68,2,0))=TRUE,"",VLOOKUP(B61,'startova listina'!$E$8:$G$68,2,0))</f>
        <v/>
      </c>
      <c r="D61" s="183" t="str">
        <f>IF(ISERROR(VLOOKUP(B61,'startova listina'!$E$8:$G$68,3,0))=TRUE,"",VLOOKUP(B61,'startova listina'!$E$8:$G$68,3,0))</f>
        <v/>
      </c>
    </row>
    <row r="62" spans="1:4" ht="19.5" thickBot="1">
      <c r="A62" s="567"/>
      <c r="B62" s="184" t="str">
        <f>IF(ISERROR(VLOOKUP('pomocne poradie MIX'!L62,'pomocne poradie MIX'!$A$21:$C$68,3,0))=TRUE,"",(VLOOKUP('pomocne poradie MIX'!L62,'pomocne poradie MIX'!$A$21:$C$68,3,0)))</f>
        <v/>
      </c>
      <c r="C62" s="184" t="str">
        <f>IF(ISERROR(VLOOKUP(B62,'startova listina'!$E$8:$G$68,2,0))=TRUE,"",VLOOKUP(B62,'startova listina'!$E$8:$G$68,2,0))</f>
        <v/>
      </c>
      <c r="D62" s="185" t="str">
        <f>IF(ISERROR(VLOOKUP(B62,'startova listina'!$E$8:$G$68,3,0))=TRUE,"",VLOOKUP(B62,'startova listina'!$E$8:$G$68,3,0))</f>
        <v/>
      </c>
    </row>
    <row r="63" spans="1:4" ht="18.75">
      <c r="A63" s="566"/>
      <c r="B63" s="182" t="str">
        <f>IF(ISERROR(VLOOKUP('pomocne poradie MIX'!L63,'pomocne poradie MIX'!$A$21:$C$68,3,0))=TRUE,"",(VLOOKUP('pomocne poradie MIX'!L63,'pomocne poradie MIX'!$A$21:$C$68,3,0)))</f>
        <v/>
      </c>
      <c r="C63" s="182" t="str">
        <f>IF(ISERROR(VLOOKUP(B63,'startova listina'!$E$8:$G$68,2,0))=TRUE,"",VLOOKUP(B63,'startova listina'!$E$8:$G$68,2,0))</f>
        <v/>
      </c>
      <c r="D63" s="183" t="str">
        <f>IF(ISERROR(VLOOKUP(B63,'startova listina'!$E$8:$G$68,3,0))=TRUE,"",VLOOKUP(B63,'startova listina'!$E$8:$G$68,3,0))</f>
        <v/>
      </c>
    </row>
    <row r="64" spans="1:4" ht="19.5" thickBot="1">
      <c r="A64" s="567"/>
      <c r="B64" s="184" t="str">
        <f>IF(ISERROR(VLOOKUP('pomocne poradie MIX'!L64,'pomocne poradie MIX'!$A$21:$C$68,3,0))=TRUE,"",(VLOOKUP('pomocne poradie MIX'!L64,'pomocne poradie MIX'!$A$21:$C$68,3,0)))</f>
        <v/>
      </c>
      <c r="C64" s="184" t="str">
        <f>IF(ISERROR(VLOOKUP(B64,'startova listina'!$E$8:$G$68,2,0))=TRUE,"",VLOOKUP(B64,'startova listina'!$E$8:$G$68,2,0))</f>
        <v/>
      </c>
      <c r="D64" s="185" t="str">
        <f>IF(ISERROR(VLOOKUP(B64,'startova listina'!$E$8:$G$68,3,0))=TRUE,"",VLOOKUP(B64,'startova listina'!$E$8:$G$68,3,0))</f>
        <v/>
      </c>
    </row>
    <row r="65" spans="1:4" ht="18.75">
      <c r="A65" s="566"/>
      <c r="B65" s="182" t="str">
        <f>IF(ISERROR(VLOOKUP('pomocne poradie MIX'!L65,'pomocne poradie MIX'!$A$21:$C$68,3,0))=TRUE,"",(VLOOKUP('pomocne poradie MIX'!L65,'pomocne poradie MIX'!$A$21:$C$68,3,0)))</f>
        <v/>
      </c>
      <c r="C65" s="182" t="str">
        <f>IF(ISERROR(VLOOKUP(B65,'startova listina'!$E$8:$G$68,2,0))=TRUE,"",VLOOKUP(B65,'startova listina'!$E$8:$G$68,2,0))</f>
        <v/>
      </c>
      <c r="D65" s="183" t="str">
        <f>IF(ISERROR(VLOOKUP(B65,'startova listina'!$E$8:$G$68,3,0))=TRUE,"",VLOOKUP(B65,'startova listina'!$E$8:$G$68,3,0))</f>
        <v/>
      </c>
    </row>
    <row r="66" spans="1:4" ht="19.5" thickBot="1">
      <c r="A66" s="567"/>
      <c r="B66" s="184" t="str">
        <f>IF(ISERROR(VLOOKUP('pomocne poradie MIX'!L66,'pomocne poradie MIX'!$A$21:$C$68,3,0))=TRUE,"",(VLOOKUP('pomocne poradie MIX'!L66,'pomocne poradie MIX'!$A$21:$C$68,3,0)))</f>
        <v/>
      </c>
      <c r="C66" s="184" t="str">
        <f>IF(ISERROR(VLOOKUP(B66,'startova listina'!$E$8:$G$68,2,0))=TRUE,"",VLOOKUP(B66,'startova listina'!$E$8:$G$68,2,0))</f>
        <v/>
      </c>
      <c r="D66" s="185" t="str">
        <f>IF(ISERROR(VLOOKUP(B66,'startova listina'!$E$8:$G$68,3,0))=TRUE,"",VLOOKUP(B66,'startova listina'!$E$8:$G$68,3,0))</f>
        <v/>
      </c>
    </row>
    <row r="67" spans="1:4" ht="18.75">
      <c r="A67" s="566"/>
      <c r="B67" s="182" t="str">
        <f>IF(ISERROR(VLOOKUP('pomocne poradie MIX'!L67,'pomocne poradie MIX'!$A$21:$C$68,3,0))=TRUE,"",(VLOOKUP('pomocne poradie MIX'!L67,'pomocne poradie MIX'!$A$21:$C$68,3,0)))</f>
        <v/>
      </c>
      <c r="C67" s="182" t="str">
        <f>IF(ISERROR(VLOOKUP(B67,'startova listina'!$E$8:$G$68,2,0))=TRUE,"",VLOOKUP(B67,'startova listina'!$E$8:$G$68,2,0))</f>
        <v/>
      </c>
      <c r="D67" s="183" t="str">
        <f>IF(ISERROR(VLOOKUP(B67,'startova listina'!$E$8:$G$68,3,0))=TRUE,"",VLOOKUP(B67,'startova listina'!$E$8:$G$68,3,0))</f>
        <v/>
      </c>
    </row>
    <row r="68" spans="1:4" ht="19.5" thickBot="1">
      <c r="A68" s="567"/>
      <c r="B68" s="184" t="str">
        <f>IF(ISERROR(VLOOKUP('pomocne poradie MIX'!L68,'pomocne poradie MIX'!$A$21:$C$68,3,0))=TRUE,"",(VLOOKUP('pomocne poradie MIX'!L68,'pomocne poradie MIX'!$A$21:$C$68,3,0)))</f>
        <v/>
      </c>
      <c r="C68" s="184" t="str">
        <f>IF(ISERROR(VLOOKUP(B68,'startova listina'!$E$8:$G$68,2,0))=TRUE,"",VLOOKUP(B68,'startova listina'!$E$8:$G$68,2,0))</f>
        <v/>
      </c>
      <c r="D68" s="185" t="str">
        <f>IF(ISERROR(VLOOKUP(B68,'startova listina'!$E$8:$G$68,3,0))=TRUE,"",VLOOKUP(B68,'startova listina'!$E$8:$G$68,3,0))</f>
        <v/>
      </c>
    </row>
  </sheetData>
  <mergeCells count="33">
    <mergeCell ref="A67:A68"/>
    <mergeCell ref="A57:A58"/>
    <mergeCell ref="A59:A60"/>
    <mergeCell ref="A61:A62"/>
    <mergeCell ref="A63:A64"/>
    <mergeCell ref="A65:A66"/>
    <mergeCell ref="A47:A48"/>
    <mergeCell ref="A49:A50"/>
    <mergeCell ref="A51:A52"/>
    <mergeCell ref="A53:A54"/>
    <mergeCell ref="A55:A56"/>
    <mergeCell ref="A37:A38"/>
    <mergeCell ref="A39:A40"/>
    <mergeCell ref="A41:A42"/>
    <mergeCell ref="A43:A44"/>
    <mergeCell ref="A45:A46"/>
    <mergeCell ref="A27:A28"/>
    <mergeCell ref="A29:A30"/>
    <mergeCell ref="A31:A32"/>
    <mergeCell ref="A33:A34"/>
    <mergeCell ref="A35:A36"/>
    <mergeCell ref="A25:A26"/>
    <mergeCell ref="A1:D1"/>
    <mergeCell ref="A5:A6"/>
    <mergeCell ref="A7:A8"/>
    <mergeCell ref="A9:A10"/>
    <mergeCell ref="A11:A12"/>
    <mergeCell ref="A13:A14"/>
    <mergeCell ref="A15:A16"/>
    <mergeCell ref="A17:A18"/>
    <mergeCell ref="A19:A20"/>
    <mergeCell ref="A21:A22"/>
    <mergeCell ref="A23:A24"/>
  </mergeCells>
  <pageMargins left="1.1100000000000001" right="0.31496062992125984" top="0.27559055118110237" bottom="0.23622047244094491" header="0.15748031496062992" footer="0.15748031496062992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D5:I16"/>
  <sheetViews>
    <sheetView showGridLines="0" view="pageBreakPreview" zoomScale="50" zoomScaleSheetLayoutView="50" workbookViewId="0">
      <selection activeCell="F8" sqref="F8"/>
    </sheetView>
  </sheetViews>
  <sheetFormatPr defaultRowHeight="15"/>
  <cols>
    <col min="5" max="5" width="47.28515625" bestFit="1" customWidth="1"/>
    <col min="6" max="6" width="17" bestFit="1" customWidth="1"/>
    <col min="9" max="9" width="10.85546875" bestFit="1" customWidth="1"/>
  </cols>
  <sheetData>
    <row r="5" spans="4:9" ht="46.5">
      <c r="D5" s="39" t="str">
        <f>'startova listina'!C1</f>
        <v>Majstrovstvá Slovenska jednotlivcov</v>
      </c>
      <c r="E5" s="39"/>
      <c r="F5" s="39"/>
      <c r="G5" s="39"/>
      <c r="H5" s="39"/>
    </row>
    <row r="6" spans="4:9" ht="46.5">
      <c r="D6" s="39"/>
      <c r="E6" s="39"/>
      <c r="F6" s="39"/>
      <c r="G6" s="39"/>
      <c r="H6" s="39"/>
    </row>
    <row r="7" spans="4:9" ht="46.5">
      <c r="D7" s="39"/>
      <c r="E7" s="39"/>
      <c r="F7" s="39"/>
      <c r="G7" s="39"/>
      <c r="H7" s="39"/>
    </row>
    <row r="8" spans="4:9" ht="211.5" customHeight="1">
      <c r="D8" s="39" t="s">
        <v>387</v>
      </c>
      <c r="E8" s="39"/>
      <c r="F8" s="39" t="str">
        <f>'startova listina'!D3</f>
        <v>Mladší žiaci</v>
      </c>
      <c r="G8" s="39"/>
      <c r="H8" s="39"/>
    </row>
    <row r="9" spans="4:9" ht="46.5">
      <c r="D9" s="39"/>
      <c r="E9" s="39"/>
      <c r="F9" s="39"/>
      <c r="G9" s="39"/>
      <c r="H9" s="39"/>
    </row>
    <row r="10" spans="4:9" ht="46.5">
      <c r="D10" s="39" t="s">
        <v>516</v>
      </c>
      <c r="E10" s="39"/>
      <c r="F10" s="39">
        <f>'startova listina'!I3</f>
        <v>2014</v>
      </c>
      <c r="G10" s="39"/>
      <c r="H10" s="39"/>
    </row>
    <row r="11" spans="4:9" ht="46.5">
      <c r="D11" s="39"/>
      <c r="E11" s="39"/>
      <c r="F11" s="39"/>
      <c r="G11" s="39"/>
      <c r="H11" s="39"/>
    </row>
    <row r="12" spans="4:9" ht="46.5">
      <c r="D12" s="39" t="s">
        <v>510</v>
      </c>
      <c r="E12" s="39"/>
      <c r="F12" s="39"/>
      <c r="G12" s="39"/>
      <c r="H12" s="39"/>
    </row>
    <row r="13" spans="4:9" ht="46.5">
      <c r="D13" s="39"/>
      <c r="E13" s="393"/>
      <c r="F13" s="39"/>
      <c r="G13" s="39"/>
      <c r="H13" s="39"/>
      <c r="I13" s="394"/>
    </row>
    <row r="14" spans="4:9" ht="282.75" customHeight="1">
      <c r="D14" s="39"/>
      <c r="E14" s="39"/>
      <c r="F14" s="39"/>
      <c r="G14" s="39"/>
      <c r="H14" s="39"/>
    </row>
    <row r="15" spans="4:9" ht="46.5">
      <c r="D15" s="39"/>
      <c r="E15" s="39"/>
      <c r="F15" s="39"/>
      <c r="G15" s="39"/>
      <c r="H15" s="39"/>
    </row>
    <row r="16" spans="4:9" ht="46.5">
      <c r="D16" s="39" t="str">
        <f>'startova listina'!F2</f>
        <v>Valaliky, 7. - 8. 6. 2014</v>
      </c>
      <c r="E16" s="39"/>
      <c r="F16" s="39"/>
      <c r="G16" s="39"/>
      <c r="H16" s="39"/>
    </row>
  </sheetData>
  <pageMargins left="0.57999999999999996" right="0.36" top="0.55000000000000004" bottom="0.63" header="0.3" footer="0.3"/>
  <pageSetup paperSize="9" scale="50" orientation="portrait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M37"/>
  <sheetViews>
    <sheetView workbookViewId="0">
      <selection activeCell="C14" sqref="C14"/>
    </sheetView>
  </sheetViews>
  <sheetFormatPr defaultRowHeight="15"/>
  <cols>
    <col min="2" max="2" width="9.140625" style="136"/>
    <col min="3" max="3" width="25.7109375" customWidth="1"/>
    <col min="4" max="4" width="12.28515625" customWidth="1"/>
    <col min="5" max="5" width="30.140625" customWidth="1"/>
    <col min="8" max="8" width="14.140625" bestFit="1" customWidth="1"/>
  </cols>
  <sheetData>
    <row r="1" spans="2:5" s="180" customFormat="1" ht="80.25" customHeight="1">
      <c r="B1" s="561"/>
      <c r="C1" s="562"/>
      <c r="D1" s="562"/>
      <c r="E1" s="562"/>
    </row>
    <row r="2" spans="2:5" ht="36" customHeight="1"/>
    <row r="3" spans="2:5" ht="21.75" thickBot="1">
      <c r="B3" s="138" t="s">
        <v>394</v>
      </c>
    </row>
    <row r="4" spans="2:5" ht="19.5" thickBot="1">
      <c r="B4" s="186"/>
      <c r="C4" s="187" t="s">
        <v>3</v>
      </c>
      <c r="D4" s="187" t="s">
        <v>4</v>
      </c>
      <c r="E4" s="188" t="s">
        <v>5</v>
      </c>
    </row>
    <row r="5" spans="2:5" ht="18.75">
      <c r="B5" s="566">
        <v>1</v>
      </c>
      <c r="C5" s="182" t="str">
        <f>VLOOKUP('D4'!V4,vylosovanie!$N$113:$Q$136,3,0)</f>
        <v>PEKOVÁ Zuzana</v>
      </c>
      <c r="D5" s="182">
        <f>VLOOKUP(C5,'startova listina'!$E$45:$G$68,2,0)</f>
        <v>2002</v>
      </c>
      <c r="E5" s="183" t="str">
        <f>VLOOKUP(C5,'startova listina'!$E$45:$G$68,3,0)</f>
        <v>KST VIKTÓRIA TRNAVA</v>
      </c>
    </row>
    <row r="6" spans="2:5" ht="19.5" thickBot="1">
      <c r="B6" s="567"/>
      <c r="C6" s="184" t="str">
        <f>VLOOKUP('D4'!V4,vylosovanie!$N$113:$Q$136,4,0)</f>
        <v>DIVINSKÁ Natália</v>
      </c>
      <c r="D6" s="184">
        <f>VLOOKUP(C6,'startova listina'!$E$45:$G$68,2,0)</f>
        <v>2002</v>
      </c>
      <c r="E6" s="185" t="str">
        <f>VLOOKUP(C6,'startova listina'!$E$45:$G$68,3,0)</f>
        <v>MSTK TVRDOŠÍN</v>
      </c>
    </row>
    <row r="7" spans="2:5" ht="18.75">
      <c r="B7" s="568">
        <v>2</v>
      </c>
      <c r="C7" s="181" t="str">
        <f>VLOOKUP('D4'!V5,vylosovanie!$N$113:$Q$136,3,0)</f>
        <v>LABOŠOVÁ Ema</v>
      </c>
      <c r="D7" s="181">
        <f>VLOOKUP(C7,'startova listina'!$E$45:$G$68,2,0)</f>
        <v>2001</v>
      </c>
      <c r="E7" s="189" t="str">
        <f>VLOOKUP(C7,'startova listina'!$E$45:$G$68,3,0)</f>
        <v>ŠSTK JUNIOR ČAŇA</v>
      </c>
    </row>
    <row r="8" spans="2:5" ht="19.5" thickBot="1">
      <c r="B8" s="569"/>
      <c r="C8" s="179" t="str">
        <f>VLOOKUP('D4'!V5,vylosovanie!$N$113:$Q$136,4,0)</f>
        <v>ŠINKAROVÁ Dáša</v>
      </c>
      <c r="D8" s="179">
        <f>VLOOKUP(C8,'startova listina'!$E$45:$G$68,2,0)</f>
        <v>2001</v>
      </c>
      <c r="E8" s="190" t="str">
        <f>VLOOKUP(C8,'startova listina'!$E$45:$G$68,3,0)</f>
        <v>ŠKST MICHALOVCE</v>
      </c>
    </row>
    <row r="9" spans="2:5" ht="18.75">
      <c r="B9" s="573" t="s">
        <v>381</v>
      </c>
      <c r="C9" s="182" t="str">
        <f>VLOOKUP('D4'!V6,vylosovanie!$N$113:$Q$136,3,0)</f>
        <v>ŠVAJDLENKOVÁ Laura</v>
      </c>
      <c r="D9" s="182">
        <f>VLOOKUP(C9,'startova listina'!$E$45:$G$68,2,0)</f>
        <v>2001</v>
      </c>
      <c r="E9" s="183" t="str">
        <f>VLOOKUP(C9,'startova listina'!$E$45:$G$68,3,0)</f>
        <v>MSK MALACKY</v>
      </c>
    </row>
    <row r="10" spans="2:5" ht="19.5" thickBot="1">
      <c r="B10" s="567"/>
      <c r="C10" s="184" t="str">
        <f>VLOOKUP('D4'!V6,vylosovanie!$N$113:$Q$136,4,0)</f>
        <v>HURBANOVÁ Isabella</v>
      </c>
      <c r="D10" s="184">
        <f>VLOOKUP(C10,'startova listina'!$E$45:$G$68,2,0)</f>
        <v>2003</v>
      </c>
      <c r="E10" s="185" t="str">
        <f>VLOOKUP(C10,'startova listina'!$E$45:$G$68,3,0)</f>
        <v>MSK MALACKY</v>
      </c>
    </row>
    <row r="11" spans="2:5" ht="18.75">
      <c r="B11" s="568"/>
      <c r="C11" s="181" t="str">
        <f>VLOOKUP('D4'!V7,vylosovanie!$N$113:$Q$136,3,0)</f>
        <v>DZELINSKA Júlia</v>
      </c>
      <c r="D11" s="181">
        <f>VLOOKUP(C11,'startova listina'!$E$45:$G$68,2,0)</f>
        <v>2002</v>
      </c>
      <c r="E11" s="189" t="str">
        <f>VLOOKUP(C11,'startova listina'!$E$45:$G$68,3,0)</f>
        <v>ŠKST MICHALOVCE/STK LOKOMOTÍVA KOŠICE</v>
      </c>
    </row>
    <row r="12" spans="2:5" ht="19.5" thickBot="1">
      <c r="B12" s="569"/>
      <c r="C12" s="179" t="str">
        <f>VLOOKUP('D4'!V7,vylosovanie!$N$113:$Q$136,4,0)</f>
        <v>TEREZKOVÁ Jana</v>
      </c>
      <c r="D12" s="179">
        <f>VLOOKUP(C12,'startova listina'!$E$45:$G$68,2,0)</f>
        <v>2002</v>
      </c>
      <c r="E12" s="190" t="str">
        <f>VLOOKUP(C12,'startova listina'!$E$45:$G$68,3,0)</f>
        <v>ŠKST MICHALOVCE</v>
      </c>
    </row>
    <row r="13" spans="2:5" ht="18.75">
      <c r="B13" s="566" t="s">
        <v>119</v>
      </c>
      <c r="C13" s="182" t="str">
        <f>VLOOKUP('D4'!V8,vylosovanie!$N$113:$Q$136,3,0)</f>
        <v>PISARČIKOVÁ Frederika</v>
      </c>
      <c r="D13" s="182">
        <f>VLOOKUP(C13,'startova listina'!$E$45:$G$68,2,0)</f>
        <v>2002</v>
      </c>
      <c r="E13" s="183" t="str">
        <f>VLOOKUP(C13,'startova listina'!$E$45:$G$68,3,0)</f>
        <v>ŠKST RUŽOMBEROK</v>
      </c>
    </row>
    <row r="14" spans="2:5" ht="19.5" thickBot="1">
      <c r="B14" s="567"/>
      <c r="C14" s="184" t="str">
        <f>VLOOKUP('D4'!V8,vylosovanie!$N$113:$Q$136,4,0)</f>
        <v>HUDÁKOVÁ Ivana</v>
      </c>
      <c r="D14" s="184">
        <f>VLOOKUP(C14,'startova listina'!$E$45:$G$68,2,0)</f>
        <v>2001</v>
      </c>
      <c r="E14" s="185" t="str">
        <f>VLOOKUP(C14,'startova listina'!$E$45:$G$68,3,0)</f>
        <v>ZŠ VYŠNÝ ŽIPOV</v>
      </c>
    </row>
    <row r="15" spans="2:5" ht="18.75">
      <c r="B15" s="568"/>
      <c r="C15" s="181" t="str">
        <f>VLOOKUP('D4'!V9,vylosovanie!$N$113:$Q$136,3,0)</f>
        <v>MAJERSKÁ Alena</v>
      </c>
      <c r="D15" s="181">
        <f>VLOOKUP(C15,'startova listina'!$E$45:$G$68,2,0)</f>
        <v>2002</v>
      </c>
      <c r="E15" s="189" t="str">
        <f>VLOOKUP(C15,'startova listina'!$E$45:$G$68,3,0)</f>
        <v>STO VALALIKY</v>
      </c>
    </row>
    <row r="16" spans="2:5" ht="18.75">
      <c r="B16" s="571"/>
      <c r="C16" s="6" t="str">
        <f>VLOOKUP('D4'!V9,vylosovanie!$N$113:$Q$136,4,0)</f>
        <v>GAŠPARÍKOVÁ Lucia</v>
      </c>
      <c r="D16" s="6">
        <f>VLOOKUP(C16,'startova listina'!$E$45:$G$68,2,0)</f>
        <v>2002</v>
      </c>
      <c r="E16" s="191" t="str">
        <f>VLOOKUP(C16,'startova listina'!$E$45:$G$68,3,0)</f>
        <v>TTC MAJCICHOV</v>
      </c>
    </row>
    <row r="17" spans="1:13" ht="18.75">
      <c r="B17" s="571"/>
      <c r="C17" s="6" t="str">
        <f>VLOOKUP('D4'!V10,vylosovanie!$N$113:$Q$136,3,0)</f>
        <v>VIŠŇOVSKÁ Nina</v>
      </c>
      <c r="D17" s="6">
        <f>VLOOKUP(C17,'startova listina'!$E$45:$G$68,2,0)</f>
        <v>2003</v>
      </c>
      <c r="E17" s="191" t="str">
        <f>VLOOKUP(C17,'startova listina'!$E$45:$G$68,3,0)</f>
        <v>TTC INTERSPEAD N.ZÁMKY</v>
      </c>
    </row>
    <row r="18" spans="1:13" ht="18.75">
      <c r="B18" s="571"/>
      <c r="C18" s="6" t="str">
        <f>VLOOKUP('D4'!V10,vylosovanie!$N$113:$Q$136,4,0)</f>
        <v>LEDAJOVÁ Martina</v>
      </c>
      <c r="D18" s="6">
        <f>VLOOKUP(C18,'startova listina'!$E$45:$G$68,2,0)</f>
        <v>2001</v>
      </c>
      <c r="E18" s="191" t="str">
        <f>VLOOKUP(C18,'startova listina'!$E$45:$G$68,3,0)</f>
        <v>STK OROL OTRHÁNKY</v>
      </c>
    </row>
    <row r="19" spans="1:13" ht="18.75">
      <c r="B19" s="571"/>
      <c r="C19" s="6" t="str">
        <f>VLOOKUP('D4'!V11,vylosovanie!$N$113:$Q$136,3,0)</f>
        <v>SLOBODNÍKOVÁ Hana</v>
      </c>
      <c r="D19" s="6">
        <f>VLOOKUP(C19,'startova listina'!$E$45:$G$68,2,0)</f>
        <v>2003</v>
      </c>
      <c r="E19" s="191" t="str">
        <f>VLOOKUP(C19,'startova listina'!$E$45:$G$68,3,0)</f>
        <v>ŠKST KARLOVA VES</v>
      </c>
    </row>
    <row r="20" spans="1:13" ht="19.5" thickBot="1">
      <c r="B20" s="569"/>
      <c r="C20" s="179" t="str">
        <f>VLOOKUP('D4'!V11,vylosovanie!$N$113:$Q$136,4,0)</f>
        <v>LACENOVÁ Renáta</v>
      </c>
      <c r="D20" s="179">
        <f>VLOOKUP(C20,'startova listina'!$E$45:$G$68,2,0)</f>
        <v>2003</v>
      </c>
      <c r="E20" s="190" t="str">
        <f>VLOOKUP(C20,'startova listina'!$E$45:$G$68,3,0)</f>
        <v>ŠKST TOPOĽČANY</v>
      </c>
    </row>
    <row r="21" spans="1:13" ht="18.75">
      <c r="A21">
        <f>H21</f>
        <v>0</v>
      </c>
      <c r="B21" s="566" t="str">
        <f>CONCATENATE("9","-",'D4'!T20)</f>
        <v>9-12</v>
      </c>
      <c r="C21" s="182" t="str">
        <f>IF(ISERROR(VLOOKUP('D4'!V12,vylosovanie!$N$113:$Q$136,3,0))=TRUE,"",VLOOKUP('D4'!V12,vylosovanie!$N$113:$Q$136,3,0))</f>
        <v/>
      </c>
      <c r="D21" s="182" t="str">
        <f>IF(ISERROR(VLOOKUP(C21,'startova listina'!$E$45:$G$68,2,0))=TRUE,"",VLOOKUP(C21,'startova listina'!$E$45:$G$68,2,0))</f>
        <v/>
      </c>
      <c r="E21" s="183" t="str">
        <f>IF(ISERROR(VLOOKUP(C21,'startova listina'!$E$45:$G$68,3,0))=TRUE,"",VLOOKUP(C21,'startova listina'!$E$45:$G$68,3,0))</f>
        <v/>
      </c>
      <c r="F21">
        <f>IF(C21="",0,MAX($F$4:F20)+1)</f>
        <v>0</v>
      </c>
      <c r="G21">
        <f>VALUE(J21)</f>
        <v>2</v>
      </c>
      <c r="H21">
        <f>IF(OR(J21="01",J21="02"),0,RANK(G21,$G$21:$G$36,0))</f>
        <v>0</v>
      </c>
      <c r="J21" t="str">
        <f>CONCATENATE(F21,2)</f>
        <v>02</v>
      </c>
      <c r="L21">
        <v>1</v>
      </c>
      <c r="M21" t="str">
        <f>VLOOKUP(L21,$A$21:$C$36,3,0)</f>
        <v>GALČÍKOVÁ Sára</v>
      </c>
    </row>
    <row r="22" spans="1:13" ht="19.5" thickBot="1">
      <c r="A22">
        <f t="shared" ref="A22:A36" si="0">H22</f>
        <v>0</v>
      </c>
      <c r="B22" s="567"/>
      <c r="C22" s="184" t="str">
        <f>IF(ISERROR(VLOOKUP('D4'!V12,vylosovanie!$N$113:$Q$136,43,0))=TRUE,"",VLOOKUP('D4'!V12,vylosovanie!$N$113:$Q$136,4,0))</f>
        <v/>
      </c>
      <c r="D22" s="184" t="str">
        <f>IF(ISERROR(VLOOKUP(C22,'startova listina'!$E$45:$G$68,2,0))=TRUE,"",VLOOKUP(C22,'startova listina'!$E$45:$G$68,2,0))</f>
        <v/>
      </c>
      <c r="E22" s="185" t="str">
        <f>IF(ISERROR(VLOOKUP(C22,'startova listina'!$E$45:$G$68,3,0))=TRUE,"",VLOOKUP(C22,'startova listina'!$E$45:$G$68,3,0))</f>
        <v/>
      </c>
      <c r="G22">
        <f t="shared" ref="G22:G36" si="1">VALUE(J22)</f>
        <v>1</v>
      </c>
      <c r="H22">
        <f t="shared" ref="H22:H36" si="2">IF(OR(J22="01",J22="02"),0,RANK(G22,$G$21:$G$36,0))</f>
        <v>0</v>
      </c>
      <c r="J22" t="str">
        <f>CONCATENATE(F21,1)</f>
        <v>01</v>
      </c>
      <c r="L22">
        <v>2</v>
      </c>
      <c r="M22" t="str">
        <f t="shared" ref="M22:M36" si="3">VLOOKUP(L22,$A$21:$C$36,3,0)</f>
        <v>VOJTASOVA Patrícia</v>
      </c>
    </row>
    <row r="23" spans="1:13" ht="18.75">
      <c r="A23">
        <f t="shared" si="0"/>
        <v>7</v>
      </c>
      <c r="B23" s="568">
        <v>1</v>
      </c>
      <c r="C23" s="181" t="str">
        <f>IF(ISERROR(VLOOKUP('D4'!V13,vylosovanie!$N$113:$Q$136,3,0))=TRUE,"",VLOOKUP('D4'!V13,vylosovanie!$N$113:$Q$136,3,0))</f>
        <v>CHYLOVÁ Sabína</v>
      </c>
      <c r="D23" s="181">
        <f>IF(ISERROR(VLOOKUP(C23,'startova listina'!$E$45:$G$68,2,0))=TRUE,"",VLOOKUP(C23,'startova listina'!$E$45:$G$68,2,0))</f>
        <v>2001</v>
      </c>
      <c r="E23" s="189" t="str">
        <f>IF(ISERROR(VLOOKUP(C23,'startova listina'!$E$45:$G$68,3,0))=TRUE,"",VLOOKUP(C23,'startova listina'!$E$45:$G$68,3,0))</f>
        <v>MSTK TVRDOŠÍN</v>
      </c>
      <c r="F23">
        <f>IF(C23="",0,MAX($F$4:F22)+1)</f>
        <v>1</v>
      </c>
      <c r="G23">
        <f t="shared" si="1"/>
        <v>12</v>
      </c>
      <c r="H23">
        <f t="shared" si="2"/>
        <v>7</v>
      </c>
      <c r="J23" t="str">
        <f>CONCATENATE(F23,2)</f>
        <v>12</v>
      </c>
      <c r="L23">
        <v>3</v>
      </c>
      <c r="M23" t="str">
        <f t="shared" si="3"/>
        <v>MIKULOVÁ Terézia</v>
      </c>
    </row>
    <row r="24" spans="1:13" ht="19.5" thickBot="1">
      <c r="A24">
        <f t="shared" si="0"/>
        <v>8</v>
      </c>
      <c r="B24" s="569"/>
      <c r="C24" s="179" t="str">
        <f>IF(ISERROR(VLOOKUP('D4'!V13,vylosovanie!$N$113:$Q$136,4,0))=TRUE,"",VLOOKUP('D4'!V13,vylosovanie!$N$113:$Q$136,4,0))</f>
        <v>PAPCUNOVÁ Viktória</v>
      </c>
      <c r="D24" s="179">
        <f>IF(ISERROR(VLOOKUP(C24,'startova listina'!$E$45:$G$68,2,0))=TRUE,"",VLOOKUP(C24,'startova listina'!$E$45:$G$68,2,0))</f>
        <v>2001</v>
      </c>
      <c r="E24" s="190" t="str">
        <f>IF(ISERROR(VLOOKUP(C24,'startova listina'!$E$45:$G$68,3,0))=TRUE,"",VLOOKUP(C24,'startova listina'!$E$45:$G$68,3,0))</f>
        <v>ŠSTK JUNIOR ČAŇA</v>
      </c>
      <c r="G24">
        <f t="shared" si="1"/>
        <v>11</v>
      </c>
      <c r="H24">
        <f t="shared" si="2"/>
        <v>8</v>
      </c>
      <c r="J24" t="str">
        <f>CONCATENATE(F23,1)</f>
        <v>11</v>
      </c>
      <c r="L24">
        <v>4</v>
      </c>
      <c r="M24" t="str">
        <f t="shared" si="3"/>
        <v>DZUROVÁ Lenka</v>
      </c>
    </row>
    <row r="25" spans="1:13" ht="18.75">
      <c r="A25">
        <f t="shared" si="0"/>
        <v>5</v>
      </c>
      <c r="B25" s="566">
        <v>2</v>
      </c>
      <c r="C25" s="182" t="str">
        <f>IF(ISERROR(VLOOKUP('D4'!V14,vylosovanie!$N$113:$Q$136,3,0))=TRUE,"",VLOOKUP('D4'!V14,vylosovanie!$N$113:$Q$136,3,0))</f>
        <v>SISKOVÁ Zuzana</v>
      </c>
      <c r="D25" s="182">
        <f>IF(ISERROR(VLOOKUP(C25,'startova listina'!$E$45:$G$68,2,0))=TRUE,"",VLOOKUP(C25,'startova listina'!$E$45:$G$68,2,0))</f>
        <v>2003</v>
      </c>
      <c r="E25" s="183" t="str">
        <f>IF(ISERROR(VLOOKUP(C25,'startova listina'!$E$45:$G$68,3,0))=TRUE,"",VLOOKUP(C25,'startova listina'!$E$45:$G$68,3,0))</f>
        <v>TTC MAJCICHOV</v>
      </c>
      <c r="F25">
        <f>IF(C25="",0,MAX($F$4:F24)+1)</f>
        <v>2</v>
      </c>
      <c r="G25">
        <f t="shared" si="1"/>
        <v>22</v>
      </c>
      <c r="H25">
        <f t="shared" si="2"/>
        <v>5</v>
      </c>
      <c r="J25" t="str">
        <f>CONCATENATE(F25,2)</f>
        <v>22</v>
      </c>
      <c r="L25">
        <v>5</v>
      </c>
      <c r="M25" t="str">
        <f t="shared" si="3"/>
        <v>SISKOVÁ Zuzana</v>
      </c>
    </row>
    <row r="26" spans="1:13" ht="19.5" thickBot="1">
      <c r="A26">
        <f t="shared" si="0"/>
        <v>6</v>
      </c>
      <c r="B26" s="567"/>
      <c r="C26" s="184" t="str">
        <f>IF(ISERROR(VLOOKUP('D4'!V14,vylosovanie!$N$113:$Q$136,4,0))=TRUE,"",VLOOKUP('D4'!V14,vylosovanie!$N$113:$Q$136,4,0))</f>
        <v>GORFOLOVÁ Viktória</v>
      </c>
      <c r="D26" s="184">
        <f>IF(ISERROR(VLOOKUP(C26,'startova listina'!$E$45:$G$68,2,0))=TRUE,"",VLOOKUP(C26,'startova listina'!$E$45:$G$68,2,0))</f>
        <v>2001</v>
      </c>
      <c r="E26" s="185" t="str">
        <f>IF(ISERROR(VLOOKUP(C26,'startova listina'!$E$45:$G$68,3,0))=TRUE,"",VLOOKUP(C26,'startova listina'!$E$45:$G$68,3,0))</f>
        <v>GASTO METALFIN GALANTA</v>
      </c>
      <c r="G26">
        <f t="shared" si="1"/>
        <v>21</v>
      </c>
      <c r="H26">
        <f t="shared" si="2"/>
        <v>6</v>
      </c>
      <c r="J26" t="str">
        <f>CONCATENATE(F25,1)</f>
        <v>21</v>
      </c>
      <c r="L26">
        <v>6</v>
      </c>
      <c r="M26" t="str">
        <f t="shared" si="3"/>
        <v>GORFOLOVÁ Viktória</v>
      </c>
    </row>
    <row r="27" spans="1:13" ht="18.75">
      <c r="A27">
        <f t="shared" si="0"/>
        <v>0</v>
      </c>
      <c r="B27" s="568">
        <v>3</v>
      </c>
      <c r="C27" s="181" t="str">
        <f>IF(ISERROR(VLOOKUP('D4'!V15,vylosovanie!$N$113:$Q$136,3,0))=TRUE,"",VLOOKUP('D4'!V15,vylosovanie!$N$113:$Q$136,3,0))</f>
        <v/>
      </c>
      <c r="D27" s="181" t="str">
        <f>IF(ISERROR(VLOOKUP(C27,'startova listina'!$E$45:$G$68,2,0))=TRUE,"",VLOOKUP(C27,'startova listina'!$E$45:$G$68,2,0))</f>
        <v/>
      </c>
      <c r="E27" s="189" t="str">
        <f>IF(ISERROR(VLOOKUP(C27,'startova listina'!$E$45:$G$68,3,0))=TRUE,"",VLOOKUP(C27,'startova listina'!$E$45:$G$68,3,0))</f>
        <v/>
      </c>
      <c r="F27">
        <f>IF(C27="",0,MAX($F$4:F26)+1)</f>
        <v>0</v>
      </c>
      <c r="G27">
        <f t="shared" si="1"/>
        <v>2</v>
      </c>
      <c r="H27">
        <f t="shared" si="2"/>
        <v>0</v>
      </c>
      <c r="J27" t="str">
        <f>CONCATENATE(F27,2)</f>
        <v>02</v>
      </c>
      <c r="L27">
        <v>7</v>
      </c>
      <c r="M27" t="str">
        <f t="shared" si="3"/>
        <v>CHYLOVÁ Sabína</v>
      </c>
    </row>
    <row r="28" spans="1:13" ht="19.5" thickBot="1">
      <c r="A28">
        <f t="shared" si="0"/>
        <v>0</v>
      </c>
      <c r="B28" s="569"/>
      <c r="C28" s="179" t="str">
        <f>IF(ISERROR(VLOOKUP('D4'!V15,vylosovanie!$N$113:$Q$136,4,0))=TRUE,"",VLOOKUP('D4'!V15,vylosovanie!$N$113:$Q$136,4,0))</f>
        <v/>
      </c>
      <c r="D28" s="179" t="str">
        <f>IF(ISERROR(VLOOKUP(C28,'startova listina'!$E$45:$G$68,2,0))=TRUE,"",VLOOKUP(C28,'startova listina'!$E$45:$G$68,2,0))</f>
        <v/>
      </c>
      <c r="E28" s="190" t="str">
        <f>IF(ISERROR(VLOOKUP(C28,'startova listina'!$E$45:$G$68,3,0))=TRUE,"",VLOOKUP(C28,'startova listina'!$E$45:$G$68,3,0))</f>
        <v/>
      </c>
      <c r="G28">
        <f t="shared" si="1"/>
        <v>1</v>
      </c>
      <c r="H28">
        <f t="shared" si="2"/>
        <v>0</v>
      </c>
      <c r="J28" t="str">
        <f>CONCATENATE(F27,1)</f>
        <v>01</v>
      </c>
      <c r="L28">
        <v>8</v>
      </c>
      <c r="M28" t="str">
        <f t="shared" si="3"/>
        <v>PAPCUNOVÁ Viktória</v>
      </c>
    </row>
    <row r="29" spans="1:13" ht="18.75">
      <c r="A29">
        <f t="shared" si="0"/>
        <v>0</v>
      </c>
      <c r="B29" s="566">
        <v>4</v>
      </c>
      <c r="C29" s="182" t="str">
        <f>IF(ISERROR(VLOOKUP('D4'!V16,vylosovanie!$N$113:$Q$136,3,0))=TRUE,"",VLOOKUP('D4'!V16,vylosovanie!$N$113:$Q$136,3,0))</f>
        <v/>
      </c>
      <c r="D29" s="182" t="str">
        <f>IF(ISERROR(VLOOKUP(C29,'startova listina'!$E$45:$G$68,2,0))=TRUE,"",VLOOKUP(C29,'startova listina'!$E$45:$G$68,2,0))</f>
        <v/>
      </c>
      <c r="E29" s="183" t="str">
        <f>IF(ISERROR(VLOOKUP(C29,'startova listina'!$E$45:$G$68,3,0))=TRUE,"",VLOOKUP(C29,'startova listina'!$E$45:$G$68,3,0))</f>
        <v/>
      </c>
      <c r="F29">
        <f>IF(C29="",0,MAX($F$4:F28)+1)</f>
        <v>0</v>
      </c>
      <c r="G29">
        <f t="shared" si="1"/>
        <v>2</v>
      </c>
      <c r="H29">
        <f t="shared" si="2"/>
        <v>0</v>
      </c>
      <c r="J29" t="str">
        <f>CONCATENATE(F29,2)</f>
        <v>02</v>
      </c>
      <c r="L29">
        <v>9</v>
      </c>
      <c r="M29" t="e">
        <f t="shared" si="3"/>
        <v>#N/A</v>
      </c>
    </row>
    <row r="30" spans="1:13" ht="19.5" thickBot="1">
      <c r="A30">
        <f t="shared" si="0"/>
        <v>0</v>
      </c>
      <c r="B30" s="567"/>
      <c r="C30" s="184" t="str">
        <f>IF(ISERROR(VLOOKUP('D4'!V16,vylosovanie!$N$113:$Q$136,4,0))=TRUE,"",VLOOKUP('D4'!V16,vylosovanie!$N$113:$Q$136,4,0))</f>
        <v/>
      </c>
      <c r="D30" s="184" t="str">
        <f>IF(ISERROR(VLOOKUP(C30,'startova listina'!$E$45:$G$68,2,0))=TRUE,"",VLOOKUP(C30,'startova listina'!$E$45:$G$68,2,0))</f>
        <v/>
      </c>
      <c r="E30" s="185" t="str">
        <f>IF(ISERROR(VLOOKUP(C30,'startova listina'!$E$45:$G$68,3,0))=TRUE,"",VLOOKUP(C30,'startova listina'!$E$45:$G$68,3,0))</f>
        <v/>
      </c>
      <c r="G30">
        <f t="shared" si="1"/>
        <v>1</v>
      </c>
      <c r="H30">
        <f t="shared" si="2"/>
        <v>0</v>
      </c>
      <c r="J30" t="str">
        <f>CONCATENATE(F29,1)</f>
        <v>01</v>
      </c>
      <c r="L30">
        <v>10</v>
      </c>
      <c r="M30" t="e">
        <f t="shared" si="3"/>
        <v>#N/A</v>
      </c>
    </row>
    <row r="31" spans="1:13" ht="18.75">
      <c r="A31">
        <f t="shared" si="0"/>
        <v>3</v>
      </c>
      <c r="B31" s="568">
        <v>5</v>
      </c>
      <c r="C31" s="181" t="str">
        <f>IF(ISERROR(VLOOKUP('D4'!V17,vylosovanie!$N$113:$Q$136,3,0))=TRUE,"",VLOOKUP('D4'!V17,vylosovanie!$N$113:$Q$136,3,0))</f>
        <v>MIKULOVÁ Terézia</v>
      </c>
      <c r="D31" s="181">
        <f>IF(ISERROR(VLOOKUP(C31,'startova listina'!$E$45:$G$68,2,0))=TRUE,"",VLOOKUP(C31,'startova listina'!$E$45:$G$68,2,0))</f>
        <v>2001</v>
      </c>
      <c r="E31" s="189" t="str">
        <f>IF(ISERROR(VLOOKUP(C31,'startova listina'!$E$45:$G$68,3,0))=TRUE,"",VLOOKUP(C31,'startova listina'!$E$45:$G$68,3,0))</f>
        <v>KST DRIVE TR. JASTRABIE</v>
      </c>
      <c r="F31">
        <f>IF(C31="",0,MAX($F$4:F30)+1)</f>
        <v>3</v>
      </c>
      <c r="G31">
        <f t="shared" si="1"/>
        <v>32</v>
      </c>
      <c r="H31">
        <f t="shared" si="2"/>
        <v>3</v>
      </c>
      <c r="J31" t="str">
        <f>CONCATENATE(F31,2)</f>
        <v>32</v>
      </c>
      <c r="L31">
        <v>11</v>
      </c>
      <c r="M31" t="e">
        <f t="shared" si="3"/>
        <v>#N/A</v>
      </c>
    </row>
    <row r="32" spans="1:13" ht="19.5" thickBot="1">
      <c r="A32">
        <f t="shared" si="0"/>
        <v>4</v>
      </c>
      <c r="B32" s="569"/>
      <c r="C32" s="179" t="str">
        <f>IF(ISERROR(VLOOKUP('D4'!V17,vylosovanie!$N$113:$Q$136,4,0))=TRUE,"",VLOOKUP('D4'!V17,vylosovanie!$N$113:$Q$136,4,0))</f>
        <v>DZUROVÁ Lenka</v>
      </c>
      <c r="D32" s="179">
        <f>IF(ISERROR(VLOOKUP(C32,'startova listina'!$E$45:$G$68,2,0))=TRUE,"",VLOOKUP(C32,'startova listina'!$E$45:$G$68,2,0))</f>
        <v>2002</v>
      </c>
      <c r="E32" s="190" t="str">
        <f>IF(ISERROR(VLOOKUP(C32,'startova listina'!$E$45:$G$68,3,0))=TRUE,"",VLOOKUP(C32,'startova listina'!$E$45:$G$68,3,0))</f>
        <v>STK STARÁ TURÁ</v>
      </c>
      <c r="G32">
        <f t="shared" si="1"/>
        <v>31</v>
      </c>
      <c r="H32">
        <f t="shared" si="2"/>
        <v>4</v>
      </c>
      <c r="J32" t="str">
        <f>CONCATENATE(F31,1)</f>
        <v>31</v>
      </c>
      <c r="L32">
        <v>12</v>
      </c>
      <c r="M32" t="e">
        <f t="shared" si="3"/>
        <v>#N/A</v>
      </c>
    </row>
    <row r="33" spans="1:13" ht="18.75">
      <c r="A33">
        <f t="shared" si="0"/>
        <v>1</v>
      </c>
      <c r="B33" s="566">
        <v>6</v>
      </c>
      <c r="C33" s="182" t="str">
        <f>IF(ISERROR(VLOOKUP('D4'!V18,vylosovanie!$N$113:$Q$136,3,0))=TRUE,"",VLOOKUP('D4'!V18,vylosovanie!$N$113:$Q$136,3,0))</f>
        <v>GALČÍKOVÁ Sára</v>
      </c>
      <c r="D33" s="182">
        <f>IF(ISERROR(VLOOKUP(C33,'startova listina'!$E$45:$G$68,2,0))=TRUE,"",VLOOKUP(C33,'startova listina'!$E$45:$G$68,2,0))</f>
        <v>2001</v>
      </c>
      <c r="E33" s="183" t="str">
        <f>IF(ISERROR(VLOOKUP(C33,'startova listina'!$E$45:$G$68,3,0))=TRUE,"",VLOOKUP(C33,'startova listina'!$E$45:$G$68,3,0))</f>
        <v>TJ ORAVAN NÁMESTOVO</v>
      </c>
      <c r="F33">
        <f>IF(C33="",0,MAX($F$4:F32)+1)</f>
        <v>4</v>
      </c>
      <c r="G33">
        <f t="shared" si="1"/>
        <v>42</v>
      </c>
      <c r="H33">
        <f t="shared" si="2"/>
        <v>1</v>
      </c>
      <c r="J33" t="str">
        <f>CONCATENATE(F33,2)</f>
        <v>42</v>
      </c>
      <c r="L33">
        <v>13</v>
      </c>
      <c r="M33" t="e">
        <f t="shared" si="3"/>
        <v>#N/A</v>
      </c>
    </row>
    <row r="34" spans="1:13" ht="19.5" thickBot="1">
      <c r="A34">
        <f t="shared" si="0"/>
        <v>2</v>
      </c>
      <c r="B34" s="567"/>
      <c r="C34" s="184" t="str">
        <f>IF(ISERROR(VLOOKUP('D4'!V18,vylosovanie!$N$113:$Q$136,4,0))=TRUE,"",VLOOKUP('D4'!V18,vylosovanie!$N$113:$Q$136,4,0))</f>
        <v>VOJTASOVA Patrícia</v>
      </c>
      <c r="D34" s="184">
        <f>IF(ISERROR(VLOOKUP(C34,'startova listina'!$E$45:$G$68,2,0))=TRUE,"",VLOOKUP(C34,'startova listina'!$E$45:$G$68,2,0))</f>
        <v>2001</v>
      </c>
      <c r="E34" s="185" t="str">
        <f>IF(ISERROR(VLOOKUP(C34,'startova listina'!$E$45:$G$68,3,0))=TRUE,"",VLOOKUP(C34,'startova listina'!$E$45:$G$68,3,0))</f>
        <v>ZŠ LIETAVSKÁ LÚČKA</v>
      </c>
      <c r="G34">
        <f t="shared" si="1"/>
        <v>41</v>
      </c>
      <c r="H34">
        <f t="shared" si="2"/>
        <v>2</v>
      </c>
      <c r="J34" t="str">
        <f>CONCATENATE(F33,1)</f>
        <v>41</v>
      </c>
      <c r="L34">
        <v>14</v>
      </c>
      <c r="M34" t="e">
        <f t="shared" si="3"/>
        <v>#N/A</v>
      </c>
    </row>
    <row r="35" spans="1:13" ht="18.75">
      <c r="A35">
        <f t="shared" si="0"/>
        <v>0</v>
      </c>
      <c r="B35" s="568">
        <v>7</v>
      </c>
      <c r="C35" s="181" t="str">
        <f>IF(ISERROR(VLOOKUP('D4'!V19,vylosovanie!$N$113:$Q$136,3,0))=TRUE,"",VLOOKUP('D4'!V19,vylosovanie!$N$113:$Q$136,3,0))</f>
        <v/>
      </c>
      <c r="D35" s="181" t="str">
        <f>IF(ISERROR(VLOOKUP(C35,'startova listina'!$E$45:$G$68,2,0))=TRUE,"",VLOOKUP(C35,'startova listina'!$E$45:$G$68,2,0))</f>
        <v/>
      </c>
      <c r="E35" s="189" t="str">
        <f>IF(ISERROR(VLOOKUP(C35,'startova listina'!$E$45:$G$68,3,0))=TRUE,"",VLOOKUP(C35,'startova listina'!$E$45:$G$68,3,0))</f>
        <v/>
      </c>
      <c r="F35">
        <f>IF(C35="",0,MAX($F$4:F34)+1)</f>
        <v>0</v>
      </c>
      <c r="G35">
        <f t="shared" si="1"/>
        <v>2</v>
      </c>
      <c r="H35">
        <f t="shared" si="2"/>
        <v>0</v>
      </c>
      <c r="J35" t="str">
        <f>CONCATENATE(F35,2)</f>
        <v>02</v>
      </c>
      <c r="L35">
        <v>15</v>
      </c>
      <c r="M35" t="e">
        <f t="shared" si="3"/>
        <v>#N/A</v>
      </c>
    </row>
    <row r="36" spans="1:13" ht="19.5" thickBot="1">
      <c r="A36">
        <f t="shared" si="0"/>
        <v>0</v>
      </c>
      <c r="B36" s="567"/>
      <c r="C36" s="184" t="str">
        <f>IF(ISERROR(VLOOKUP('D4'!V19,vylosovanie!$N$113:$Q$136,4,0))=TRUE,"",VLOOKUP('D4'!V19,vylosovanie!$N$113:$Q$136,4,0))</f>
        <v/>
      </c>
      <c r="D36" s="184" t="str">
        <f>IF(ISERROR(VLOOKUP(C36,'startova listina'!$E$45:$G$68,2,0))=TRUE,"",VLOOKUP(C36,'startova listina'!$E$45:$G$68,2,0))</f>
        <v/>
      </c>
      <c r="E36" s="185" t="str">
        <f>IF(ISERROR(VLOOKUP(C36,'startova listina'!$E$45:$G$68,3,0))=TRUE,"",VLOOKUP(C36,'startova listina'!$E$45:$G$68,3,0))</f>
        <v/>
      </c>
      <c r="G36">
        <f t="shared" si="1"/>
        <v>1</v>
      </c>
      <c r="H36">
        <f t="shared" si="2"/>
        <v>0</v>
      </c>
      <c r="J36" t="str">
        <f>CONCATENATE(F35,1)</f>
        <v>01</v>
      </c>
      <c r="L36">
        <v>16</v>
      </c>
      <c r="M36" t="e">
        <f t="shared" si="3"/>
        <v>#N/A</v>
      </c>
    </row>
    <row r="37" spans="1:13" ht="18.75">
      <c r="C37" s="30"/>
    </row>
  </sheetData>
  <mergeCells count="17">
    <mergeCell ref="B25:B26"/>
    <mergeCell ref="B1:E1"/>
    <mergeCell ref="B5:B6"/>
    <mergeCell ref="B7:B8"/>
    <mergeCell ref="B9:B10"/>
    <mergeCell ref="B11:B12"/>
    <mergeCell ref="B13:B14"/>
    <mergeCell ref="B15:B16"/>
    <mergeCell ref="B17:B18"/>
    <mergeCell ref="B19:B20"/>
    <mergeCell ref="B21:B22"/>
    <mergeCell ref="B23:B24"/>
    <mergeCell ref="B27:B28"/>
    <mergeCell ref="B29:B30"/>
    <mergeCell ref="B31:B32"/>
    <mergeCell ref="B33:B34"/>
    <mergeCell ref="B35:B36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M37"/>
  <sheetViews>
    <sheetView workbookViewId="0"/>
  </sheetViews>
  <sheetFormatPr defaultRowHeight="15"/>
  <cols>
    <col min="2" max="2" width="9.140625" style="136"/>
    <col min="3" max="3" width="23" customWidth="1"/>
    <col min="4" max="4" width="12.28515625" customWidth="1"/>
    <col min="5" max="5" width="30.140625" customWidth="1"/>
    <col min="8" max="8" width="14.140625" bestFit="1" customWidth="1"/>
  </cols>
  <sheetData>
    <row r="1" spans="2:5" s="180" customFormat="1" ht="80.25" customHeight="1">
      <c r="B1" s="561" t="s">
        <v>388</v>
      </c>
      <c r="C1" s="562"/>
      <c r="D1" s="562"/>
      <c r="E1" s="562"/>
    </row>
    <row r="2" spans="2:5" ht="36" customHeight="1"/>
    <row r="3" spans="2:5" ht="21.75" thickBot="1">
      <c r="B3" s="138" t="s">
        <v>391</v>
      </c>
    </row>
    <row r="4" spans="2:5" ht="19.5" thickBot="1">
      <c r="B4" s="186"/>
      <c r="C4" s="187" t="s">
        <v>3</v>
      </c>
      <c r="D4" s="187" t="s">
        <v>4</v>
      </c>
      <c r="E4" s="188" t="s">
        <v>5</v>
      </c>
    </row>
    <row r="5" spans="2:5" ht="18.75">
      <c r="B5" s="559">
        <v>1</v>
      </c>
      <c r="C5" s="182" t="str">
        <f>VLOOKUP('CH4'!V4,vylosovanie!$N$75:$Q$106,3,0)</f>
        <v>ĎANOVSKÝ Martin</v>
      </c>
      <c r="D5" s="182">
        <f>VLOOKUP(C5,'startova listina'!$E$8:$G$39,2,0)</f>
        <v>2002</v>
      </c>
      <c r="E5" s="183" t="str">
        <f>VLOOKUP(C5,'startova listina'!$E$8:$G$39,3,0)</f>
        <v>LOKOMOTÍVA VRÚTKY</v>
      </c>
    </row>
    <row r="6" spans="2:5" ht="19.5" thickBot="1">
      <c r="B6" s="560"/>
      <c r="C6" s="184" t="str">
        <f>VLOOKUP('CH4'!V4,vylosovanie!$N$75:$Q$106,4,0)</f>
        <v>MILAN Martin</v>
      </c>
      <c r="D6" s="184">
        <f>VLOOKUP(C6,'startova listina'!$E$8:$G$39,2,0)</f>
        <v>2001</v>
      </c>
      <c r="E6" s="185" t="str">
        <f>VLOOKUP(C6,'startova listina'!$E$8:$G$39,3,0)</f>
        <v>1.PPC FORTUNA KEŽMAROK/TJ OBCE SPIŠSKÝ ŠTIAVNIK</v>
      </c>
    </row>
    <row r="7" spans="2:5" ht="18.75">
      <c r="B7" s="559">
        <v>2</v>
      </c>
      <c r="C7" s="182" t="str">
        <f>VLOOKUP('CH4'!V5,vylosovanie!$N$75:$Q$106,3,0)</f>
        <v>DIKO Dalibor</v>
      </c>
      <c r="D7" s="182">
        <f>VLOOKUP(C7,'startova listina'!$E$8:$G$39,2,0)</f>
        <v>2002</v>
      </c>
      <c r="E7" s="183" t="str">
        <f>VLOOKUP(C7,'startova listina'!$E$8:$G$39,3,0)</f>
        <v>TJ ORAVAN NÁMESTOVO</v>
      </c>
    </row>
    <row r="8" spans="2:5" ht="19.5" thickBot="1">
      <c r="B8" s="560"/>
      <c r="C8" s="184" t="str">
        <f>VLOOKUP('CH4'!V5,vylosovanie!$N$75:$Q$106,4,0)</f>
        <v>KYSEL Martin</v>
      </c>
      <c r="D8" s="184">
        <f>VLOOKUP(C8,'startova listina'!$E$8:$G$39,2,0)</f>
        <v>2001</v>
      </c>
      <c r="E8" s="185" t="str">
        <f>VLOOKUP(C8,'startova listina'!$E$8:$G$39,3,0)</f>
        <v>MSTK TVRDOŠÍN</v>
      </c>
    </row>
    <row r="9" spans="2:5" ht="18.75">
      <c r="B9" s="574" t="s">
        <v>381</v>
      </c>
      <c r="C9" s="182" t="str">
        <f>VLOOKUP('CH4'!V6,vylosovanie!$N$75:$Q$106,3,0)</f>
        <v>FEČO Samuel</v>
      </c>
      <c r="D9" s="182">
        <f>VLOOKUP(C9,'startova listina'!$E$8:$G$39,2,0)</f>
        <v>2001</v>
      </c>
      <c r="E9" s="183" t="str">
        <f>VLOOKUP(C9,'startova listina'!$E$8:$G$39,3,0)</f>
        <v>MŠK VSTK VRANOV NAD TOPĽOU</v>
      </c>
    </row>
    <row r="10" spans="2:5" ht="19.5" thickBot="1">
      <c r="B10" s="560"/>
      <c r="C10" s="184" t="str">
        <f>VLOOKUP('CH4'!V6,vylosovanie!$N$75:$Q$106,4,0)</f>
        <v>PAPÁNEK Martin</v>
      </c>
      <c r="D10" s="184">
        <f>VLOOKUP(C10,'startova listina'!$E$8:$G$39,2,0)</f>
        <v>2001</v>
      </c>
      <c r="E10" s="185" t="str">
        <f>VLOOKUP(C10,'startova listina'!$E$8:$G$39,3,0)</f>
        <v>STK NOVÁ BAŇA/PODLUŽANY</v>
      </c>
    </row>
    <row r="11" spans="2:5" ht="18.75">
      <c r="B11" s="556"/>
      <c r="C11" s="182" t="str">
        <f>VLOOKUP('CH4'!V7,vylosovanie!$N$75:$Q$106,3,0)</f>
        <v>HURKA Rastislav</v>
      </c>
      <c r="D11" s="181">
        <f>VLOOKUP(C11,'startova listina'!$E$8:$G$39,2,0)</f>
        <v>2001</v>
      </c>
      <c r="E11" s="189" t="str">
        <f>VLOOKUP(C11,'startova listina'!$E$8:$G$39,3,0)</f>
        <v>STO VALALIKY</v>
      </c>
    </row>
    <row r="12" spans="2:5" ht="19.5" thickBot="1">
      <c r="B12" s="556"/>
      <c r="C12" s="184" t="str">
        <f>VLOOKUP('CH4'!V7,vylosovanie!$N$75:$Q$106,4,0)</f>
        <v>JALOVECKÝ Marek</v>
      </c>
      <c r="D12" s="179">
        <f>VLOOKUP(C12,'startova listina'!$E$8:$G$39,2,0)</f>
        <v>2001</v>
      </c>
      <c r="E12" s="190" t="str">
        <f>VLOOKUP(C12,'startova listina'!$E$8:$G$39,3,0)</f>
        <v>STK ZŠ NA BIELENISKU PEZINOK</v>
      </c>
    </row>
    <row r="13" spans="2:5" ht="18.75">
      <c r="B13" s="559" t="s">
        <v>119</v>
      </c>
      <c r="C13" s="182" t="str">
        <f>VLOOKUP('CH4'!V8,vylosovanie!$N$75:$Q$106,3,0)</f>
        <v>PACH Kamil</v>
      </c>
      <c r="D13" s="182">
        <f>VLOOKUP(C13,'startova listina'!$E$8:$G$39,2,0)</f>
        <v>2003</v>
      </c>
      <c r="E13" s="183" t="str">
        <f>VLOOKUP(C13,'startova listina'!$E$8:$G$39,3,0)</f>
        <v>STO VALALIKY</v>
      </c>
    </row>
    <row r="14" spans="2:5" ht="19.5" thickBot="1">
      <c r="B14" s="560"/>
      <c r="C14" s="184" t="str">
        <f>VLOOKUP('CH4'!V8,vylosovanie!$N$75:$Q$106,4,0)</f>
        <v>DELINČAK Filip</v>
      </c>
      <c r="D14" s="184">
        <f>VLOOKUP(C14,'startova listina'!$E$8:$G$39,2,0)</f>
        <v>2003</v>
      </c>
      <c r="E14" s="185" t="str">
        <f>VLOOKUP(C14,'startova listina'!$E$8:$G$39,3,0)</f>
        <v>MSK ČADCA</v>
      </c>
    </row>
    <row r="15" spans="2:5" ht="18.75">
      <c r="B15" s="556"/>
      <c r="C15" s="182" t="str">
        <f>VLOOKUP('CH4'!V9,vylosovanie!$N$75:$Q$106,3,0)</f>
        <v>FUSEK Patrik</v>
      </c>
      <c r="D15" s="181">
        <f>VLOOKUP(C15,'startova listina'!$E$8:$G$39,2,0)</f>
        <v>2002</v>
      </c>
      <c r="E15" s="189" t="str">
        <f>VLOOKUP(C15,'startova listina'!$E$8:$G$39,3,0)</f>
        <v>MSK MALACKY</v>
      </c>
    </row>
    <row r="16" spans="2:5" ht="19.5" thickBot="1">
      <c r="B16" s="556"/>
      <c r="C16" s="184" t="str">
        <f>VLOOKUP('CH4'!V9,vylosovanie!$N$75:$Q$106,4,0)</f>
        <v>FREUND Andrej</v>
      </c>
      <c r="D16" s="179">
        <f>VLOOKUP(C16,'startova listina'!$E$8:$G$39,2,0)</f>
        <v>2002</v>
      </c>
      <c r="E16" s="190" t="str">
        <f>VLOOKUP(C16,'startova listina'!$E$8:$G$39,3,0)</f>
        <v>MSK MALACKY</v>
      </c>
    </row>
    <row r="17" spans="1:13" ht="18.75">
      <c r="B17" s="559"/>
      <c r="C17" s="182" t="str">
        <f>VLOOKUP('CH4'!V10,vylosovanie!$N$75:$Q$106,3,0)</f>
        <v>PETRÍK Filip</v>
      </c>
      <c r="D17" s="182">
        <f>VLOOKUP(C17,'startova listina'!$E$8:$G$39,2,0)</f>
        <v>2001</v>
      </c>
      <c r="E17" s="183" t="str">
        <f>VLOOKUP(C17,'startova listina'!$E$8:$G$39,3,0)</f>
        <v>KST PLUS40 TREBIŠOV/ŠKST MICHALOVCE</v>
      </c>
    </row>
    <row r="18" spans="1:13" ht="19.5" thickBot="1">
      <c r="B18" s="560"/>
      <c r="C18" s="184" t="str">
        <f>VLOOKUP('CH4'!V10,vylosovanie!$N$75:$Q$106,4,0)</f>
        <v>TUREK Teodor</v>
      </c>
      <c r="D18" s="184">
        <f>VLOOKUP(C18,'startova listina'!$E$8:$G$39,2,0)</f>
        <v>2001</v>
      </c>
      <c r="E18" s="185" t="str">
        <f>VLOOKUP(C18,'startova listina'!$E$8:$G$39,3,0)</f>
        <v>ŠK ŠOG NITRA</v>
      </c>
    </row>
    <row r="19" spans="1:13" ht="18.75">
      <c r="B19" s="556"/>
      <c r="C19" s="182" t="str">
        <f>VLOOKUP('CH4'!V11,vylosovanie!$N$75:$Q$106,3,0)</f>
        <v>PINDURA Tobiáš</v>
      </c>
      <c r="D19" s="181">
        <f>VLOOKUP(C19,'startova listina'!$E$8:$G$39,2,0)</f>
        <v>2001</v>
      </c>
      <c r="E19" s="189" t="str">
        <f>VLOOKUP(C19,'startova listina'!$E$8:$G$39,3,0)</f>
        <v>ŠKST RUŽOMBEROK</v>
      </c>
    </row>
    <row r="20" spans="1:13" ht="19.5" thickBot="1">
      <c r="B20" s="556"/>
      <c r="C20" s="184" t="str">
        <f>VLOOKUP('CH4'!V11,vylosovanie!$N$75:$Q$106,4,0)</f>
        <v>CYPRICH Samuel</v>
      </c>
      <c r="D20" s="179">
        <f>VLOOKUP(C20,'startova listina'!$E$8:$G$39,2,0)</f>
        <v>2001</v>
      </c>
      <c r="E20" s="190" t="str">
        <f>VLOOKUP(C20,'startova listina'!$E$8:$G$39,3,0)</f>
        <v>MSK ČADCA</v>
      </c>
    </row>
    <row r="21" spans="1:13" ht="18.75">
      <c r="A21">
        <f>H21</f>
        <v>15</v>
      </c>
      <c r="B21" s="566" t="str">
        <f>CONCATENATE("9","-",'CH4'!H1)</f>
        <v>9-16</v>
      </c>
      <c r="C21" s="182" t="str">
        <f>VLOOKUP('CH4'!V12,vylosovanie!$N$75:$Q$106,3,0)</f>
        <v>VICO Dávid</v>
      </c>
      <c r="D21" s="182">
        <f>VLOOKUP(C21,'startova listina'!$E$8:$G$39,2,0)</f>
        <v>2001</v>
      </c>
      <c r="E21" s="183" t="str">
        <f>VLOOKUP(C21,'startova listina'!$E$8:$G$39,3,0)</f>
        <v>STO VALALIKY</v>
      </c>
      <c r="F21">
        <f>IF(C21="",0,MAX($F$4:F20)+1)</f>
        <v>1</v>
      </c>
      <c r="G21">
        <f>VALUE(J21)</f>
        <v>12</v>
      </c>
      <c r="H21">
        <f>IF(OR(G21="01",J21="02"),0,RANK(G21,$G$21:$G$36,0))</f>
        <v>15</v>
      </c>
      <c r="J21" t="str">
        <f>CONCATENATE(F21,2)</f>
        <v>12</v>
      </c>
      <c r="L21">
        <v>1</v>
      </c>
      <c r="M21" t="str">
        <f>VLOOKUP(L21,$A$21:$C$36,3,0)</f>
        <v>MARUNIAK Martin</v>
      </c>
    </row>
    <row r="22" spans="1:13" ht="19.5" thickBot="1">
      <c r="A22">
        <f t="shared" ref="A22:A36" si="0">H22</f>
        <v>16</v>
      </c>
      <c r="B22" s="567"/>
      <c r="C22" s="184" t="str">
        <f>VLOOKUP('CH4'!V12,vylosovanie!$N$75:$Q$106,4,0)</f>
        <v>KLUČÁR Matej</v>
      </c>
      <c r="D22" s="184">
        <f>VLOOKUP(C22,'startova listina'!$E$8:$G$39,2,0)</f>
        <v>2002</v>
      </c>
      <c r="E22" s="185" t="str">
        <f>VLOOKUP(C22,'startova listina'!$E$8:$G$39,3,0)</f>
        <v>TTC MAJCICHOV</v>
      </c>
      <c r="G22">
        <f t="shared" ref="G22:G36" si="1">VALUE(J22)</f>
        <v>11</v>
      </c>
      <c r="H22">
        <f t="shared" ref="H22:H36" si="2">IF(OR(G22="01",J22="02"),0,RANK(G22,$G$21:$G$36,0))</f>
        <v>16</v>
      </c>
      <c r="J22" t="str">
        <f>CONCATENATE(F21,1)</f>
        <v>11</v>
      </c>
      <c r="L22">
        <v>2</v>
      </c>
      <c r="M22" t="str">
        <f t="shared" ref="M22:M36" si="3">VLOOKUP(L22,$A$21:$C$36,3,0)</f>
        <v>KALINKA Timotej</v>
      </c>
    </row>
    <row r="23" spans="1:13" ht="18.75">
      <c r="A23">
        <f t="shared" si="0"/>
        <v>13</v>
      </c>
      <c r="B23" s="556"/>
      <c r="C23" s="182" t="str">
        <f>VLOOKUP('CH4'!V13,vylosovanie!$N$75:$Q$106,3,0)</f>
        <v>KLAJBER Adam</v>
      </c>
      <c r="D23" s="181">
        <f>VLOOKUP(C23,'startova listina'!$E$8:$G$39,2,0)</f>
        <v>2003</v>
      </c>
      <c r="E23" s="189" t="str">
        <f>VLOOKUP(C23,'startova listina'!$E$8:$G$39,3,0)</f>
        <v>SŠK POPROČ</v>
      </c>
      <c r="F23">
        <f>IF(C23="",0,MAX($F$4:F22)+1)</f>
        <v>2</v>
      </c>
      <c r="G23">
        <f t="shared" si="1"/>
        <v>22</v>
      </c>
      <c r="H23">
        <f t="shared" si="2"/>
        <v>13</v>
      </c>
      <c r="J23" t="str">
        <f>CONCATENATE(F23,2)</f>
        <v>22</v>
      </c>
      <c r="L23">
        <v>3</v>
      </c>
      <c r="M23" t="str">
        <f t="shared" si="3"/>
        <v>ZAJAC Jakub</v>
      </c>
    </row>
    <row r="24" spans="1:13" ht="19.5" thickBot="1">
      <c r="A24">
        <f t="shared" si="0"/>
        <v>14</v>
      </c>
      <c r="B24" s="556"/>
      <c r="C24" s="184" t="str">
        <f>VLOOKUP('CH4'!V13,vylosovanie!$N$75:$Q$106,4,0)</f>
        <v>IVANČO Félix</v>
      </c>
      <c r="D24" s="179">
        <f>VLOOKUP(C24,'startova listina'!$E$8:$G$39,2,0)</f>
        <v>2003</v>
      </c>
      <c r="E24" s="190" t="str">
        <f>VLOOKUP(C24,'startova listina'!$E$8:$G$39,3,0)</f>
        <v>MSK MALACKY</v>
      </c>
      <c r="G24">
        <f t="shared" si="1"/>
        <v>21</v>
      </c>
      <c r="H24">
        <f t="shared" si="2"/>
        <v>14</v>
      </c>
      <c r="J24" t="str">
        <f>CONCATENATE(F23,1)</f>
        <v>21</v>
      </c>
      <c r="L24">
        <v>4</v>
      </c>
      <c r="M24" t="str">
        <f t="shared" si="3"/>
        <v>MAKÚCH Damian</v>
      </c>
    </row>
    <row r="25" spans="1:13" ht="18.75">
      <c r="A25">
        <f t="shared" si="0"/>
        <v>11</v>
      </c>
      <c r="B25" s="559"/>
      <c r="C25" s="182" t="str">
        <f>VLOOKUP('CH4'!V14,vylosovanie!$N$75:$Q$106,3,0)</f>
        <v>MACKO Miroslav</v>
      </c>
      <c r="D25" s="182">
        <f>VLOOKUP(C25,'startova listina'!$E$8:$G$39,2,0)</f>
        <v>2001</v>
      </c>
      <c r="E25" s="183" t="str">
        <f>VLOOKUP(C25,'startova listina'!$E$8:$G$39,3,0)</f>
        <v>ŠKST KARLOVA VES</v>
      </c>
      <c r="F25">
        <f>IF(C25="",0,MAX($F$4:F24)+1)</f>
        <v>3</v>
      </c>
      <c r="G25">
        <f t="shared" si="1"/>
        <v>32</v>
      </c>
      <c r="H25">
        <f t="shared" si="2"/>
        <v>11</v>
      </c>
      <c r="J25" t="str">
        <f>CONCATENATE(F25,2)</f>
        <v>32</v>
      </c>
      <c r="L25">
        <v>5</v>
      </c>
      <c r="M25" t="str">
        <f t="shared" si="3"/>
        <v>TRŇAN Jakub</v>
      </c>
    </row>
    <row r="26" spans="1:13" ht="19.5" thickBot="1">
      <c r="A26">
        <f t="shared" si="0"/>
        <v>12</v>
      </c>
      <c r="B26" s="560"/>
      <c r="C26" s="184" t="str">
        <f>VLOOKUP('CH4'!V14,vylosovanie!$N$75:$Q$106,4,0)</f>
        <v>GREGOR Jakub</v>
      </c>
      <c r="D26" s="184">
        <f>VLOOKUP(C26,'startova listina'!$E$8:$G$39,2,0)</f>
        <v>2001</v>
      </c>
      <c r="E26" s="185" t="str">
        <f>VLOOKUP(C26,'startova listina'!$E$8:$G$39,3,0)</f>
        <v>ŠKST KARLOVA VES</v>
      </c>
      <c r="G26">
        <f t="shared" si="1"/>
        <v>31</v>
      </c>
      <c r="H26">
        <f t="shared" si="2"/>
        <v>12</v>
      </c>
      <c r="J26" t="str">
        <f>CONCATENATE(F25,1)</f>
        <v>31</v>
      </c>
      <c r="L26">
        <v>6</v>
      </c>
      <c r="M26" t="str">
        <f t="shared" si="3"/>
        <v>TRUBÁČIK Tomáš</v>
      </c>
    </row>
    <row r="27" spans="1:13" ht="18.75">
      <c r="A27">
        <f t="shared" si="0"/>
        <v>9</v>
      </c>
      <c r="B27" s="556"/>
      <c r="C27" s="182" t="str">
        <f>VLOOKUP('CH4'!V15,vylosovanie!$N$75:$Q$106,3,0)</f>
        <v>FEČO Michal</v>
      </c>
      <c r="D27" s="181">
        <f>VLOOKUP(C27,'startova listina'!$E$8:$G$39,2,0)</f>
        <v>2001</v>
      </c>
      <c r="E27" s="189" t="str">
        <f>VLOOKUP(C27,'startova listina'!$E$8:$G$39,3,0)</f>
        <v>MŠK VSTK VRANOV NAD TOPĽOU</v>
      </c>
      <c r="F27">
        <f>IF(C27="",0,MAX($F$4:F26)+1)</f>
        <v>4</v>
      </c>
      <c r="G27">
        <f t="shared" si="1"/>
        <v>42</v>
      </c>
      <c r="H27">
        <f t="shared" si="2"/>
        <v>9</v>
      </c>
      <c r="J27" t="str">
        <f>CONCATENATE(F27,2)</f>
        <v>42</v>
      </c>
      <c r="L27">
        <v>7</v>
      </c>
      <c r="M27" t="str">
        <f t="shared" si="3"/>
        <v>SUCHA Tomáš</v>
      </c>
    </row>
    <row r="28" spans="1:13" ht="19.5" thickBot="1">
      <c r="A28">
        <f t="shared" si="0"/>
        <v>10</v>
      </c>
      <c r="B28" s="556"/>
      <c r="C28" s="184" t="str">
        <f>VLOOKUP('CH4'!V15,vylosovanie!$N$75:$Q$106,4,0)</f>
        <v>KAPUSTA Martin</v>
      </c>
      <c r="D28" s="179">
        <f>VLOOKUP(C28,'startova listina'!$E$8:$G$39,2,0)</f>
        <v>2002</v>
      </c>
      <c r="E28" s="190" t="str">
        <f>VLOOKUP(C28,'startova listina'!$E$8:$G$39,3,0)</f>
        <v>MSK ČADCA</v>
      </c>
      <c r="G28">
        <f t="shared" si="1"/>
        <v>41</v>
      </c>
      <c r="H28">
        <f t="shared" si="2"/>
        <v>10</v>
      </c>
      <c r="J28" t="str">
        <f>CONCATENATE(F27,1)</f>
        <v>41</v>
      </c>
      <c r="L28">
        <v>8</v>
      </c>
      <c r="M28" t="str">
        <f t="shared" si="3"/>
        <v>MIKLUŠČÁK Benjamín</v>
      </c>
    </row>
    <row r="29" spans="1:13" ht="18.75">
      <c r="A29">
        <f t="shared" si="0"/>
        <v>7</v>
      </c>
      <c r="B29" s="559"/>
      <c r="C29" s="182" t="str">
        <f>VLOOKUP('CH4'!V16,vylosovanie!$N$75:$Q$106,3,0)</f>
        <v>SUCHA Tomáš</v>
      </c>
      <c r="D29" s="182">
        <f>VLOOKUP(C29,'startova listina'!$E$8:$G$39,2,0)</f>
        <v>2001</v>
      </c>
      <c r="E29" s="183" t="str">
        <f>VLOOKUP(C29,'startova listina'!$E$8:$G$39,3,0)</f>
        <v>ŠKST KARLOVA VES</v>
      </c>
      <c r="F29">
        <f>IF(C29="",0,MAX($F$4:F28)+1)</f>
        <v>5</v>
      </c>
      <c r="G29">
        <f t="shared" si="1"/>
        <v>52</v>
      </c>
      <c r="H29">
        <f t="shared" si="2"/>
        <v>7</v>
      </c>
      <c r="J29" t="str">
        <f>CONCATENATE(F29,2)</f>
        <v>52</v>
      </c>
      <c r="L29">
        <v>9</v>
      </c>
      <c r="M29" t="str">
        <f t="shared" si="3"/>
        <v>FEČO Michal</v>
      </c>
    </row>
    <row r="30" spans="1:13" ht="19.5" thickBot="1">
      <c r="A30">
        <f t="shared" si="0"/>
        <v>8</v>
      </c>
      <c r="B30" s="560"/>
      <c r="C30" s="184" t="str">
        <f>VLOOKUP('CH4'!V16,vylosovanie!$N$75:$Q$106,4,0)</f>
        <v>MIKLUŠČÁK Benjamín</v>
      </c>
      <c r="D30" s="184">
        <f>VLOOKUP(C30,'startova listina'!$E$8:$G$39,2,0)</f>
        <v>2002</v>
      </c>
      <c r="E30" s="185" t="str">
        <f>VLOOKUP(C30,'startova listina'!$E$8:$G$39,3,0)</f>
        <v>ŠKST KARLOVA VES</v>
      </c>
      <c r="G30">
        <f t="shared" si="1"/>
        <v>51</v>
      </c>
      <c r="H30">
        <f t="shared" si="2"/>
        <v>8</v>
      </c>
      <c r="J30" t="str">
        <f>CONCATENATE(F29,1)</f>
        <v>51</v>
      </c>
      <c r="L30">
        <v>10</v>
      </c>
      <c r="M30" t="str">
        <f t="shared" si="3"/>
        <v>KAPUSTA Martin</v>
      </c>
    </row>
    <row r="31" spans="1:13" ht="18.75">
      <c r="A31">
        <f t="shared" si="0"/>
        <v>5</v>
      </c>
      <c r="B31" s="556"/>
      <c r="C31" s="182" t="str">
        <f>VLOOKUP('CH4'!V17,vylosovanie!$N$75:$Q$106,3,0)</f>
        <v>TRŇAN Jakub</v>
      </c>
      <c r="D31" s="181">
        <f>VLOOKUP(C31,'startova listina'!$E$8:$G$39,2,0)</f>
        <v>2001</v>
      </c>
      <c r="E31" s="189" t="str">
        <f>VLOOKUP(C31,'startova listina'!$E$8:$G$39,3,0)</f>
        <v>STK RYBNÍK</v>
      </c>
      <c r="F31">
        <f>IF(C31="",0,MAX($F$4:F30)+1)</f>
        <v>6</v>
      </c>
      <c r="G31">
        <f t="shared" si="1"/>
        <v>62</v>
      </c>
      <c r="H31">
        <f t="shared" si="2"/>
        <v>5</v>
      </c>
      <c r="J31" t="str">
        <f>CONCATENATE(F31,2)</f>
        <v>62</v>
      </c>
      <c r="L31">
        <v>11</v>
      </c>
      <c r="M31" t="str">
        <f t="shared" si="3"/>
        <v>MACKO Miroslav</v>
      </c>
    </row>
    <row r="32" spans="1:13" ht="19.5" thickBot="1">
      <c r="A32">
        <f t="shared" si="0"/>
        <v>6</v>
      </c>
      <c r="B32" s="556"/>
      <c r="C32" s="184" t="str">
        <f>VLOOKUP('CH4'!V17,vylosovanie!$N$75:$Q$106,4,0)</f>
        <v>TRUBÁČIK Tomáš</v>
      </c>
      <c r="D32" s="179">
        <f>VLOOKUP(C32,'startova listina'!$E$8:$G$39,2,0)</f>
        <v>2002</v>
      </c>
      <c r="E32" s="190" t="str">
        <f>VLOOKUP(C32,'startova listina'!$E$8:$G$39,3,0)</f>
        <v>CVČ ZLATÉ MORAVCE</v>
      </c>
      <c r="G32">
        <f t="shared" si="1"/>
        <v>61</v>
      </c>
      <c r="H32">
        <f t="shared" si="2"/>
        <v>6</v>
      </c>
      <c r="J32" t="str">
        <f>CONCATENATE(F31,1)</f>
        <v>61</v>
      </c>
      <c r="L32">
        <v>12</v>
      </c>
      <c r="M32" t="str">
        <f t="shared" si="3"/>
        <v>GREGOR Jakub</v>
      </c>
    </row>
    <row r="33" spans="1:13" ht="18.75">
      <c r="A33">
        <f t="shared" si="0"/>
        <v>3</v>
      </c>
      <c r="B33" s="559"/>
      <c r="C33" s="182" t="str">
        <f>VLOOKUP('CH4'!V18,vylosovanie!$N$75:$Q$106,3,0)</f>
        <v>ZAJAC Jakub</v>
      </c>
      <c r="D33" s="182">
        <f>VLOOKUP(C33,'startova listina'!$E$8:$G$39,2,0)</f>
        <v>2001</v>
      </c>
      <c r="E33" s="183" t="str">
        <f>VLOOKUP(C33,'startova listina'!$E$8:$G$39,3,0)</f>
        <v>TJ ORAVAN NÁMESTOVO</v>
      </c>
      <c r="F33">
        <f>IF(C33="",0,MAX($F$4:F32)+1)</f>
        <v>7</v>
      </c>
      <c r="G33">
        <f t="shared" si="1"/>
        <v>72</v>
      </c>
      <c r="H33">
        <f t="shared" si="2"/>
        <v>3</v>
      </c>
      <c r="J33" t="str">
        <f>CONCATENATE(F33,2)</f>
        <v>72</v>
      </c>
      <c r="L33">
        <v>13</v>
      </c>
      <c r="M33" t="str">
        <f t="shared" si="3"/>
        <v>KLAJBER Adam</v>
      </c>
    </row>
    <row r="34" spans="1:13" ht="19.5" thickBot="1">
      <c r="A34">
        <f t="shared" si="0"/>
        <v>4</v>
      </c>
      <c r="B34" s="560"/>
      <c r="C34" s="184" t="str">
        <f>VLOOKUP('CH4'!V18,vylosovanie!$N$75:$Q$106,4,0)</f>
        <v>MAKÚCH Damian</v>
      </c>
      <c r="D34" s="184">
        <f>VLOOKUP(C34,'startova listina'!$E$8:$G$39,2,0)</f>
        <v>2001</v>
      </c>
      <c r="E34" s="185" t="str">
        <f>VLOOKUP(C34,'startova listina'!$E$8:$G$39,3,0)</f>
        <v>TJ ORAVAN NÁMESTOVO/TATRAN KRUŠETNICA</v>
      </c>
      <c r="G34">
        <f t="shared" si="1"/>
        <v>71</v>
      </c>
      <c r="H34">
        <f t="shared" si="2"/>
        <v>4</v>
      </c>
      <c r="J34" t="str">
        <f>CONCATENATE(F33,1)</f>
        <v>71</v>
      </c>
      <c r="L34">
        <v>14</v>
      </c>
      <c r="M34" t="str">
        <f t="shared" si="3"/>
        <v>IVANČO Félix</v>
      </c>
    </row>
    <row r="35" spans="1:13" ht="18.75">
      <c r="A35">
        <f t="shared" si="0"/>
        <v>1</v>
      </c>
      <c r="B35" s="559"/>
      <c r="C35" s="182" t="str">
        <f>VLOOKUP('CH4'!V19,vylosovanie!$N$75:$Q$106,3,0)</f>
        <v>MARUNIAK Martin</v>
      </c>
      <c r="D35" s="182">
        <f>VLOOKUP(C35,'startova listina'!$E$8:$G$39,2,0)</f>
        <v>2001</v>
      </c>
      <c r="E35" s="183" t="str">
        <f>VLOOKUP(C35,'startova listina'!$E$8:$G$39,3,0)</f>
        <v>MSTK VTJ MARTIN</v>
      </c>
      <c r="F35">
        <f>IF(C35="",0,MAX($F$4:F34)+1)</f>
        <v>8</v>
      </c>
      <c r="G35">
        <f t="shared" si="1"/>
        <v>82</v>
      </c>
      <c r="H35">
        <f t="shared" si="2"/>
        <v>1</v>
      </c>
      <c r="J35" t="str">
        <f>CONCATENATE(F35,2)</f>
        <v>82</v>
      </c>
      <c r="L35">
        <v>15</v>
      </c>
      <c r="M35" t="str">
        <f t="shared" si="3"/>
        <v>VICO Dávid</v>
      </c>
    </row>
    <row r="36" spans="1:13" ht="19.5" thickBot="1">
      <c r="A36">
        <f t="shared" si="0"/>
        <v>2</v>
      </c>
      <c r="B36" s="560"/>
      <c r="C36" s="184" t="str">
        <f>VLOOKUP('CH4'!V19,vylosovanie!$N$75:$Q$106,4,0)</f>
        <v>KALINKA Timotej</v>
      </c>
      <c r="D36" s="184">
        <f>VLOOKUP(C36,'startova listina'!$E$8:$G$39,2,0)</f>
        <v>2002</v>
      </c>
      <c r="E36" s="185" t="str">
        <f>VLOOKUP(C36,'startova listina'!$E$8:$G$39,3,0)</f>
        <v>MSTK VTJ MARTIN</v>
      </c>
      <c r="G36">
        <f t="shared" si="1"/>
        <v>81</v>
      </c>
      <c r="H36">
        <f t="shared" si="2"/>
        <v>2</v>
      </c>
      <c r="J36" t="str">
        <f>CONCATENATE(F35,1)</f>
        <v>81</v>
      </c>
      <c r="L36">
        <v>16</v>
      </c>
      <c r="M36" t="str">
        <f t="shared" si="3"/>
        <v>KLUČÁR Matej</v>
      </c>
    </row>
    <row r="37" spans="1:13" ht="18.75">
      <c r="C37" s="30"/>
    </row>
  </sheetData>
  <mergeCells count="17">
    <mergeCell ref="B25:B26"/>
    <mergeCell ref="B1:E1"/>
    <mergeCell ref="B5:B6"/>
    <mergeCell ref="B7:B8"/>
    <mergeCell ref="B9:B10"/>
    <mergeCell ref="B11:B12"/>
    <mergeCell ref="B13:B14"/>
    <mergeCell ref="B15:B16"/>
    <mergeCell ref="B17:B18"/>
    <mergeCell ref="B19:B20"/>
    <mergeCell ref="B21:B22"/>
    <mergeCell ref="B23:B24"/>
    <mergeCell ref="B27:B28"/>
    <mergeCell ref="B29:B30"/>
    <mergeCell ref="B31:B32"/>
    <mergeCell ref="B33:B34"/>
    <mergeCell ref="B35:B36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M104"/>
  <sheetViews>
    <sheetView workbookViewId="0">
      <selection activeCell="C37" sqref="C37"/>
    </sheetView>
  </sheetViews>
  <sheetFormatPr defaultRowHeight="15"/>
  <cols>
    <col min="2" max="2" width="9.140625" style="136"/>
    <col min="3" max="3" width="23" customWidth="1"/>
    <col min="4" max="4" width="12.28515625" customWidth="1"/>
    <col min="5" max="5" width="30.140625" customWidth="1"/>
    <col min="8" max="8" width="14.140625" bestFit="1" customWidth="1"/>
  </cols>
  <sheetData>
    <row r="1" spans="2:5" s="180" customFormat="1" ht="80.25" customHeight="1">
      <c r="B1" s="561" t="s">
        <v>388</v>
      </c>
      <c r="C1" s="562"/>
      <c r="D1" s="562"/>
      <c r="E1" s="562"/>
    </row>
    <row r="2" spans="2:5" ht="36" customHeight="1"/>
    <row r="3" spans="2:5" ht="21.75" thickBot="1">
      <c r="B3" s="138" t="s">
        <v>395</v>
      </c>
    </row>
    <row r="4" spans="2:5" ht="19.5" thickBot="1">
      <c r="B4" s="186"/>
      <c r="C4" s="187" t="s">
        <v>3</v>
      </c>
      <c r="D4" s="187" t="s">
        <v>4</v>
      </c>
      <c r="E4" s="188" t="s">
        <v>5</v>
      </c>
    </row>
    <row r="5" spans="2:5" ht="18.75">
      <c r="B5" s="559">
        <v>1</v>
      </c>
      <c r="C5" s="182" t="str">
        <f>VLOOKUP(MIX!V4,vylosovanie!$N$143:$Q$190,3,0)</f>
        <v>PINDURA Tobiáš</v>
      </c>
      <c r="D5" s="182">
        <f>VLOOKUP(C5,'startova listina'!$E$8:$G$68,2,0)</f>
        <v>2001</v>
      </c>
      <c r="E5" s="183" t="str">
        <f>VLOOKUP(C5,'startova listina'!$E$8:$G$68,3,0)</f>
        <v>ŠKST RUŽOMBEROK</v>
      </c>
    </row>
    <row r="6" spans="2:5" ht="19.5" thickBot="1">
      <c r="B6" s="560"/>
      <c r="C6" s="184" t="str">
        <f>VLOOKUP(MIX!V4,vylosovanie!$N$142:$Q$191,4,0)</f>
        <v>ŠINKAROVÁ Dáša</v>
      </c>
      <c r="D6" s="184">
        <f>VLOOKUP(C6,'startova listina'!$E$8:$G$68,2,0)</f>
        <v>2001</v>
      </c>
      <c r="E6" s="185" t="str">
        <f>VLOOKUP(C6,'startova listina'!$E$8:$G$68,3,0)</f>
        <v>ŠKST MICHALOVCE</v>
      </c>
    </row>
    <row r="7" spans="2:5" ht="18.75">
      <c r="B7" s="559">
        <v>2</v>
      </c>
      <c r="C7" s="182" t="str">
        <f>VLOOKUP(MIX!V5,vylosovanie!$N$142:$Q$191,3,0)</f>
        <v>KYSEL Martin</v>
      </c>
      <c r="D7" s="182">
        <f>VLOOKUP(C7,'startova listina'!$E$8:$G$68,2,0)</f>
        <v>2001</v>
      </c>
      <c r="E7" s="183" t="str">
        <f>VLOOKUP(C7,'startova listina'!$E$8:$G$68,3,0)</f>
        <v>MSTK TVRDOŠÍN</v>
      </c>
    </row>
    <row r="8" spans="2:5" ht="19.5" thickBot="1">
      <c r="B8" s="560"/>
      <c r="C8" s="184" t="str">
        <f>VLOOKUP(MIX!V5,vylosovanie!$N$142:$Q$191,4,0)</f>
        <v>LABOŠOVÁ Ema</v>
      </c>
      <c r="D8" s="184">
        <f>VLOOKUP(C8,'startova listina'!$E$8:$G$68,2,0)</f>
        <v>2001</v>
      </c>
      <c r="E8" s="185" t="str">
        <f>VLOOKUP(C8,'startova listina'!$E$8:$G$68,3,0)</f>
        <v>ŠSTK JUNIOR ČAŇA</v>
      </c>
    </row>
    <row r="9" spans="2:5" ht="18.75">
      <c r="B9" s="574" t="s">
        <v>381</v>
      </c>
      <c r="C9" s="182" t="str">
        <f>VLOOKUP(MIX!V6,vylosovanie!$N$142:$Q$191,3,0)</f>
        <v>FEČO Samuel</v>
      </c>
      <c r="D9" s="182">
        <f>VLOOKUP(C9,'startova listina'!$E$8:$G$68,2,0)</f>
        <v>2001</v>
      </c>
      <c r="E9" s="183" t="str">
        <f>VLOOKUP(C9,'startova listina'!$E$8:$G$68,3,0)</f>
        <v>MŠK VSTK VRANOV NAD TOPĽOU</v>
      </c>
    </row>
    <row r="10" spans="2:5" ht="19.5" thickBot="1">
      <c r="B10" s="560"/>
      <c r="C10" s="184" t="str">
        <f>VLOOKUP(MIX!V6,vylosovanie!$N$142:$Q$191,4,0)</f>
        <v>DZELINSKA Júlia</v>
      </c>
      <c r="D10" s="184">
        <f>VLOOKUP(C10,'startova listina'!$E$8:$G$68,2,0)</f>
        <v>2002</v>
      </c>
      <c r="E10" s="185" t="str">
        <f>VLOOKUP(C10,'startova listina'!$E$8:$G$68,3,0)</f>
        <v>ŠKST MICHALOVCE/STK LOKOMOTÍVA KOŠICE</v>
      </c>
    </row>
    <row r="11" spans="2:5" ht="18.75">
      <c r="B11" s="556"/>
      <c r="C11" s="182" t="str">
        <f>VLOOKUP(MIX!V7,vylosovanie!$N$142:$Q$191,3,0)</f>
        <v>DIKO Dalibor</v>
      </c>
      <c r="D11" s="181">
        <f>VLOOKUP(C11,'startova listina'!$E$8:$G$68,2,0)</f>
        <v>2002</v>
      </c>
      <c r="E11" s="189" t="str">
        <f>VLOOKUP(C11,'startova listina'!$E$8:$G$68,3,0)</f>
        <v>TJ ORAVAN NÁMESTOVO</v>
      </c>
    </row>
    <row r="12" spans="2:5" ht="19.5" thickBot="1">
      <c r="B12" s="556"/>
      <c r="C12" s="184" t="str">
        <f>VLOOKUP(MIX!V7,vylosovanie!$N$142:$Q$191,4,0)</f>
        <v>PEKOVÁ Zuzana</v>
      </c>
      <c r="D12" s="179">
        <f>VLOOKUP(C12,'startova listina'!$E$8:$G$68,2,0)</f>
        <v>2002</v>
      </c>
      <c r="E12" s="190" t="str">
        <f>VLOOKUP(C12,'startova listina'!$E$8:$G$68,3,0)</f>
        <v>KST VIKTÓRIA TRNAVA</v>
      </c>
    </row>
    <row r="13" spans="2:5" ht="18.75">
      <c r="B13" s="559" t="s">
        <v>119</v>
      </c>
      <c r="C13" s="182" t="str">
        <f>VLOOKUP(MIX!V8,vylosovanie!$N$142:$Q$191,3,0)</f>
        <v>HURKA Rastislav</v>
      </c>
      <c r="D13" s="182">
        <f>VLOOKUP(C13,'startova listina'!$E$8:$G$68,2,0)</f>
        <v>2001</v>
      </c>
      <c r="E13" s="183" t="str">
        <f>VLOOKUP(C13,'startova listina'!$E$8:$G$68,3,0)</f>
        <v>STO VALALIKY</v>
      </c>
    </row>
    <row r="14" spans="2:5" ht="19.5" thickBot="1">
      <c r="B14" s="560"/>
      <c r="C14" s="184" t="str">
        <f>VLOOKUP(MIX!V8,vylosovanie!$N$142:$Q$191,4,0)</f>
        <v>MAJERSKÁ Alena</v>
      </c>
      <c r="D14" s="184">
        <f>VLOOKUP(C14,'startova listina'!$E$8:$G$68,2,0)</f>
        <v>2002</v>
      </c>
      <c r="E14" s="185" t="str">
        <f>VLOOKUP(C14,'startova listina'!$E$8:$G$68,3,0)</f>
        <v>STO VALALIKY</v>
      </c>
    </row>
    <row r="15" spans="2:5" ht="18.75">
      <c r="B15" s="556"/>
      <c r="C15" s="182" t="str">
        <f>VLOOKUP(MIX!V9,vylosovanie!$N$142:$Q$191,3,0)</f>
        <v>ĎANOVSKÝ Martin</v>
      </c>
      <c r="D15" s="181">
        <f>VLOOKUP(C15,'startova listina'!$E$8:$G$68,2,0)</f>
        <v>2002</v>
      </c>
      <c r="E15" s="189" t="str">
        <f>VLOOKUP(C15,'startova listina'!$E$8:$G$68,3,0)</f>
        <v>LOKOMOTÍVA VRÚTKY</v>
      </c>
    </row>
    <row r="16" spans="2:5" ht="19.5" thickBot="1">
      <c r="B16" s="556"/>
      <c r="C16" s="184" t="str">
        <f>VLOOKUP(MIX!V9,vylosovanie!$N$142:$Q$191,4,0)</f>
        <v>DIVINSKÁ Natália</v>
      </c>
      <c r="D16" s="179">
        <f>VLOOKUP(C16,'startova listina'!$E$8:$G$68,2,0)</f>
        <v>2002</v>
      </c>
      <c r="E16" s="190" t="str">
        <f>VLOOKUP(C16,'startova listina'!$E$8:$G$68,3,0)</f>
        <v>MSTK TVRDOŠÍN</v>
      </c>
    </row>
    <row r="17" spans="2:6" ht="18.75">
      <c r="B17" s="559"/>
      <c r="C17" s="182" t="str">
        <f>VLOOKUP(MIX!V10,vylosovanie!$N$142:$Q$191,3,0)</f>
        <v>TUREK Teodor</v>
      </c>
      <c r="D17" s="182">
        <f>VLOOKUP(C17,'startova listina'!$E$8:$G$68,2,0)</f>
        <v>2001</v>
      </c>
      <c r="E17" s="183" t="str">
        <f>VLOOKUP(C17,'startova listina'!$E$8:$G$68,3,0)</f>
        <v>ŠK ŠOG NITRA</v>
      </c>
    </row>
    <row r="18" spans="2:6" ht="19.5" thickBot="1">
      <c r="B18" s="560"/>
      <c r="C18" s="184" t="str">
        <f>VLOOKUP(MIX!V10,vylosovanie!$N$142:$Q$191,4,0)</f>
        <v>DZUROVÁ Lenka</v>
      </c>
      <c r="D18" s="184">
        <f>VLOOKUP(C18,'startova listina'!$E$8:$G$68,2,0)</f>
        <v>2002</v>
      </c>
      <c r="E18" s="185" t="str">
        <f>VLOOKUP(C18,'startova listina'!$E$8:$G$68,3,0)</f>
        <v>STK STARÁ TURÁ</v>
      </c>
    </row>
    <row r="19" spans="2:6" ht="18.75">
      <c r="B19" s="556"/>
      <c r="C19" s="182" t="str">
        <f>VLOOKUP(MIX!V11,vylosovanie!$N$142:$Q$191,3,0)</f>
        <v>PETRÍK Filip</v>
      </c>
      <c r="D19" s="181">
        <f>VLOOKUP(C19,'startova listina'!$E$8:$G$68,2,0)</f>
        <v>2001</v>
      </c>
      <c r="E19" s="189" t="str">
        <f>VLOOKUP(C19,'startova listina'!$E$8:$G$68,3,0)</f>
        <v>KST PLUS40 TREBIŠOV/ŠKST MICHALOVCE</v>
      </c>
    </row>
    <row r="20" spans="2:6" ht="19.5" thickBot="1">
      <c r="B20" s="556"/>
      <c r="C20" s="184" t="str">
        <f>VLOOKUP(MIX!V11,vylosovanie!$N$142:$Q$191,4,0)</f>
        <v>PAPCUNOVÁ Viktória</v>
      </c>
      <c r="D20" s="179">
        <f>VLOOKUP(C20,'startova listina'!$E$8:$G$68,2,0)</f>
        <v>2001</v>
      </c>
      <c r="E20" s="190" t="str">
        <f>VLOOKUP(C20,'startova listina'!$E$8:$G$68,3,0)</f>
        <v>ŠSTK JUNIOR ČAŇA</v>
      </c>
    </row>
    <row r="21" spans="2:6" ht="18.75">
      <c r="B21" s="559" t="s">
        <v>118</v>
      </c>
      <c r="C21" s="182" t="str">
        <f>VLOOKUP(MIX!V12,vylosovanie!$N$142:$Q$191,3,0)</f>
        <v>MILAN Martin</v>
      </c>
      <c r="D21" s="182">
        <f>VLOOKUP(C21,'startova listina'!$E$8:$G$68,2,0)</f>
        <v>2001</v>
      </c>
      <c r="E21" s="183" t="str">
        <f>VLOOKUP(C21,'startova listina'!$E$8:$G$68,3,0)</f>
        <v>1.PPC FORTUNA KEŽMAROK/TJ OBCE SPIŠSKÝ ŠTIAVNIK</v>
      </c>
      <c r="F21" s="192"/>
    </row>
    <row r="22" spans="2:6" ht="19.5" thickBot="1">
      <c r="B22" s="560"/>
      <c r="C22" s="184" t="str">
        <f>VLOOKUP(MIX!V12,vylosovanie!$N$142:$Q$191,4,0)</f>
        <v>GAŠPARÍKOVÁ Lucia</v>
      </c>
      <c r="D22" s="184">
        <f>VLOOKUP(C22,'startova listina'!$E$8:$G$68,2,0)</f>
        <v>2002</v>
      </c>
      <c r="E22" s="185" t="str">
        <f>VLOOKUP(C22,'startova listina'!$E$8:$G$68,3,0)</f>
        <v>TTC MAJCICHOV</v>
      </c>
      <c r="F22" s="192"/>
    </row>
    <row r="23" spans="2:6" ht="18.75">
      <c r="B23" s="556"/>
      <c r="C23" s="182" t="str">
        <f>VLOOKUP(MIX!V13,vylosovanie!$N$142:$Q$191,3,0)</f>
        <v>PACH Kamil</v>
      </c>
      <c r="D23" s="181">
        <f>VLOOKUP(C23,'startova listina'!$E$8:$G$68,2,0)</f>
        <v>2003</v>
      </c>
      <c r="E23" s="189" t="str">
        <f>VLOOKUP(C23,'startova listina'!$E$8:$G$68,3,0)</f>
        <v>STO VALALIKY</v>
      </c>
      <c r="F23" s="192"/>
    </row>
    <row r="24" spans="2:6" ht="19.5" thickBot="1">
      <c r="B24" s="556"/>
      <c r="C24" s="184" t="str">
        <f>VLOOKUP(MIX!V13,vylosovanie!$N$142:$Q$191,4,0)</f>
        <v>VIŠŇOVSKÁ Nina</v>
      </c>
      <c r="D24" s="179">
        <f>VLOOKUP(C24,'startova listina'!$E$8:$G$68,2,0)</f>
        <v>2003</v>
      </c>
      <c r="E24" s="190" t="str">
        <f>VLOOKUP(C24,'startova listina'!$E$8:$G$68,3,0)</f>
        <v>TTC INTERSPEAD N.ZÁMKY</v>
      </c>
      <c r="F24" s="192"/>
    </row>
    <row r="25" spans="2:6" ht="18.75">
      <c r="B25" s="559"/>
      <c r="C25" s="182" t="str">
        <f>VLOOKUP(MIX!V14,vylosovanie!$N$142:$Q$191,3,0)</f>
        <v>KLUČÁR Matej</v>
      </c>
      <c r="D25" s="182">
        <f>VLOOKUP(C25,'startova listina'!$E$8:$G$68,2,0)</f>
        <v>2002</v>
      </c>
      <c r="E25" s="183" t="str">
        <f>VLOOKUP(C25,'startova listina'!$E$8:$G$68,3,0)</f>
        <v>TTC MAJCICHOV</v>
      </c>
      <c r="F25" s="192"/>
    </row>
    <row r="26" spans="2:6" ht="19.5" thickBot="1">
      <c r="B26" s="560"/>
      <c r="C26" s="184" t="str">
        <f>VLOOKUP(MIX!V14,vylosovanie!$N$142:$Q$191,4,0)</f>
        <v>GORFOLOVÁ Viktória</v>
      </c>
      <c r="D26" s="184">
        <f>VLOOKUP(C26,'startova listina'!$E$8:$G$68,2,0)</f>
        <v>2001</v>
      </c>
      <c r="E26" s="185" t="str">
        <f>VLOOKUP(C26,'startova listina'!$E$8:$G$68,3,0)</f>
        <v>GASTO METALFIN GALANTA</v>
      </c>
      <c r="F26" s="192"/>
    </row>
    <row r="27" spans="2:6" ht="18.75">
      <c r="B27" s="556"/>
      <c r="C27" s="182" t="str">
        <f>VLOOKUP(MIX!V15,vylosovanie!$N$142:$Q$191,3,0)</f>
        <v>JALOVECKÝ Marek</v>
      </c>
      <c r="D27" s="181">
        <f>VLOOKUP(C27,'startova listina'!$E$8:$G$68,2,0)</f>
        <v>2001</v>
      </c>
      <c r="E27" s="189" t="str">
        <f>VLOOKUP(C27,'startova listina'!$E$8:$G$68,3,0)</f>
        <v>STK ZŠ NA BIELENISKU PEZINOK</v>
      </c>
      <c r="F27" s="192"/>
    </row>
    <row r="28" spans="2:6" ht="19.5" thickBot="1">
      <c r="B28" s="556"/>
      <c r="C28" s="184" t="str">
        <f>VLOOKUP(MIX!V15,vylosovanie!$N$142:$Q$191,4,0)</f>
        <v>SLOBODNÍKOVÁ Hana</v>
      </c>
      <c r="D28" s="179">
        <f>VLOOKUP(C28,'startova listina'!$E$8:$G$68,2,0)</f>
        <v>2003</v>
      </c>
      <c r="E28" s="190" t="str">
        <f>VLOOKUP(C28,'startova listina'!$E$8:$G$68,3,0)</f>
        <v>ŠKST KARLOVA VES</v>
      </c>
      <c r="F28" s="192"/>
    </row>
    <row r="29" spans="2:6" ht="18.75">
      <c r="B29" s="559"/>
      <c r="C29" s="182" t="str">
        <f>VLOOKUP(MIX!V16,vylosovanie!$N$142:$Q$191,3,0)</f>
        <v>MARUNIAK Martin</v>
      </c>
      <c r="D29" s="182">
        <f>VLOOKUP(C29,'startova listina'!$E$8:$G$68,2,0)</f>
        <v>2001</v>
      </c>
      <c r="E29" s="183" t="str">
        <f>VLOOKUP(C29,'startova listina'!$E$8:$G$68,3,0)</f>
        <v>MSTK VTJ MARTIN</v>
      </c>
      <c r="F29" s="192"/>
    </row>
    <row r="30" spans="2:6" ht="19.5" thickBot="1">
      <c r="B30" s="560"/>
      <c r="C30" s="184" t="str">
        <f>VLOOKUP(MIX!V16,vylosovanie!$N$142:$Q$191,4,0)</f>
        <v>VOJTASOVA Patrícia</v>
      </c>
      <c r="D30" s="184">
        <f>VLOOKUP(C30,'startova listina'!$E$8:$G$68,2,0)</f>
        <v>2001</v>
      </c>
      <c r="E30" s="185" t="str">
        <f>VLOOKUP(C30,'startova listina'!$E$8:$G$68,3,0)</f>
        <v>ZŠ LIETAVSKÁ LÚČKA</v>
      </c>
      <c r="F30" s="192"/>
    </row>
    <row r="31" spans="2:6" ht="18.75">
      <c r="B31" s="556"/>
      <c r="C31" s="182" t="str">
        <f>VLOOKUP(MIX!V17,vylosovanie!$N$142:$Q$191,3,0)</f>
        <v>CYPRICH Samuel</v>
      </c>
      <c r="D31" s="181">
        <f>VLOOKUP(C31,'startova listina'!$E$8:$G$68,2,0)</f>
        <v>2001</v>
      </c>
      <c r="E31" s="189" t="str">
        <f>VLOOKUP(C31,'startova listina'!$E$8:$G$68,3,0)</f>
        <v>MSK ČADCA</v>
      </c>
      <c r="F31" s="192"/>
    </row>
    <row r="32" spans="2:6" ht="19.5" thickBot="1">
      <c r="B32" s="556"/>
      <c r="C32" s="184" t="str">
        <f>VLOOKUP(MIX!V17,vylosovanie!$N$142:$Q$191,4,0)</f>
        <v>ŠVAJDLENKOVÁ Laura</v>
      </c>
      <c r="D32" s="179">
        <f>VLOOKUP(C32,'startova listina'!$E$8:$G$68,2,0)</f>
        <v>2001</v>
      </c>
      <c r="E32" s="190" t="str">
        <f>VLOOKUP(C32,'startova listina'!$E$8:$G$68,3,0)</f>
        <v>MSK MALACKY</v>
      </c>
      <c r="F32" s="192"/>
    </row>
    <row r="33" spans="1:13" ht="18.75">
      <c r="B33" s="559"/>
      <c r="C33" s="182" t="str">
        <f>VLOOKUP(MIX!V18,vylosovanie!$N$142:$Q$191,3,0)</f>
        <v>MAKÚCH Damian</v>
      </c>
      <c r="D33" s="182">
        <f>VLOOKUP(C33,'startova listina'!$E$8:$G$68,2,0)</f>
        <v>2001</v>
      </c>
      <c r="E33" s="183" t="str">
        <f>VLOOKUP(C33,'startova listina'!$E$8:$G$68,3,0)</f>
        <v>TJ ORAVAN NÁMESTOVO/TATRAN KRUŠETNICA</v>
      </c>
      <c r="F33" s="192"/>
    </row>
    <row r="34" spans="1:13" ht="19.5" thickBot="1">
      <c r="B34" s="560"/>
      <c r="C34" s="184" t="str">
        <f>VLOOKUP(MIX!V18,vylosovanie!$N$142:$Q$191,4,0)</f>
        <v>GALČÍKOVÁ Sára</v>
      </c>
      <c r="D34" s="184">
        <f>VLOOKUP(C34,'startova listina'!$E$8:$G$68,2,0)</f>
        <v>2001</v>
      </c>
      <c r="E34" s="185" t="str">
        <f>VLOOKUP(C34,'startova listina'!$E$8:$G$68,3,0)</f>
        <v>TJ ORAVAN NÁMESTOVO</v>
      </c>
      <c r="F34" s="192"/>
    </row>
    <row r="35" spans="1:13" ht="18.75">
      <c r="B35" s="559"/>
      <c r="C35" s="182" t="str">
        <f>VLOOKUP(MIX!V19,vylosovanie!$N$142:$Q$191,3,0)</f>
        <v>MIKLUŠČÁK Benjamín</v>
      </c>
      <c r="D35" s="182">
        <f>VLOOKUP(C35,'startova listina'!$E$8:$G$68,2,0)</f>
        <v>2002</v>
      </c>
      <c r="E35" s="183" t="str">
        <f>VLOOKUP(C35,'startova listina'!$E$8:$G$68,3,0)</f>
        <v>ŠKST KARLOVA VES</v>
      </c>
      <c r="F35" s="192"/>
    </row>
    <row r="36" spans="1:13" ht="19.5" thickBot="1">
      <c r="B36" s="560"/>
      <c r="C36" s="184" t="str">
        <f>VLOOKUP(MIX!V19,vylosovanie!$N$142:$Q$191,4,0)</f>
        <v>LACENOVÁ Renáta</v>
      </c>
      <c r="D36" s="184">
        <f>VLOOKUP(C36,'startova listina'!$E$8:$G$68,2,0)</f>
        <v>2003</v>
      </c>
      <c r="E36" s="185" t="str">
        <f>VLOOKUP(C36,'startova listina'!$E$8:$G$68,3,0)</f>
        <v>ŠKST TOPOĽČANY</v>
      </c>
      <c r="F36" s="192"/>
    </row>
    <row r="37" spans="1:13" ht="18.75">
      <c r="A37">
        <f t="shared" ref="A37:A38" si="0">H37</f>
        <v>0</v>
      </c>
      <c r="B37" s="566" t="str">
        <f>CONCATENATE("17","-",MIX!H1)</f>
        <v>17-24</v>
      </c>
      <c r="C37" s="182" t="str">
        <f>IF(ISERROR(VLOOKUP(MIX!V20,vylosovanie!$N$143:$Q$190,3,0))=TRUE,"",VLOOKUP(MIX!V20,vylosovanie!$N$143:$Q$190,3,0))</f>
        <v/>
      </c>
      <c r="D37" s="182" t="e">
        <f>VLOOKUP(C37,'startova listina'!$E$8:$G$68,2,0)</f>
        <v>#N/A</v>
      </c>
      <c r="E37" s="183" t="e">
        <f>VLOOKUP(C37,'startova listina'!$E$8:$G$68,3,0)</f>
        <v>#N/A</v>
      </c>
      <c r="F37">
        <f>IF(C37="",0,MAX($F$4:F36)+1)</f>
        <v>0</v>
      </c>
      <c r="G37">
        <f>VALUE(J37)</f>
        <v>2</v>
      </c>
      <c r="H37">
        <f t="shared" ref="H37:H68" si="1">IF(OR(J37="01",J37="02"),0,RANK(G37,$G$37:$G$68,0))</f>
        <v>0</v>
      </c>
      <c r="J37" t="str">
        <f>CONCATENATE(F37,2)</f>
        <v>02</v>
      </c>
      <c r="L37">
        <v>1</v>
      </c>
      <c r="M37" t="str">
        <f>VLOOKUP(L37,$A$21:$C$68,3,0)</f>
        <v>DELINČAK Filip</v>
      </c>
    </row>
    <row r="38" spans="1:13" ht="19.5" thickBot="1">
      <c r="A38">
        <f t="shared" si="0"/>
        <v>0</v>
      </c>
      <c r="B38" s="567"/>
      <c r="C38" s="184" t="str">
        <f>IF(ISERROR(VLOOKUP(MIX!V20,vylosovanie!$N$143:$Q$190,4,0))=TRUE,"",VLOOKUP(MIX!V20,vylosovanie!$N$143:$Q$190,4,0))</f>
        <v/>
      </c>
      <c r="D38" s="184" t="e">
        <f>VLOOKUP(C38,'startova listina'!$E$8:$G$68,2,0)</f>
        <v>#N/A</v>
      </c>
      <c r="E38" s="185" t="e">
        <f>VLOOKUP(C38,'startova listina'!$E$8:$G$68,3,0)</f>
        <v>#N/A</v>
      </c>
      <c r="G38">
        <f t="shared" ref="G38" si="2">VALUE(J38)</f>
        <v>1</v>
      </c>
      <c r="H38">
        <f t="shared" si="1"/>
        <v>0</v>
      </c>
      <c r="J38" t="str">
        <f>CONCATENATE(F37,1)</f>
        <v>01</v>
      </c>
      <c r="L38">
        <v>2</v>
      </c>
      <c r="M38" t="str">
        <f t="shared" ref="M38:M85" si="3">VLOOKUP(L38,$A$21:$C$68,3,0)</f>
        <v>PISARČIKOVÁ Frederika</v>
      </c>
    </row>
    <row r="39" spans="1:13" ht="18.75">
      <c r="A39">
        <f t="shared" ref="A39:A42" si="4">H39</f>
        <v>15</v>
      </c>
      <c r="B39" s="566"/>
      <c r="C39" s="182" t="str">
        <f>IF(ISERROR(VLOOKUP(MIX!V21,vylosovanie!$N$143:$Q$190,3,0))=TRUE,"",VLOOKUP(MIX!V21,vylosovanie!$N$143:$Q$190,3,0))</f>
        <v>VICO Dávid</v>
      </c>
      <c r="D39" s="182">
        <f>VLOOKUP(C39,'startova listina'!$E$8:$G$68,2,0)</f>
        <v>2001</v>
      </c>
      <c r="E39" s="183" t="str">
        <f>VLOOKUP(C39,'startova listina'!$E$8:$G$68,3,0)</f>
        <v>STO VALALIKY</v>
      </c>
      <c r="F39">
        <f>IF(C39="",0,MAX($F$4:F38)+1)</f>
        <v>1</v>
      </c>
      <c r="G39">
        <f>VALUE(J39)</f>
        <v>12</v>
      </c>
      <c r="H39">
        <f t="shared" si="1"/>
        <v>15</v>
      </c>
      <c r="J39" t="str">
        <f>CONCATENATE(F39,2)</f>
        <v>12</v>
      </c>
      <c r="L39">
        <v>3</v>
      </c>
      <c r="M39" t="str">
        <f t="shared" si="3"/>
        <v>IVANČO Félix</v>
      </c>
    </row>
    <row r="40" spans="1:13" ht="19.5" thickBot="1">
      <c r="A40">
        <f t="shared" si="4"/>
        <v>16</v>
      </c>
      <c r="B40" s="567"/>
      <c r="C40" s="184" t="str">
        <f>IF(ISERROR(VLOOKUP(MIX!V21,vylosovanie!$N$143:$Q$190,4,0))=TRUE,"",VLOOKUP(MIX!V21,vylosovanie!$N$143:$Q$190,4,0))</f>
        <v>HUDÁKOVÁ Ivana</v>
      </c>
      <c r="D40" s="184">
        <f>VLOOKUP(C40,'startova listina'!$E$8:$G$68,2,0)</f>
        <v>2001</v>
      </c>
      <c r="E40" s="185" t="str">
        <f>VLOOKUP(C40,'startova listina'!$E$8:$G$68,3,0)</f>
        <v>ZŠ VYŠNÝ ŽIPOV</v>
      </c>
      <c r="G40">
        <f t="shared" ref="G40" si="5">VALUE(J40)</f>
        <v>11</v>
      </c>
      <c r="H40">
        <f t="shared" si="1"/>
        <v>16</v>
      </c>
      <c r="J40" t="str">
        <f>CONCATENATE(F39,1)</f>
        <v>11</v>
      </c>
      <c r="L40">
        <v>4</v>
      </c>
      <c r="M40" t="str">
        <f t="shared" si="3"/>
        <v>HURBANOVÁ Isabella</v>
      </c>
    </row>
    <row r="41" spans="1:13" ht="18.75">
      <c r="A41">
        <f t="shared" si="4"/>
        <v>13</v>
      </c>
      <c r="B41" s="566"/>
      <c r="C41" s="182" t="str">
        <f>IF(ISERROR(VLOOKUP(MIX!V22,vylosovanie!$N$143:$Q$190,3,0))=TRUE,"",VLOOKUP(MIX!V22,vylosovanie!$N$143:$Q$190,3,0))</f>
        <v>KAPUSTA Martin</v>
      </c>
      <c r="D41" s="182">
        <f>VLOOKUP(C41,'startova listina'!$E$8:$G$68,2,0)</f>
        <v>2002</v>
      </c>
      <c r="E41" s="183" t="str">
        <f>VLOOKUP(C41,'startova listina'!$E$8:$G$68,3,0)</f>
        <v>MSK ČADCA</v>
      </c>
      <c r="F41">
        <f>IF(C41="",0,MAX($F$4:F40)+1)</f>
        <v>2</v>
      </c>
      <c r="G41">
        <f>VALUE(J41)</f>
        <v>22</v>
      </c>
      <c r="H41">
        <f t="shared" si="1"/>
        <v>13</v>
      </c>
      <c r="J41" t="str">
        <f>CONCATENATE(F41,2)</f>
        <v>22</v>
      </c>
      <c r="L41">
        <v>5</v>
      </c>
      <c r="M41" t="str">
        <f t="shared" si="3"/>
        <v>FEČO Michal</v>
      </c>
    </row>
    <row r="42" spans="1:13" ht="19.5" thickBot="1">
      <c r="A42">
        <f t="shared" si="4"/>
        <v>14</v>
      </c>
      <c r="B42" s="567"/>
      <c r="C42" s="184" t="str">
        <f>IF(ISERROR(VLOOKUP(MIX!V22,vylosovanie!$N$143:$Q$190,4,0))=TRUE,"",VLOOKUP(MIX!V22,vylosovanie!$N$143:$Q$190,4,0))</f>
        <v>CHYLOVÁ Sabína</v>
      </c>
      <c r="D42" s="184">
        <f>VLOOKUP(C42,'startova listina'!$E$8:$G$68,2,0)</f>
        <v>2001</v>
      </c>
      <c r="E42" s="185" t="str">
        <f>VLOOKUP(C42,'startova listina'!$E$8:$G$68,3,0)</f>
        <v>MSTK TVRDOŠÍN</v>
      </c>
      <c r="G42">
        <f t="shared" ref="G42" si="6">VALUE(J42)</f>
        <v>21</v>
      </c>
      <c r="H42">
        <f t="shared" si="1"/>
        <v>14</v>
      </c>
      <c r="J42" t="str">
        <f>CONCATENATE(F41,1)</f>
        <v>21</v>
      </c>
      <c r="L42">
        <v>6</v>
      </c>
      <c r="M42" t="str">
        <f t="shared" si="3"/>
        <v>TEREZKOVÁ Jana</v>
      </c>
    </row>
    <row r="43" spans="1:13" ht="18.75">
      <c r="A43">
        <f t="shared" ref="A43:A58" si="7">H43</f>
        <v>0</v>
      </c>
      <c r="B43" s="566"/>
      <c r="C43" s="182" t="str">
        <f>IF(ISERROR(VLOOKUP(MIX!V23,vylosovanie!$N$143:$Q$190,3,0))=TRUE,"",VLOOKUP(MIX!V23,vylosovanie!$N$143:$Q$190,3,0))</f>
        <v/>
      </c>
      <c r="D43" s="182" t="e">
        <f>VLOOKUP(C43,'startova listina'!$E$8:$G$68,2,0)</f>
        <v>#N/A</v>
      </c>
      <c r="E43" s="183" t="e">
        <f>VLOOKUP(C43,'startova listina'!$E$8:$G$68,3,0)</f>
        <v>#N/A</v>
      </c>
      <c r="F43">
        <f>IF(C43="",0,MAX($F$4:F42)+1)</f>
        <v>0</v>
      </c>
      <c r="G43">
        <f>VALUE(J43)</f>
        <v>2</v>
      </c>
      <c r="H43">
        <f t="shared" si="1"/>
        <v>0</v>
      </c>
      <c r="J43" t="str">
        <f>CONCATENATE(F43,2)</f>
        <v>02</v>
      </c>
      <c r="L43">
        <v>7</v>
      </c>
      <c r="M43" t="str">
        <f t="shared" si="3"/>
        <v>FREUND Andrej</v>
      </c>
    </row>
    <row r="44" spans="1:13" ht="19.5" thickBot="1">
      <c r="A44">
        <f t="shared" si="7"/>
        <v>0</v>
      </c>
      <c r="B44" s="567"/>
      <c r="C44" s="184" t="str">
        <f>IF(ISERROR(VLOOKUP(MIX!V23,vylosovanie!$N$143:$Q$190,4,0))=TRUE,"",VLOOKUP(MIX!V23,vylosovanie!$N$143:$Q$190,4,0))</f>
        <v/>
      </c>
      <c r="D44" s="184" t="e">
        <f>VLOOKUP(C44,'startova listina'!$E$8:$G$68,2,0)</f>
        <v>#N/A</v>
      </c>
      <c r="E44" s="185" t="e">
        <f>VLOOKUP(C44,'startova listina'!$E$8:$G$68,3,0)</f>
        <v>#N/A</v>
      </c>
      <c r="G44">
        <f t="shared" ref="G44" si="8">VALUE(J44)</f>
        <v>1</v>
      </c>
      <c r="H44">
        <f t="shared" si="1"/>
        <v>0</v>
      </c>
      <c r="J44" t="str">
        <f>CONCATENATE(F43,1)</f>
        <v>01</v>
      </c>
      <c r="L44">
        <v>8</v>
      </c>
      <c r="M44" t="str">
        <f t="shared" si="3"/>
        <v>LEDAJOVÁ Martina</v>
      </c>
    </row>
    <row r="45" spans="1:13" ht="18.75">
      <c r="A45">
        <f t="shared" si="7"/>
        <v>0</v>
      </c>
      <c r="B45" s="566"/>
      <c r="C45" s="182" t="str">
        <f>IF(ISERROR(VLOOKUP(MIX!V24,vylosovanie!$N$143:$Q$190,3,0))=TRUE,"",VLOOKUP(MIX!V24,vylosovanie!$N$143:$Q$190,3,0))</f>
        <v/>
      </c>
      <c r="D45" s="182" t="e">
        <f>VLOOKUP(C45,'startova listina'!$E$8:$G$68,2,0)</f>
        <v>#N/A</v>
      </c>
      <c r="E45" s="183" t="e">
        <f>VLOOKUP(C45,'startova listina'!$E$8:$G$68,3,0)</f>
        <v>#N/A</v>
      </c>
      <c r="F45">
        <f>IF(C45="",0,MAX($F$4:F44)+1)</f>
        <v>0</v>
      </c>
      <c r="G45">
        <f>VALUE(J45)</f>
        <v>2</v>
      </c>
      <c r="H45">
        <f t="shared" si="1"/>
        <v>0</v>
      </c>
      <c r="J45" t="str">
        <f>CONCATENATE(F45,2)</f>
        <v>02</v>
      </c>
      <c r="L45">
        <v>9</v>
      </c>
      <c r="M45" t="str">
        <f t="shared" si="3"/>
        <v>KLAJBER Adam</v>
      </c>
    </row>
    <row r="46" spans="1:13" ht="19.5" thickBot="1">
      <c r="A46">
        <f t="shared" si="7"/>
        <v>0</v>
      </c>
      <c r="B46" s="567"/>
      <c r="C46" s="184" t="str">
        <f>IF(ISERROR(VLOOKUP(MIX!V24,vylosovanie!$N$143:$Q$190,4,0))=TRUE,"",VLOOKUP(MIX!V24,vylosovanie!$N$143:$Q$190,4,0))</f>
        <v/>
      </c>
      <c r="D46" s="184" t="e">
        <f>VLOOKUP(C46,'startova listina'!$E$8:$G$68,2,0)</f>
        <v>#N/A</v>
      </c>
      <c r="E46" s="185" t="e">
        <f>VLOOKUP(C46,'startova listina'!$E$8:$G$68,3,0)</f>
        <v>#N/A</v>
      </c>
      <c r="G46">
        <f t="shared" ref="G46" si="9">VALUE(J46)</f>
        <v>1</v>
      </c>
      <c r="H46">
        <f t="shared" si="1"/>
        <v>0</v>
      </c>
      <c r="J46" t="str">
        <f>CONCATENATE(F45,1)</f>
        <v>01</v>
      </c>
      <c r="L46">
        <v>10</v>
      </c>
      <c r="M46" t="str">
        <f t="shared" si="3"/>
        <v>SISKOVÁ Zuzana</v>
      </c>
    </row>
    <row r="47" spans="1:13" ht="18.75">
      <c r="A47">
        <f t="shared" si="7"/>
        <v>11</v>
      </c>
      <c r="B47" s="566"/>
      <c r="C47" s="182" t="str">
        <f>IF(ISERROR(VLOOKUP(MIX!V25,vylosovanie!$N$143:$Q$190,3,0))=TRUE,"",VLOOKUP(MIX!V25,vylosovanie!$N$143:$Q$190,3,0))</f>
        <v>PAPÁNEK Martin</v>
      </c>
      <c r="D47" s="182">
        <f>VLOOKUP(C47,'startova listina'!$E$8:$G$68,2,0)</f>
        <v>2001</v>
      </c>
      <c r="E47" s="183" t="str">
        <f>VLOOKUP(C47,'startova listina'!$E$8:$G$68,3,0)</f>
        <v>STK NOVÁ BAŇA/PODLUŽANY</v>
      </c>
      <c r="F47">
        <f>IF(C47="",0,MAX($F$4:F46)+1)</f>
        <v>3</v>
      </c>
      <c r="G47">
        <f>VALUE(J47)</f>
        <v>32</v>
      </c>
      <c r="H47">
        <f t="shared" si="1"/>
        <v>11</v>
      </c>
      <c r="J47" t="str">
        <f>CONCATENATE(F47,2)</f>
        <v>32</v>
      </c>
      <c r="L47">
        <v>11</v>
      </c>
      <c r="M47" t="str">
        <f t="shared" si="3"/>
        <v>PAPÁNEK Martin</v>
      </c>
    </row>
    <row r="48" spans="1:13" ht="19.5" thickBot="1">
      <c r="A48">
        <f t="shared" si="7"/>
        <v>12</v>
      </c>
      <c r="B48" s="567"/>
      <c r="C48" s="184" t="str">
        <f>IF(ISERROR(VLOOKUP(MIX!V25,vylosovanie!$N$143:$Q$190,4,0))=TRUE,"",VLOOKUP(MIX!V25,vylosovanie!$N$143:$Q$190,4,0))</f>
        <v>MIKULOVÁ Terézia</v>
      </c>
      <c r="D48" s="184">
        <f>VLOOKUP(C48,'startova listina'!$E$8:$G$68,2,0)</f>
        <v>2001</v>
      </c>
      <c r="E48" s="185" t="str">
        <f>VLOOKUP(C48,'startova listina'!$E$8:$G$68,3,0)</f>
        <v>KST DRIVE TR. JASTRABIE</v>
      </c>
      <c r="G48">
        <f t="shared" ref="G48" si="10">VALUE(J48)</f>
        <v>31</v>
      </c>
      <c r="H48">
        <f t="shared" si="1"/>
        <v>12</v>
      </c>
      <c r="J48" t="str">
        <f>CONCATENATE(F47,1)</f>
        <v>31</v>
      </c>
      <c r="L48">
        <v>12</v>
      </c>
      <c r="M48" t="str">
        <f t="shared" si="3"/>
        <v>MIKULOVÁ Terézia</v>
      </c>
    </row>
    <row r="49" spans="1:13" ht="18.75">
      <c r="A49">
        <f t="shared" si="7"/>
        <v>9</v>
      </c>
      <c r="B49" s="566"/>
      <c r="C49" s="182" t="str">
        <f>IF(ISERROR(VLOOKUP(MIX!V26,vylosovanie!$N$143:$Q$190,3,0))=TRUE,"",VLOOKUP(MIX!V26,vylosovanie!$N$143:$Q$190,3,0))</f>
        <v>KLAJBER Adam</v>
      </c>
      <c r="D49" s="182">
        <f>VLOOKUP(C49,'startova listina'!$E$8:$G$68,2,0)</f>
        <v>2003</v>
      </c>
      <c r="E49" s="183" t="str">
        <f>VLOOKUP(C49,'startova listina'!$E$8:$G$68,3,0)</f>
        <v>SŠK POPROČ</v>
      </c>
      <c r="F49">
        <f>IF(C49="",0,MAX($F$4:F48)+1)</f>
        <v>4</v>
      </c>
      <c r="G49">
        <f>VALUE(J49)</f>
        <v>42</v>
      </c>
      <c r="H49">
        <f t="shared" si="1"/>
        <v>9</v>
      </c>
      <c r="J49" t="str">
        <f>CONCATENATE(F49,2)</f>
        <v>42</v>
      </c>
      <c r="L49">
        <v>13</v>
      </c>
      <c r="M49" t="str">
        <f t="shared" si="3"/>
        <v>KAPUSTA Martin</v>
      </c>
    </row>
    <row r="50" spans="1:13" ht="19.5" thickBot="1">
      <c r="A50">
        <f t="shared" si="7"/>
        <v>10</v>
      </c>
      <c r="B50" s="567"/>
      <c r="C50" s="184" t="str">
        <f>IF(ISERROR(VLOOKUP(MIX!V26,vylosovanie!$N$143:$Q$190,4,0))=TRUE,"",VLOOKUP(MIX!V26,vylosovanie!$N$143:$Q$190,4,0))</f>
        <v>SISKOVÁ Zuzana</v>
      </c>
      <c r="D50" s="184">
        <f>VLOOKUP(C50,'startova listina'!$E$8:$G$68,2,0)</f>
        <v>2003</v>
      </c>
      <c r="E50" s="185" t="str">
        <f>VLOOKUP(C50,'startova listina'!$E$8:$G$68,3,0)</f>
        <v>TTC MAJCICHOV</v>
      </c>
      <c r="G50">
        <f t="shared" ref="G50" si="11">VALUE(J50)</f>
        <v>41</v>
      </c>
      <c r="H50">
        <f t="shared" si="1"/>
        <v>10</v>
      </c>
      <c r="J50" t="str">
        <f>CONCATENATE(F49,1)</f>
        <v>41</v>
      </c>
      <c r="L50">
        <v>14</v>
      </c>
      <c r="M50" t="str">
        <f t="shared" si="3"/>
        <v>CHYLOVÁ Sabína</v>
      </c>
    </row>
    <row r="51" spans="1:13" ht="18.75">
      <c r="A51">
        <f t="shared" si="7"/>
        <v>0</v>
      </c>
      <c r="B51" s="566"/>
      <c r="C51" s="182" t="str">
        <f>IF(ISERROR(VLOOKUP(MIX!V27,vylosovanie!$N$143:$Q$190,3,0))=TRUE,"",VLOOKUP(MIX!V27,vylosovanie!$N$143:$Q$190,3,0))</f>
        <v/>
      </c>
      <c r="D51" s="182" t="e">
        <f>VLOOKUP(C51,'startova listina'!$E$8:$G$68,2,0)</f>
        <v>#N/A</v>
      </c>
      <c r="E51" s="183" t="e">
        <f>VLOOKUP(C51,'startova listina'!$E$8:$G$68,3,0)</f>
        <v>#N/A</v>
      </c>
      <c r="F51">
        <f>IF(C51="",0,MAX($F$4:F50)+1)</f>
        <v>0</v>
      </c>
      <c r="G51">
        <f>VALUE(J51)</f>
        <v>2</v>
      </c>
      <c r="H51">
        <f t="shared" si="1"/>
        <v>0</v>
      </c>
      <c r="J51" t="str">
        <f>CONCATENATE(F51,2)</f>
        <v>02</v>
      </c>
      <c r="L51">
        <v>15</v>
      </c>
      <c r="M51" t="str">
        <f t="shared" si="3"/>
        <v>VICO Dávid</v>
      </c>
    </row>
    <row r="52" spans="1:13" ht="19.5" thickBot="1">
      <c r="A52">
        <f t="shared" si="7"/>
        <v>0</v>
      </c>
      <c r="B52" s="567"/>
      <c r="C52" s="184" t="str">
        <f>IF(ISERROR(VLOOKUP(MIX!V27,vylosovanie!$N$143:$Q$190,4,0))=TRUE,"",VLOOKUP(MIX!V27,vylosovanie!$N$143:$Q$190,4,0))</f>
        <v/>
      </c>
      <c r="D52" s="184" t="e">
        <f>VLOOKUP(C52,'startova listina'!$E$8:$G$68,2,0)</f>
        <v>#N/A</v>
      </c>
      <c r="E52" s="185" t="e">
        <f>VLOOKUP(C52,'startova listina'!$E$8:$G$68,3,0)</f>
        <v>#N/A</v>
      </c>
      <c r="G52">
        <f t="shared" ref="G52" si="12">VALUE(J52)</f>
        <v>1</v>
      </c>
      <c r="H52">
        <f t="shared" si="1"/>
        <v>0</v>
      </c>
      <c r="J52" t="str">
        <f>CONCATENATE(F51,1)</f>
        <v>01</v>
      </c>
      <c r="L52">
        <v>16</v>
      </c>
      <c r="M52" t="str">
        <f t="shared" si="3"/>
        <v>HUDÁKOVÁ Ivana</v>
      </c>
    </row>
    <row r="53" spans="1:13" ht="18.75">
      <c r="A53">
        <f t="shared" si="7"/>
        <v>0</v>
      </c>
      <c r="B53" s="566"/>
      <c r="C53" s="182" t="str">
        <f>IF(ISERROR(VLOOKUP(MIX!V28,vylosovanie!$N$143:$Q$190,3,0))=TRUE,"",VLOOKUP(MIX!V28,vylosovanie!$N$143:$Q$190,3,0))</f>
        <v/>
      </c>
      <c r="D53" s="182" t="e">
        <f>VLOOKUP(C53,'startova listina'!$E$8:$G$68,2,0)</f>
        <v>#N/A</v>
      </c>
      <c r="E53" s="183" t="e">
        <f>VLOOKUP(C53,'startova listina'!$E$8:$G$68,3,0)</f>
        <v>#N/A</v>
      </c>
      <c r="F53">
        <f>IF(C53="",0,MAX($F$4:F52)+1)</f>
        <v>0</v>
      </c>
      <c r="G53">
        <f>VALUE(J53)</f>
        <v>2</v>
      </c>
      <c r="H53">
        <f t="shared" si="1"/>
        <v>0</v>
      </c>
      <c r="J53" t="str">
        <f>CONCATENATE(F53,2)</f>
        <v>02</v>
      </c>
      <c r="L53">
        <v>17</v>
      </c>
      <c r="M53" t="e">
        <f t="shared" si="3"/>
        <v>#N/A</v>
      </c>
    </row>
    <row r="54" spans="1:13" ht="19.5" thickBot="1">
      <c r="A54">
        <f t="shared" si="7"/>
        <v>0</v>
      </c>
      <c r="B54" s="567"/>
      <c r="C54" s="184" t="str">
        <f>IF(ISERROR(VLOOKUP(MIX!V28,vylosovanie!$N$143:$Q$190,4,0))=TRUE,"",VLOOKUP(MIX!V28,vylosovanie!$N$143:$Q$190,4,0))</f>
        <v/>
      </c>
      <c r="D54" s="184" t="e">
        <f>VLOOKUP(C54,'startova listina'!$E$8:$G$68,2,0)</f>
        <v>#N/A</v>
      </c>
      <c r="E54" s="185" t="e">
        <f>VLOOKUP(C54,'startova listina'!$E$8:$G$68,3,0)</f>
        <v>#N/A</v>
      </c>
      <c r="G54">
        <f t="shared" ref="G54" si="13">VALUE(J54)</f>
        <v>1</v>
      </c>
      <c r="H54">
        <f t="shared" si="1"/>
        <v>0</v>
      </c>
      <c r="J54" t="str">
        <f>CONCATENATE(F53,1)</f>
        <v>01</v>
      </c>
      <c r="L54">
        <v>18</v>
      </c>
      <c r="M54" t="e">
        <f t="shared" si="3"/>
        <v>#N/A</v>
      </c>
    </row>
    <row r="55" spans="1:13" ht="18.75">
      <c r="A55">
        <f t="shared" si="7"/>
        <v>7</v>
      </c>
      <c r="B55" s="566"/>
      <c r="C55" s="182" t="str">
        <f>IF(ISERROR(VLOOKUP(MIX!V29,vylosovanie!$N$143:$Q$190,3,0))=TRUE,"",VLOOKUP(MIX!V29,vylosovanie!$N$143:$Q$190,3,0))</f>
        <v>FREUND Andrej</v>
      </c>
      <c r="D55" s="182">
        <f>VLOOKUP(C55,'startova listina'!$E$8:$G$68,2,0)</f>
        <v>2002</v>
      </c>
      <c r="E55" s="183" t="str">
        <f>VLOOKUP(C55,'startova listina'!$E$8:$G$68,3,0)</f>
        <v>MSK MALACKY</v>
      </c>
      <c r="F55">
        <f>IF(C55="",0,MAX($F$4:F54)+1)</f>
        <v>5</v>
      </c>
      <c r="G55">
        <f>VALUE(J55)</f>
        <v>52</v>
      </c>
      <c r="H55">
        <f t="shared" si="1"/>
        <v>7</v>
      </c>
      <c r="J55" t="str">
        <f>CONCATENATE(F55,2)</f>
        <v>52</v>
      </c>
      <c r="L55">
        <v>19</v>
      </c>
      <c r="M55" t="e">
        <f t="shared" si="3"/>
        <v>#N/A</v>
      </c>
    </row>
    <row r="56" spans="1:13" ht="19.5" thickBot="1">
      <c r="A56">
        <f t="shared" si="7"/>
        <v>8</v>
      </c>
      <c r="B56" s="567"/>
      <c r="C56" s="184" t="str">
        <f>IF(ISERROR(VLOOKUP(MIX!V29,vylosovanie!$N$143:$Q$190,4,0))=TRUE,"",VLOOKUP(MIX!V29,vylosovanie!$N$143:$Q$190,4,0))</f>
        <v>LEDAJOVÁ Martina</v>
      </c>
      <c r="D56" s="184">
        <f>VLOOKUP(C56,'startova listina'!$E$8:$G$68,2,0)</f>
        <v>2001</v>
      </c>
      <c r="E56" s="185" t="str">
        <f>VLOOKUP(C56,'startova listina'!$E$8:$G$68,3,0)</f>
        <v>STK OROL OTRHÁNKY</v>
      </c>
      <c r="G56">
        <f t="shared" ref="G56" si="14">VALUE(J56)</f>
        <v>51</v>
      </c>
      <c r="H56">
        <f t="shared" si="1"/>
        <v>8</v>
      </c>
      <c r="J56" t="str">
        <f>CONCATENATE(F55,1)</f>
        <v>51</v>
      </c>
      <c r="L56">
        <v>20</v>
      </c>
      <c r="M56" t="e">
        <f t="shared" si="3"/>
        <v>#N/A</v>
      </c>
    </row>
    <row r="57" spans="1:13" ht="18.75">
      <c r="A57">
        <f t="shared" si="7"/>
        <v>5</v>
      </c>
      <c r="B57" s="566"/>
      <c r="C57" s="182" t="str">
        <f>IF(ISERROR(VLOOKUP(MIX!V30,vylosovanie!$N$143:$Q$190,3,0))=TRUE,"",VLOOKUP(MIX!V30,vylosovanie!$N$143:$Q$190,3,0))</f>
        <v>FEČO Michal</v>
      </c>
      <c r="D57" s="182">
        <f>VLOOKUP(C57,'startova listina'!$E$8:$G$68,2,0)</f>
        <v>2001</v>
      </c>
      <c r="E57" s="183" t="str">
        <f>VLOOKUP(C57,'startova listina'!$E$8:$G$68,3,0)</f>
        <v>MŠK VSTK VRANOV NAD TOPĽOU</v>
      </c>
      <c r="F57">
        <f>IF(C57="",0,MAX($F$4:F56)+1)</f>
        <v>6</v>
      </c>
      <c r="G57">
        <f>VALUE(J57)</f>
        <v>62</v>
      </c>
      <c r="H57">
        <f t="shared" si="1"/>
        <v>5</v>
      </c>
      <c r="J57" t="str">
        <f>CONCATENATE(F57,2)</f>
        <v>62</v>
      </c>
      <c r="L57">
        <v>21</v>
      </c>
      <c r="M57" t="e">
        <f t="shared" si="3"/>
        <v>#N/A</v>
      </c>
    </row>
    <row r="58" spans="1:13" ht="19.5" thickBot="1">
      <c r="A58">
        <f t="shared" si="7"/>
        <v>6</v>
      </c>
      <c r="B58" s="567"/>
      <c r="C58" s="184" t="str">
        <f>IF(ISERROR(VLOOKUP(MIX!V30,vylosovanie!$N$143:$Q$190,4,0))=TRUE,"",VLOOKUP(MIX!V30,vylosovanie!$N$143:$Q$190,4,0))</f>
        <v>TEREZKOVÁ Jana</v>
      </c>
      <c r="D58" s="184">
        <f>VLOOKUP(C58,'startova listina'!$E$8:$G$68,2,0)</f>
        <v>2002</v>
      </c>
      <c r="E58" s="185" t="str">
        <f>VLOOKUP(C58,'startova listina'!$E$8:$G$68,3,0)</f>
        <v>ŠKST MICHALOVCE</v>
      </c>
      <c r="G58">
        <f t="shared" ref="G58" si="15">VALUE(J58)</f>
        <v>61</v>
      </c>
      <c r="H58">
        <f t="shared" si="1"/>
        <v>6</v>
      </c>
      <c r="J58" t="str">
        <f>CONCATENATE(F57,1)</f>
        <v>61</v>
      </c>
      <c r="L58">
        <v>22</v>
      </c>
      <c r="M58" t="e">
        <f t="shared" si="3"/>
        <v>#N/A</v>
      </c>
    </row>
    <row r="59" spans="1:13" ht="18.75">
      <c r="A59">
        <f t="shared" ref="A59:A68" si="16">H59</f>
        <v>0</v>
      </c>
      <c r="B59" s="566"/>
      <c r="C59" s="182" t="str">
        <f>IF(ISERROR(VLOOKUP(MIX!V31,vylosovanie!$N$143:$Q$190,3,0))=TRUE,"",VLOOKUP(MIX!V31,vylosovanie!$N$143:$Q$190,3,0))</f>
        <v/>
      </c>
      <c r="D59" s="182" t="e">
        <f>VLOOKUP(C59,'startova listina'!$E$8:$G$68,2,0)</f>
        <v>#N/A</v>
      </c>
      <c r="E59" s="183" t="e">
        <f>VLOOKUP(C59,'startova listina'!$E$8:$G$68,3,0)</f>
        <v>#N/A</v>
      </c>
      <c r="F59">
        <f>IF(C59="",0,MAX($F$4:F58)+1)</f>
        <v>0</v>
      </c>
      <c r="G59">
        <f>VALUE(J59)</f>
        <v>2</v>
      </c>
      <c r="H59">
        <f t="shared" si="1"/>
        <v>0</v>
      </c>
      <c r="J59" t="str">
        <f>CONCATENATE(F59,2)</f>
        <v>02</v>
      </c>
      <c r="L59">
        <v>23</v>
      </c>
      <c r="M59" t="e">
        <f t="shared" si="3"/>
        <v>#N/A</v>
      </c>
    </row>
    <row r="60" spans="1:13" ht="19.5" thickBot="1">
      <c r="A60">
        <f t="shared" si="16"/>
        <v>0</v>
      </c>
      <c r="B60" s="567"/>
      <c r="C60" s="184" t="str">
        <f>IF(ISERROR(VLOOKUP(MIX!V31,vylosovanie!$N$143:$Q$190,4,0))=TRUE,"",VLOOKUP(MIX!V31,vylosovanie!$N$143:$Q$190,4,0))</f>
        <v/>
      </c>
      <c r="D60" s="184" t="e">
        <f>VLOOKUP(C60,'startova listina'!$E$8:$G$68,2,0)</f>
        <v>#N/A</v>
      </c>
      <c r="E60" s="185" t="e">
        <f>VLOOKUP(C60,'startova listina'!$E$8:$G$68,3,0)</f>
        <v>#N/A</v>
      </c>
      <c r="G60">
        <f t="shared" ref="G60" si="17">VALUE(J60)</f>
        <v>1</v>
      </c>
      <c r="H60">
        <f t="shared" si="1"/>
        <v>0</v>
      </c>
      <c r="J60" t="str">
        <f>CONCATENATE(F59,1)</f>
        <v>01</v>
      </c>
      <c r="L60">
        <v>24</v>
      </c>
      <c r="M60" t="e">
        <f t="shared" si="3"/>
        <v>#N/A</v>
      </c>
    </row>
    <row r="61" spans="1:13" ht="18.75">
      <c r="A61">
        <f t="shared" si="16"/>
        <v>0</v>
      </c>
      <c r="B61" s="566"/>
      <c r="C61" s="182" t="str">
        <f>IF(ISERROR(VLOOKUP(MIX!V32,vylosovanie!$N$143:$Q$190,3,0))=TRUE,"",VLOOKUP(MIX!V32,vylosovanie!$N$143:$Q$190,3,0))</f>
        <v/>
      </c>
      <c r="D61" s="182" t="e">
        <f>VLOOKUP(C61,'startova listina'!$E$8:$G$68,2,0)</f>
        <v>#N/A</v>
      </c>
      <c r="E61" s="183" t="e">
        <f>VLOOKUP(C61,'startova listina'!$E$8:$G$68,3,0)</f>
        <v>#N/A</v>
      </c>
      <c r="F61">
        <f>IF(C61="",0,MAX($F$4:F60)+1)</f>
        <v>0</v>
      </c>
      <c r="G61">
        <f>VALUE(J61)</f>
        <v>2</v>
      </c>
      <c r="H61">
        <f t="shared" si="1"/>
        <v>0</v>
      </c>
      <c r="J61" t="str">
        <f>CONCATENATE(F61,2)</f>
        <v>02</v>
      </c>
      <c r="L61">
        <v>25</v>
      </c>
      <c r="M61" t="e">
        <f t="shared" si="3"/>
        <v>#N/A</v>
      </c>
    </row>
    <row r="62" spans="1:13" ht="19.5" thickBot="1">
      <c r="A62">
        <f t="shared" si="16"/>
        <v>0</v>
      </c>
      <c r="B62" s="567"/>
      <c r="C62" s="184" t="str">
        <f>IF(ISERROR(VLOOKUP(MIX!V32,vylosovanie!$N$143:$Q$190,4,0))=TRUE,"",VLOOKUP(MIX!V32,vylosovanie!$N$143:$Q$190,4,0))</f>
        <v/>
      </c>
      <c r="D62" s="184" t="e">
        <f>VLOOKUP(C62,'startova listina'!$E$8:$G$68,2,0)</f>
        <v>#N/A</v>
      </c>
      <c r="E62" s="185" t="e">
        <f>VLOOKUP(C62,'startova listina'!$E$8:$G$68,3,0)</f>
        <v>#N/A</v>
      </c>
      <c r="G62">
        <f t="shared" ref="G62" si="18">VALUE(J62)</f>
        <v>1</v>
      </c>
      <c r="H62">
        <f t="shared" si="1"/>
        <v>0</v>
      </c>
      <c r="J62" t="str">
        <f>CONCATENATE(F61,1)</f>
        <v>01</v>
      </c>
      <c r="L62">
        <v>26</v>
      </c>
      <c r="M62" t="e">
        <f t="shared" si="3"/>
        <v>#N/A</v>
      </c>
    </row>
    <row r="63" spans="1:13" ht="18.75">
      <c r="A63">
        <f t="shared" si="16"/>
        <v>3</v>
      </c>
      <c r="B63" s="566"/>
      <c r="C63" s="182" t="str">
        <f>IF(ISERROR(VLOOKUP(MIX!V33,vylosovanie!$N$143:$Q$190,3,0))=TRUE,"",VLOOKUP(MIX!V33,vylosovanie!$N$143:$Q$190,3,0))</f>
        <v>IVANČO Félix</v>
      </c>
      <c r="D63" s="182">
        <f>VLOOKUP(C63,'startova listina'!$E$8:$G$68,2,0)</f>
        <v>2003</v>
      </c>
      <c r="E63" s="183" t="str">
        <f>VLOOKUP(C63,'startova listina'!$E$8:$G$68,3,0)</f>
        <v>MSK MALACKY</v>
      </c>
      <c r="F63">
        <f>IF(C63="",0,MAX($F$4:F62)+1)</f>
        <v>7</v>
      </c>
      <c r="G63">
        <f>VALUE(J63)</f>
        <v>72</v>
      </c>
      <c r="H63">
        <f t="shared" si="1"/>
        <v>3</v>
      </c>
      <c r="J63" t="str">
        <f>CONCATENATE(F63,2)</f>
        <v>72</v>
      </c>
      <c r="L63">
        <v>27</v>
      </c>
      <c r="M63" t="e">
        <f t="shared" si="3"/>
        <v>#N/A</v>
      </c>
    </row>
    <row r="64" spans="1:13" ht="19.5" thickBot="1">
      <c r="A64">
        <f t="shared" si="16"/>
        <v>4</v>
      </c>
      <c r="B64" s="567"/>
      <c r="C64" s="184" t="str">
        <f>IF(ISERROR(VLOOKUP(MIX!V33,vylosovanie!$N$143:$Q$190,4,0))=TRUE,"",VLOOKUP(MIX!V33,vylosovanie!$N$143:$Q$190,4,0))</f>
        <v>HURBANOVÁ Isabella</v>
      </c>
      <c r="D64" s="184">
        <f>VLOOKUP(C64,'startova listina'!$E$8:$G$68,2,0)</f>
        <v>2003</v>
      </c>
      <c r="E64" s="185" t="str">
        <f>VLOOKUP(C64,'startova listina'!$E$8:$G$68,3,0)</f>
        <v>MSK MALACKY</v>
      </c>
      <c r="G64">
        <f t="shared" ref="G64" si="19">VALUE(J64)</f>
        <v>71</v>
      </c>
      <c r="H64">
        <f t="shared" si="1"/>
        <v>4</v>
      </c>
      <c r="J64" t="str">
        <f>CONCATENATE(F63,1)</f>
        <v>71</v>
      </c>
      <c r="L64">
        <v>28</v>
      </c>
      <c r="M64" t="e">
        <f t="shared" si="3"/>
        <v>#N/A</v>
      </c>
    </row>
    <row r="65" spans="1:13" ht="18.75">
      <c r="A65">
        <f t="shared" si="16"/>
        <v>1</v>
      </c>
      <c r="B65" s="566"/>
      <c r="C65" s="182" t="str">
        <f>IF(ISERROR(VLOOKUP(MIX!V34,vylosovanie!$N$143:$Q$190,3,0))=TRUE,"",VLOOKUP(MIX!V34,vylosovanie!$N$143:$Q$190,3,0))</f>
        <v>DELINČAK Filip</v>
      </c>
      <c r="D65" s="182">
        <f>VLOOKUP(C65,'startova listina'!$E$8:$G$68,2,0)</f>
        <v>2003</v>
      </c>
      <c r="E65" s="183" t="str">
        <f>VLOOKUP(C65,'startova listina'!$E$8:$G$68,3,0)</f>
        <v>MSK ČADCA</v>
      </c>
      <c r="F65">
        <f>IF(C65="",0,MAX($F$4:F64)+1)</f>
        <v>8</v>
      </c>
      <c r="G65">
        <f>VALUE(J65)</f>
        <v>82</v>
      </c>
      <c r="H65">
        <f t="shared" si="1"/>
        <v>1</v>
      </c>
      <c r="J65" t="str">
        <f>CONCATENATE(F65,2)</f>
        <v>82</v>
      </c>
      <c r="L65">
        <v>29</v>
      </c>
      <c r="M65" t="e">
        <f t="shared" si="3"/>
        <v>#N/A</v>
      </c>
    </row>
    <row r="66" spans="1:13" ht="19.5" thickBot="1">
      <c r="A66">
        <f t="shared" si="16"/>
        <v>2</v>
      </c>
      <c r="B66" s="567"/>
      <c r="C66" s="184" t="str">
        <f>IF(ISERROR(VLOOKUP(MIX!V34,vylosovanie!$N$143:$Q$190,4,0))=TRUE,"",VLOOKUP(MIX!V34,vylosovanie!$N$143:$Q$190,4,0))</f>
        <v>PISARČIKOVÁ Frederika</v>
      </c>
      <c r="D66" s="184">
        <f>VLOOKUP(C66,'startova listina'!$E$8:$G$68,2,0)</f>
        <v>2002</v>
      </c>
      <c r="E66" s="185" t="str">
        <f>VLOOKUP(C66,'startova listina'!$E$8:$G$68,3,0)</f>
        <v>ŠKST RUŽOMBEROK</v>
      </c>
      <c r="G66">
        <f t="shared" ref="G66" si="20">VALUE(J66)</f>
        <v>81</v>
      </c>
      <c r="H66">
        <f t="shared" si="1"/>
        <v>2</v>
      </c>
      <c r="J66" t="str">
        <f>CONCATENATE(F65,1)</f>
        <v>81</v>
      </c>
      <c r="L66">
        <v>30</v>
      </c>
      <c r="M66" t="e">
        <f t="shared" si="3"/>
        <v>#N/A</v>
      </c>
    </row>
    <row r="67" spans="1:13" ht="18.75">
      <c r="A67">
        <f t="shared" si="16"/>
        <v>0</v>
      </c>
      <c r="B67" s="566"/>
      <c r="C67" s="182" t="str">
        <f>IF(ISERROR(VLOOKUP(MIX!V35,vylosovanie!$N$143:$Q$190,3,0))=TRUE,"",VLOOKUP(MIX!V35,vylosovanie!$N$143:$Q$190,3,0))</f>
        <v/>
      </c>
      <c r="D67" s="182" t="e">
        <f>VLOOKUP(C67,'startova listina'!$E$8:$G$68,2,0)</f>
        <v>#N/A</v>
      </c>
      <c r="E67" s="183" t="e">
        <f>VLOOKUP(C67,'startova listina'!$E$8:$G$68,3,0)</f>
        <v>#N/A</v>
      </c>
      <c r="F67">
        <f>IF(C67="",0,MAX($F$4:F66)+1)</f>
        <v>0</v>
      </c>
      <c r="G67">
        <f>VALUE(J67)</f>
        <v>2</v>
      </c>
      <c r="H67">
        <f t="shared" si="1"/>
        <v>0</v>
      </c>
      <c r="J67" t="str">
        <f>CONCATENATE(F67,2)</f>
        <v>02</v>
      </c>
      <c r="L67">
        <v>31</v>
      </c>
      <c r="M67" t="e">
        <f t="shared" si="3"/>
        <v>#N/A</v>
      </c>
    </row>
    <row r="68" spans="1:13" ht="19.5" thickBot="1">
      <c r="A68">
        <f t="shared" si="16"/>
        <v>0</v>
      </c>
      <c r="B68" s="567"/>
      <c r="C68" s="184" t="str">
        <f>IF(ISERROR(VLOOKUP(MIX!V35,vylosovanie!$N$143:$Q$190,4,0))=TRUE,"",VLOOKUP(MIX!V35,vylosovanie!$N$143:$Q$190,4,0))</f>
        <v/>
      </c>
      <c r="D68" s="184" t="e">
        <f>VLOOKUP(C68,'startova listina'!$E$8:$G$68,2,0)</f>
        <v>#N/A</v>
      </c>
      <c r="E68" s="185" t="e">
        <f>VLOOKUP(C68,'startova listina'!$E$8:$G$68,3,0)</f>
        <v>#N/A</v>
      </c>
      <c r="G68">
        <f t="shared" ref="G68" si="21">VALUE(J68)</f>
        <v>1</v>
      </c>
      <c r="H68">
        <f t="shared" si="1"/>
        <v>0</v>
      </c>
      <c r="J68" t="str">
        <f>CONCATENATE(F67,1)</f>
        <v>01</v>
      </c>
      <c r="L68">
        <v>32</v>
      </c>
      <c r="M68" t="e">
        <f t="shared" si="3"/>
        <v>#N/A</v>
      </c>
    </row>
    <row r="69" spans="1:13">
      <c r="L69">
        <v>33</v>
      </c>
      <c r="M69" t="e">
        <f t="shared" si="3"/>
        <v>#N/A</v>
      </c>
    </row>
    <row r="70" spans="1:13">
      <c r="L70">
        <v>34</v>
      </c>
      <c r="M70" t="e">
        <f t="shared" si="3"/>
        <v>#N/A</v>
      </c>
    </row>
    <row r="71" spans="1:13">
      <c r="L71">
        <v>35</v>
      </c>
      <c r="M71" t="e">
        <f t="shared" si="3"/>
        <v>#N/A</v>
      </c>
    </row>
    <row r="72" spans="1:13">
      <c r="L72">
        <v>36</v>
      </c>
      <c r="M72" t="e">
        <f t="shared" si="3"/>
        <v>#N/A</v>
      </c>
    </row>
    <row r="73" spans="1:13">
      <c r="L73">
        <v>37</v>
      </c>
      <c r="M73" t="e">
        <f t="shared" si="3"/>
        <v>#N/A</v>
      </c>
    </row>
    <row r="74" spans="1:13">
      <c r="L74">
        <v>38</v>
      </c>
      <c r="M74" t="e">
        <f t="shared" si="3"/>
        <v>#N/A</v>
      </c>
    </row>
    <row r="75" spans="1:13">
      <c r="L75">
        <v>39</v>
      </c>
      <c r="M75" t="e">
        <f t="shared" si="3"/>
        <v>#N/A</v>
      </c>
    </row>
    <row r="76" spans="1:13">
      <c r="L76">
        <v>40</v>
      </c>
      <c r="M76" t="e">
        <f t="shared" si="3"/>
        <v>#N/A</v>
      </c>
    </row>
    <row r="77" spans="1:13">
      <c r="L77">
        <v>41</v>
      </c>
      <c r="M77" t="e">
        <f t="shared" si="3"/>
        <v>#N/A</v>
      </c>
    </row>
    <row r="78" spans="1:13">
      <c r="L78">
        <v>42</v>
      </c>
      <c r="M78" t="e">
        <f t="shared" si="3"/>
        <v>#N/A</v>
      </c>
    </row>
    <row r="79" spans="1:13">
      <c r="L79">
        <v>43</v>
      </c>
      <c r="M79" t="e">
        <f t="shared" si="3"/>
        <v>#N/A</v>
      </c>
    </row>
    <row r="80" spans="1:13">
      <c r="L80">
        <v>44</v>
      </c>
      <c r="M80" t="e">
        <f t="shared" si="3"/>
        <v>#N/A</v>
      </c>
    </row>
    <row r="81" spans="12:13">
      <c r="L81">
        <v>45</v>
      </c>
      <c r="M81" t="e">
        <f t="shared" si="3"/>
        <v>#N/A</v>
      </c>
    </row>
    <row r="82" spans="12:13">
      <c r="L82">
        <v>46</v>
      </c>
      <c r="M82" t="e">
        <f t="shared" si="3"/>
        <v>#N/A</v>
      </c>
    </row>
    <row r="83" spans="12:13">
      <c r="L83">
        <v>47</v>
      </c>
      <c r="M83" t="e">
        <f t="shared" si="3"/>
        <v>#N/A</v>
      </c>
    </row>
    <row r="84" spans="12:13">
      <c r="L84">
        <v>48</v>
      </c>
      <c r="M84" t="e">
        <f t="shared" si="3"/>
        <v>#N/A</v>
      </c>
    </row>
    <row r="85" spans="12:13">
      <c r="L85">
        <v>49</v>
      </c>
      <c r="M85" t="e">
        <f t="shared" si="3"/>
        <v>#N/A</v>
      </c>
    </row>
    <row r="86" spans="12:13">
      <c r="L86">
        <v>50</v>
      </c>
      <c r="M86" t="e">
        <f t="shared" ref="M86:M104" si="22">VLOOKUP(L86,$A$21:$C$68,3,0)</f>
        <v>#N/A</v>
      </c>
    </row>
    <row r="87" spans="12:13">
      <c r="L87">
        <v>51</v>
      </c>
      <c r="M87" t="e">
        <f t="shared" si="22"/>
        <v>#N/A</v>
      </c>
    </row>
    <row r="88" spans="12:13">
      <c r="L88">
        <v>52</v>
      </c>
      <c r="M88" t="e">
        <f t="shared" si="22"/>
        <v>#N/A</v>
      </c>
    </row>
    <row r="89" spans="12:13">
      <c r="L89">
        <v>53</v>
      </c>
      <c r="M89" t="e">
        <f t="shared" si="22"/>
        <v>#N/A</v>
      </c>
    </row>
    <row r="90" spans="12:13">
      <c r="L90">
        <v>54</v>
      </c>
      <c r="M90" t="e">
        <f t="shared" si="22"/>
        <v>#N/A</v>
      </c>
    </row>
    <row r="91" spans="12:13">
      <c r="L91">
        <v>55</v>
      </c>
      <c r="M91" t="e">
        <f t="shared" si="22"/>
        <v>#N/A</v>
      </c>
    </row>
    <row r="92" spans="12:13">
      <c r="L92">
        <v>56</v>
      </c>
      <c r="M92" t="e">
        <f t="shared" si="22"/>
        <v>#N/A</v>
      </c>
    </row>
    <row r="93" spans="12:13">
      <c r="L93">
        <v>57</v>
      </c>
      <c r="M93" t="e">
        <f t="shared" si="22"/>
        <v>#N/A</v>
      </c>
    </row>
    <row r="94" spans="12:13">
      <c r="L94">
        <v>58</v>
      </c>
      <c r="M94" t="e">
        <f t="shared" si="22"/>
        <v>#N/A</v>
      </c>
    </row>
    <row r="95" spans="12:13">
      <c r="L95">
        <v>59</v>
      </c>
      <c r="M95" t="e">
        <f t="shared" si="22"/>
        <v>#N/A</v>
      </c>
    </row>
    <row r="96" spans="12:13">
      <c r="L96">
        <v>60</v>
      </c>
      <c r="M96" t="e">
        <f t="shared" si="22"/>
        <v>#N/A</v>
      </c>
    </row>
    <row r="97" spans="12:13">
      <c r="L97">
        <v>61</v>
      </c>
      <c r="M97" t="e">
        <f t="shared" si="22"/>
        <v>#N/A</v>
      </c>
    </row>
    <row r="98" spans="12:13">
      <c r="L98">
        <v>62</v>
      </c>
      <c r="M98" t="e">
        <f t="shared" si="22"/>
        <v>#N/A</v>
      </c>
    </row>
    <row r="99" spans="12:13">
      <c r="L99">
        <v>63</v>
      </c>
      <c r="M99" t="e">
        <f t="shared" si="22"/>
        <v>#N/A</v>
      </c>
    </row>
    <row r="100" spans="12:13">
      <c r="L100">
        <v>64</v>
      </c>
      <c r="M100" t="e">
        <f t="shared" si="22"/>
        <v>#N/A</v>
      </c>
    </row>
    <row r="101" spans="12:13">
      <c r="L101">
        <v>65</v>
      </c>
      <c r="M101" t="e">
        <f t="shared" si="22"/>
        <v>#N/A</v>
      </c>
    </row>
    <row r="102" spans="12:13">
      <c r="L102">
        <v>66</v>
      </c>
      <c r="M102" t="e">
        <f t="shared" si="22"/>
        <v>#N/A</v>
      </c>
    </row>
    <row r="103" spans="12:13">
      <c r="L103">
        <v>67</v>
      </c>
      <c r="M103" t="e">
        <f t="shared" si="22"/>
        <v>#N/A</v>
      </c>
    </row>
    <row r="104" spans="12:13">
      <c r="L104">
        <v>68</v>
      </c>
      <c r="M104" t="e">
        <f t="shared" si="22"/>
        <v>#N/A</v>
      </c>
    </row>
  </sheetData>
  <mergeCells count="33">
    <mergeCell ref="B63:B64"/>
    <mergeCell ref="B65:B66"/>
    <mergeCell ref="B67:B68"/>
    <mergeCell ref="B51:B52"/>
    <mergeCell ref="B53:B54"/>
    <mergeCell ref="B55:B56"/>
    <mergeCell ref="B57:B58"/>
    <mergeCell ref="B59:B60"/>
    <mergeCell ref="B61:B62"/>
    <mergeCell ref="B49:B50"/>
    <mergeCell ref="B27:B28"/>
    <mergeCell ref="B29:B30"/>
    <mergeCell ref="B31:B32"/>
    <mergeCell ref="B33:B34"/>
    <mergeCell ref="B35:B36"/>
    <mergeCell ref="B37:B38"/>
    <mergeCell ref="B39:B40"/>
    <mergeCell ref="B41:B42"/>
    <mergeCell ref="B43:B44"/>
    <mergeCell ref="B45:B46"/>
    <mergeCell ref="B47:B48"/>
    <mergeCell ref="B25:B26"/>
    <mergeCell ref="B1:E1"/>
    <mergeCell ref="B5:B6"/>
    <mergeCell ref="B7:B8"/>
    <mergeCell ref="B9:B10"/>
    <mergeCell ref="B11:B12"/>
    <mergeCell ref="B13:B14"/>
    <mergeCell ref="B15:B16"/>
    <mergeCell ref="B17:B18"/>
    <mergeCell ref="B19:B20"/>
    <mergeCell ref="B21:B22"/>
    <mergeCell ref="B23:B2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2:B189"/>
  <sheetViews>
    <sheetView topLeftCell="A22" workbookViewId="0">
      <selection activeCell="B34" sqref="B34"/>
    </sheetView>
  </sheetViews>
  <sheetFormatPr defaultRowHeight="15"/>
  <cols>
    <col min="1" max="1" width="9.140625" style="98"/>
    <col min="2" max="2" width="39.7109375" style="98" customWidth="1"/>
    <col min="3" max="16384" width="9.140625" style="98"/>
  </cols>
  <sheetData>
    <row r="2" spans="1:2">
      <c r="A2" s="98" t="s">
        <v>221</v>
      </c>
      <c r="B2" s="98" t="s">
        <v>222</v>
      </c>
    </row>
    <row r="3" spans="1:2">
      <c r="A3" s="98" t="str">
        <f>'KO Chlapci'!L4</f>
        <v>CHP11</v>
      </c>
      <c r="B3" s="98" t="str">
        <f>IF(ISERROR('KO Chlapci'!M4)=TRUE,"",'KO Chlapci'!M4)</f>
        <v>DIKO Dalibor</v>
      </c>
    </row>
    <row r="4" spans="1:2">
      <c r="A4" s="98" t="str">
        <f>'KO Chlapci'!L5</f>
        <v>CHP91</v>
      </c>
      <c r="B4" s="98" t="str">
        <f>IF(OR(ISERROR('KO Chlapci'!M5)=TRUE,'KO Chlapci'!M5=0),"",'KO Chlapci'!M5)</f>
        <v>DIKO Dalibor</v>
      </c>
    </row>
    <row r="5" spans="1:2">
      <c r="A5" s="98" t="str">
        <f>'KO Chlapci'!L6</f>
        <v>CHP12</v>
      </c>
      <c r="B5" s="98" t="str">
        <f>IF(OR(ISERROR('KO Chlapci'!M6)=TRUE,'KO Chlapci'!M6=0),"",'KO Chlapci'!M6)</f>
        <v>ĎANOVSKÝ Martin</v>
      </c>
    </row>
    <row r="6" spans="1:2">
      <c r="A6" s="98" t="str">
        <f>'KO Chlapci'!L7</f>
        <v>CHP131</v>
      </c>
      <c r="B6" s="98" t="str">
        <f>IF(OR(ISERROR('KO Chlapci'!M7)=TRUE,'KO Chlapci'!M7=0),"",'KO Chlapci'!M7)</f>
        <v>DIKO Dalibor</v>
      </c>
    </row>
    <row r="7" spans="1:2">
      <c r="A7" s="98" t="str">
        <f>'KO Chlapci'!L8</f>
        <v>CHP21</v>
      </c>
      <c r="B7" s="98" t="str">
        <f>IF(OR(ISERROR('KO Chlapci'!M8)=TRUE,'KO Chlapci'!M8=0),"",'KO Chlapci'!M8)</f>
        <v>SUCHA Tomáš</v>
      </c>
    </row>
    <row r="8" spans="1:2">
      <c r="A8" s="98" t="str">
        <f>'KO Chlapci'!L9</f>
        <v>CHP92</v>
      </c>
      <c r="B8" s="98" t="str">
        <f>IF(OR(ISERROR('KO Chlapci'!M9)=TRUE,'KO Chlapci'!M9=0),"",'KO Chlapci'!M9)</f>
        <v>CYPRICH Samuel</v>
      </c>
    </row>
    <row r="9" spans="1:2">
      <c r="A9" s="98" t="str">
        <f>'KO Chlapci'!L10</f>
        <v>CHP22</v>
      </c>
      <c r="B9" s="98" t="str">
        <f>IF(OR(ISERROR('KO Chlapci'!M10)=TRUE,'KO Chlapci'!M10=0),"",'KO Chlapci'!M10)</f>
        <v>CYPRICH Samuel</v>
      </c>
    </row>
    <row r="10" spans="1:2">
      <c r="A10" s="98" t="str">
        <f>'KO Chlapci'!L11</f>
        <v>CHP151</v>
      </c>
      <c r="B10" s="98" t="str">
        <f>IF(OR(ISERROR('KO Chlapci'!M11)=TRUE,'KO Chlapci'!M11=0),"",'KO Chlapci'!M11)</f>
        <v>DIKO Dalibor</v>
      </c>
    </row>
    <row r="11" spans="1:2">
      <c r="A11" s="98" t="str">
        <f>'KO Chlapci'!L12</f>
        <v>CHP31</v>
      </c>
      <c r="B11" s="98" t="str">
        <f>IF(OR(ISERROR('KO Chlapci'!M12)=TRUE,'KO Chlapci'!M12=0),"",'KO Chlapci'!M12)</f>
        <v>PAPÁNEK Martin</v>
      </c>
    </row>
    <row r="12" spans="1:2">
      <c r="A12" s="98" t="str">
        <f>'KO Chlapci'!L13</f>
        <v>CHP101</v>
      </c>
      <c r="B12" s="98" t="str">
        <f>IF(OR(ISERROR('KO Chlapci'!M13)=TRUE,'KO Chlapci'!M13=0),"",'KO Chlapci'!M13)</f>
        <v>HURKA Rastislav</v>
      </c>
    </row>
    <row r="13" spans="1:2">
      <c r="A13" s="98" t="str">
        <f>'KO Chlapci'!L14</f>
        <v>CHP32</v>
      </c>
      <c r="B13" s="98" t="str">
        <f>IF(OR(ISERROR('KO Chlapci'!M14)=TRUE,'KO Chlapci'!M14=0),"",'KO Chlapci'!M14)</f>
        <v>HURKA Rastislav</v>
      </c>
    </row>
    <row r="14" spans="1:2">
      <c r="A14" s="98" t="str">
        <f>'KO Chlapci'!L15</f>
        <v>CHP132</v>
      </c>
      <c r="B14" s="98" t="str">
        <f>IF(OR(ISERROR('KO Chlapci'!M15)=TRUE,'KO Chlapci'!M15=0),"",'KO Chlapci'!M15)</f>
        <v>FEČO Samuel</v>
      </c>
    </row>
    <row r="15" spans="1:2">
      <c r="A15" s="98" t="str">
        <f>'KO Chlapci'!L16</f>
        <v>CHP41</v>
      </c>
      <c r="B15" s="98" t="str">
        <f>IF(OR(ISERROR('KO Chlapci'!M16)=TRUE,'KO Chlapci'!M16=0),"",'KO Chlapci'!M16)</f>
        <v>GREGOR Jakub</v>
      </c>
    </row>
    <row r="16" spans="1:2">
      <c r="A16" s="98" t="str">
        <f>'KO Chlapci'!L17</f>
        <v>CHP102</v>
      </c>
      <c r="B16" s="98" t="str">
        <f>IF(OR(ISERROR('KO Chlapci'!M17)=TRUE,'KO Chlapci'!M17=0),"",'KO Chlapci'!M17)</f>
        <v>FEČO Samuel</v>
      </c>
    </row>
    <row r="17" spans="1:2">
      <c r="A17" s="98" t="str">
        <f>'KO Chlapci'!L18</f>
        <v>CHP42</v>
      </c>
      <c r="B17" s="98" t="str">
        <f>IF(OR(ISERROR('KO Chlapci'!M18)=TRUE,'KO Chlapci'!M18=0),"",'KO Chlapci'!M18)</f>
        <v>FEČO Samuel</v>
      </c>
    </row>
    <row r="18" spans="1:2">
      <c r="A18" s="98">
        <f>'KO Chlapci'!L19</f>
        <v>0</v>
      </c>
      <c r="B18" s="98" t="str">
        <f>IF(OR(ISERROR('KO Chlapci'!M19)=TRUE,'KO Chlapci'!M19=0),"",'KO Chlapci'!M19)</f>
        <v/>
      </c>
    </row>
    <row r="19" spans="1:2">
      <c r="A19" s="98" t="str">
        <f>'KO Chlapci'!L20</f>
        <v>CHP51</v>
      </c>
      <c r="B19" s="98" t="str">
        <f>IF(OR(ISERROR('KO Chlapci'!M20)=TRUE,'KO Chlapci'!M20=0),"",'KO Chlapci'!M20)</f>
        <v>PINDURA Tobiáš</v>
      </c>
    </row>
    <row r="20" spans="1:2">
      <c r="A20" s="98" t="str">
        <f>'KO Chlapci'!L21</f>
        <v>CHP111</v>
      </c>
      <c r="B20" s="98" t="str">
        <f>IF(OR(ISERROR('KO Chlapci'!M21)=TRUE,'KO Chlapci'!M21=0),"",'KO Chlapci'!M21)</f>
        <v>PINDURA Tobiáš</v>
      </c>
    </row>
    <row r="21" spans="1:2">
      <c r="A21" s="98" t="str">
        <f>'KO Chlapci'!L22</f>
        <v>CHP52</v>
      </c>
      <c r="B21" s="98" t="str">
        <f>IF(OR(ISERROR('KO Chlapci'!M22)=TRUE,'KO Chlapci'!M22=0),"",'KO Chlapci'!M22)</f>
        <v>MILAN Martin</v>
      </c>
    </row>
    <row r="22" spans="1:2">
      <c r="A22" s="98" t="str">
        <f>'KO Chlapci'!L23</f>
        <v>CHP141</v>
      </c>
      <c r="B22" s="98" t="str">
        <f>IF(OR(ISERROR('KO Chlapci'!M23)=TRUE,'KO Chlapci'!M23=0),"",'KO Chlapci'!M23)</f>
        <v>PINDURA Tobiáš</v>
      </c>
    </row>
    <row r="23" spans="1:2">
      <c r="A23" s="98" t="str">
        <f>'KO Chlapci'!L24</f>
        <v>CHP61</v>
      </c>
      <c r="B23" s="98" t="str">
        <f>IF(OR(ISERROR('KO Chlapci'!M24)=TRUE,'KO Chlapci'!M24=0),"",'KO Chlapci'!M24)</f>
        <v>FUSEK Patrik</v>
      </c>
    </row>
    <row r="24" spans="1:2">
      <c r="A24" s="98" t="str">
        <f>'KO Chlapci'!L25</f>
        <v>CHP112</v>
      </c>
      <c r="B24" s="98" t="str">
        <f>IF(OR(ISERROR('KO Chlapci'!M25)=TRUE,'KO Chlapci'!M25=0),"",'KO Chlapci'!M25)</f>
        <v>PETRÍK Filip</v>
      </c>
    </row>
    <row r="25" spans="1:2">
      <c r="A25" s="98" t="str">
        <f>'KO Chlapci'!L26</f>
        <v>CHP62</v>
      </c>
      <c r="B25" s="98" t="str">
        <f>IF(OR(ISERROR('KO Chlapci'!M26)=TRUE,'KO Chlapci'!M26=0),"",'KO Chlapci'!M26)</f>
        <v>PETRÍK Filip</v>
      </c>
    </row>
    <row r="26" spans="1:2">
      <c r="A26" s="98" t="str">
        <f>'KO Chlapci'!L27</f>
        <v>CHP152</v>
      </c>
      <c r="B26" s="98" t="str">
        <f>IF(OR(ISERROR('KO Chlapci'!M27)=TRUE,'KO Chlapci'!M27=0),"",'KO Chlapci'!M27)</f>
        <v>PINDURA Tobiáš</v>
      </c>
    </row>
    <row r="27" spans="1:2">
      <c r="A27" s="98" t="str">
        <f>'KO Chlapci'!L28</f>
        <v>CHP71</v>
      </c>
      <c r="B27" s="98" t="str">
        <f>IF(OR(ISERROR('KO Chlapci'!M28)=TRUE,'KO Chlapci'!M28=0),"",'KO Chlapci'!M28)</f>
        <v>FEČO Michal</v>
      </c>
    </row>
    <row r="28" spans="1:2">
      <c r="A28" s="98" t="str">
        <f>'KO Chlapci'!L29</f>
        <v>CHP121</v>
      </c>
      <c r="B28" s="98" t="str">
        <f>IF(OR(ISERROR('KO Chlapci'!M29)=TRUE,'KO Chlapci'!M29=0),"",'KO Chlapci'!M29)</f>
        <v>KLAJBER Adam</v>
      </c>
    </row>
    <row r="29" spans="1:2">
      <c r="A29" s="98" t="str">
        <f>'KO Chlapci'!L30</f>
        <v>CHP72</v>
      </c>
      <c r="B29" s="98" t="str">
        <f>IF(OR(ISERROR('KO Chlapci'!M30)=TRUE,'KO Chlapci'!M30=0),"",'KO Chlapci'!M30)</f>
        <v>KLAJBER Adam</v>
      </c>
    </row>
    <row r="30" spans="1:2">
      <c r="A30" s="98" t="str">
        <f>'KO Chlapci'!L31</f>
        <v>CHP142</v>
      </c>
      <c r="B30" s="98" t="str">
        <f>IF(OR(ISERROR('KO Chlapci'!M31)=TRUE,'KO Chlapci'!M31=0),"",'KO Chlapci'!M31)</f>
        <v>KYSEL Martin</v>
      </c>
    </row>
    <row r="31" spans="1:2">
      <c r="A31" s="98" t="str">
        <f>'KO Chlapci'!L32</f>
        <v>CHP81</v>
      </c>
      <c r="B31" s="98" t="str">
        <f>IF(OR(ISERROR('KO Chlapci'!M32)=TRUE,'KO Chlapci'!M32=0),"",'KO Chlapci'!M32)</f>
        <v>IVANČO Félix</v>
      </c>
    </row>
    <row r="32" spans="1:2">
      <c r="A32" s="98" t="str">
        <f>'KO Chlapci'!L33</f>
        <v>CHP122</v>
      </c>
      <c r="B32" s="98" t="str">
        <f>IF(OR(ISERROR('KO Chlapci'!M33)=TRUE,'KO Chlapci'!M33=0),"",'KO Chlapci'!M33)</f>
        <v>KYSEL Martin</v>
      </c>
    </row>
    <row r="33" spans="1:2">
      <c r="A33" s="98" t="str">
        <f>'KO Chlapci'!L34</f>
        <v>CHP82</v>
      </c>
      <c r="B33" s="98" t="str">
        <f>IF(OR(ISERROR('KO Chlapci'!M34)=TRUE,'KO Chlapci'!M34=0),"",'KO Chlapci'!M34)</f>
        <v>KYSEL Martin</v>
      </c>
    </row>
    <row r="34" spans="1:2">
      <c r="A34" s="98" t="str">
        <f>'KO dievcata'!L4</f>
        <v>DP11</v>
      </c>
      <c r="B34" s="98" t="str">
        <f>IF(OR(ISERROR('KO dievcata'!M4)=TRUE,'KO dievcata'!M4=0),"",'KO dievcata'!M4)</f>
        <v>LABOŠOVÁ Ema</v>
      </c>
    </row>
    <row r="35" spans="1:2">
      <c r="A35" s="98" t="str">
        <f>'KO dievcata'!L5</f>
        <v>DP91</v>
      </c>
      <c r="B35" s="98" t="str">
        <f>IF(OR(ISERROR('KO dievcata'!M5)=TRUE,'KO dievcata'!M5=0),"",'KO dievcata'!M5)</f>
        <v>LABOŠOVÁ Ema</v>
      </c>
    </row>
    <row r="36" spans="1:2">
      <c r="A36" s="98" t="str">
        <f>'KO dievcata'!L6</f>
        <v>DP12</v>
      </c>
      <c r="B36" s="98" t="str">
        <f>IF(OR(ISERROR('KO dievcata'!M6)=TRUE,'KO dievcata'!M6=0),"",'KO dievcata'!M6)</f>
        <v>MIKULOVÁ Terézia</v>
      </c>
    </row>
    <row r="37" spans="1:2">
      <c r="A37" s="98" t="str">
        <f>'KO dievcata'!L7</f>
        <v>DP131</v>
      </c>
      <c r="B37" s="98" t="str">
        <f>IF(OR(ISERROR('KO dievcata'!M7)=TRUE,'KO dievcata'!M7=0),"",'KO dievcata'!M7)</f>
        <v>LABOŠOVÁ Ema</v>
      </c>
    </row>
    <row r="38" spans="1:2">
      <c r="A38" s="98" t="str">
        <f>'KO dievcata'!L8</f>
        <v>DP21</v>
      </c>
      <c r="B38" s="98" t="str">
        <f>IF(OR(ISERROR('KO dievcata'!M8)=TRUE,'KO dievcata'!M8=0),"",'KO dievcata'!M8)</f>
        <v>DZUROVÁ Lenka</v>
      </c>
    </row>
    <row r="39" spans="1:2">
      <c r="A39" s="98" t="str">
        <f>'KO dievcata'!L9</f>
        <v>DP92</v>
      </c>
      <c r="B39" s="98" t="str">
        <f>IF(OR(ISERROR('KO dievcata'!M9)=TRUE,'KO dievcata'!M9=0),"",'KO dievcata'!M9)</f>
        <v>TEREZKOVÁ Jana</v>
      </c>
    </row>
    <row r="40" spans="1:2">
      <c r="A40" s="98" t="str">
        <f>'KO dievcata'!L10</f>
        <v>DP22</v>
      </c>
      <c r="B40" s="98" t="str">
        <f>IF(OR(ISERROR('KO dievcata'!M10)=TRUE,'KO dievcata'!M10=0),"",'KO dievcata'!M10)</f>
        <v>TEREZKOVÁ Jana</v>
      </c>
    </row>
    <row r="41" spans="1:2">
      <c r="A41" s="98" t="str">
        <f>'KO dievcata'!L11</f>
        <v>DP151</v>
      </c>
      <c r="B41" s="98" t="str">
        <f>IF(OR(ISERROR('KO dievcata'!M11)=TRUE,'KO dievcata'!M11=0),"",'KO dievcata'!M11)</f>
        <v>LABOŠOVÁ Ema</v>
      </c>
    </row>
    <row r="42" spans="1:2">
      <c r="A42" s="98" t="str">
        <f>'KO dievcata'!L12</f>
        <v>DP31</v>
      </c>
      <c r="B42" s="98" t="str">
        <f>IF(OR(ISERROR('KO dievcata'!M12)=TRUE,'KO dievcata'!M12=0),"",'KO dievcata'!M12)</f>
        <v>MAJERSKÁ Alena</v>
      </c>
    </row>
    <row r="43" spans="1:2">
      <c r="A43" s="98" t="str">
        <f>'KO dievcata'!L13</f>
        <v>DP101</v>
      </c>
      <c r="B43" s="98" t="str">
        <f>IF(OR(ISERROR('KO dievcata'!M13)=TRUE,'KO dievcata'!M13=0),"",'KO dievcata'!M13)</f>
        <v>MAJERSKÁ Alena</v>
      </c>
    </row>
    <row r="44" spans="1:2">
      <c r="A44" s="98" t="str">
        <f>'KO dievcata'!L14</f>
        <v>DP32</v>
      </c>
      <c r="B44" s="98" t="str">
        <f>IF(OR(ISERROR('KO dievcata'!M14)=TRUE,'KO dievcata'!M14=0),"",'KO dievcata'!M14)</f>
        <v>PAPCUNOVÁ Viktória</v>
      </c>
    </row>
    <row r="45" spans="1:2">
      <c r="A45" s="98" t="str">
        <f>'KO dievcata'!L15</f>
        <v>DP132</v>
      </c>
      <c r="B45" s="98" t="str">
        <f>IF(OR(ISERROR('KO dievcata'!M15)=TRUE,'KO dievcata'!M15=0),"",'KO dievcata'!M15)</f>
        <v>MAJERSKÁ Alena</v>
      </c>
    </row>
    <row r="46" spans="1:2">
      <c r="A46" s="98" t="str">
        <f>'KO dievcata'!L16</f>
        <v>DP41</v>
      </c>
      <c r="B46" s="98" t="str">
        <f>IF(OR(ISERROR('KO dievcata'!M16)=TRUE,'KO dievcata'!M16=0),"",'KO dievcata'!M16)</f>
        <v>SLOBODNÍKOVÁ Hana</v>
      </c>
    </row>
    <row r="47" spans="1:2">
      <c r="A47" s="98" t="str">
        <f>'KO dievcata'!L17</f>
        <v>DP102</v>
      </c>
      <c r="B47" s="98" t="str">
        <f>IF(OR(ISERROR('KO dievcata'!M17)=TRUE,'KO dievcata'!M17=0),"",'KO dievcata'!M17)</f>
        <v>SLOBODNÍKOVÁ Hana</v>
      </c>
    </row>
    <row r="48" spans="1:2">
      <c r="A48" s="98" t="str">
        <f>'KO dievcata'!L18</f>
        <v>DP42</v>
      </c>
      <c r="B48" s="98" t="str">
        <f>IF(OR(ISERROR('KO dievcata'!M18)=TRUE,'KO dievcata'!M18=0),"",'KO dievcata'!M18)</f>
        <v>DZELINSKA Júlia</v>
      </c>
    </row>
    <row r="49" spans="1:2">
      <c r="A49" s="98">
        <f>'KO dievcata'!L19</f>
        <v>0</v>
      </c>
      <c r="B49" s="98" t="str">
        <f>IF(OR(ISERROR('KO dievcata'!M19)=TRUE,'KO dievcata'!M19=0),"",'KO dievcata'!M19)</f>
        <v/>
      </c>
    </row>
    <row r="50" spans="1:2">
      <c r="A50" s="98" t="str">
        <f>'KO dievcata'!L20</f>
        <v>DP51</v>
      </c>
      <c r="B50" s="98" t="str">
        <f>IF(OR(ISERROR('KO dievcata'!M20)=TRUE,'KO dievcata'!M20=0),"",'KO dievcata'!M20)</f>
        <v>ŠINKAROVÁ Dáša</v>
      </c>
    </row>
    <row r="51" spans="1:2">
      <c r="A51" s="98" t="str">
        <f>'KO dievcata'!L21</f>
        <v>DP111</v>
      </c>
      <c r="B51" s="98" t="str">
        <f>IF(OR(ISERROR('KO dievcata'!M21)=TRUE,'KO dievcata'!M21=0),"",'KO dievcata'!M21)</f>
        <v>ŠINKAROVÁ Dáša</v>
      </c>
    </row>
    <row r="52" spans="1:2">
      <c r="A52" s="98" t="str">
        <f>'KO dievcata'!L22</f>
        <v>DP52</v>
      </c>
      <c r="B52" s="98" t="str">
        <f>IF(OR(ISERROR('KO dievcata'!M22)=TRUE,'KO dievcata'!M22=0),"",'KO dievcata'!M22)</f>
        <v>CHYLOVÁ Sabína</v>
      </c>
    </row>
    <row r="53" spans="1:2">
      <c r="A53" s="98" t="str">
        <f>'KO dievcata'!L23</f>
        <v>DP141</v>
      </c>
      <c r="B53" s="98" t="str">
        <f>IF(OR(ISERROR('KO dievcata'!M23)=TRUE,'KO dievcata'!M23=0),"",'KO dievcata'!M23)</f>
        <v>ŠINKAROVÁ Dáša</v>
      </c>
    </row>
    <row r="54" spans="1:2">
      <c r="A54" s="98" t="str">
        <f>'KO dievcata'!L24</f>
        <v>DP61</v>
      </c>
      <c r="B54" s="98" t="str">
        <f>IF(OR(ISERROR('KO dievcata'!M24)=TRUE,'KO dievcata'!M24=0),"",'KO dievcata'!M24)</f>
        <v>GORFOLOVÁ Viktória</v>
      </c>
    </row>
    <row r="55" spans="1:2">
      <c r="A55" s="98" t="str">
        <f>'KO dievcata'!L25</f>
        <v>DP112</v>
      </c>
      <c r="B55" s="98" t="str">
        <f>IF(OR(ISERROR('KO dievcata'!M25)=TRUE,'KO dievcata'!M25=0),"",'KO dievcata'!M25)</f>
        <v>DIVINSKÁ Natália</v>
      </c>
    </row>
    <row r="56" spans="1:2">
      <c r="A56" s="98" t="str">
        <f>'KO dievcata'!L26</f>
        <v>DP62</v>
      </c>
      <c r="B56" s="98" t="str">
        <f>IF(OR(ISERROR('KO dievcata'!M26)=TRUE,'KO dievcata'!M26=0),"",'KO dievcata'!M26)</f>
        <v>DIVINSKÁ Natália</v>
      </c>
    </row>
    <row r="57" spans="1:2">
      <c r="A57" s="98" t="str">
        <f>'KO dievcata'!L27</f>
        <v>DP152</v>
      </c>
      <c r="B57" s="98" t="str">
        <f>IF(OR(ISERROR('KO dievcata'!M27)=TRUE,'KO dievcata'!M27=0),"",'KO dievcata'!M27)</f>
        <v>ŠINKAROVÁ Dáša</v>
      </c>
    </row>
    <row r="58" spans="1:2">
      <c r="A58" s="98" t="str">
        <f>'KO dievcata'!L28</f>
        <v>DP71</v>
      </c>
      <c r="B58" s="98" t="str">
        <f>IF(OR(ISERROR('KO dievcata'!M28)=TRUE,'KO dievcata'!M28=0),"",'KO dievcata'!M28)</f>
        <v>ŠVAJDLENKOVÁ Laura</v>
      </c>
    </row>
    <row r="59" spans="1:2">
      <c r="A59" s="98" t="str">
        <f>'KO dievcata'!L29</f>
        <v>DP121</v>
      </c>
      <c r="B59" s="98" t="str">
        <f>IF(OR(ISERROR('KO dievcata'!M29)=TRUE,'KO dievcata'!M29=0),"",'KO dievcata'!M29)</f>
        <v>ŠVAJDLENKOVÁ Laura</v>
      </c>
    </row>
    <row r="60" spans="1:2">
      <c r="A60" s="98" t="str">
        <f>'KO dievcata'!L30</f>
        <v>DP72</v>
      </c>
      <c r="B60" s="98" t="str">
        <f>IF(OR(ISERROR('KO dievcata'!M30)=TRUE,'KO dievcata'!M30=0),"",'KO dievcata'!M30)</f>
        <v>VOJTASOVA Patrícia</v>
      </c>
    </row>
    <row r="61" spans="1:2">
      <c r="A61" s="98" t="str">
        <f>'KO dievcata'!L31</f>
        <v>DP142</v>
      </c>
      <c r="B61" s="98" t="str">
        <f>IF(OR(ISERROR('KO dievcata'!M31)=TRUE,'KO dievcata'!M31=0),"",'KO dievcata'!M31)</f>
        <v>PEKOVÁ Zuzana</v>
      </c>
    </row>
    <row r="62" spans="1:2">
      <c r="A62" s="98" t="str">
        <f>'KO dievcata'!L32</f>
        <v>DP81</v>
      </c>
      <c r="B62" s="98" t="str">
        <f>IF(OR(ISERROR('KO dievcata'!M32)=TRUE,'KO dievcata'!M32=0),"",'KO dievcata'!M32)</f>
        <v>HUDÁKOVÁ Ivana</v>
      </c>
    </row>
    <row r="63" spans="1:2">
      <c r="A63" s="98" t="str">
        <f>'KO dievcata'!L33</f>
        <v>DP122</v>
      </c>
      <c r="B63" s="98" t="str">
        <f>IF(OR(ISERROR('KO dievcata'!M33)=TRUE,'KO dievcata'!M33=0),"",'KO dievcata'!M33)</f>
        <v>PEKOVÁ Zuzana</v>
      </c>
    </row>
    <row r="64" spans="1:2">
      <c r="A64" s="98" t="str">
        <f>'KO dievcata'!L34</f>
        <v>DP82</v>
      </c>
      <c r="B64" s="98" t="str">
        <f>IF(OR(ISERROR('KO dievcata'!M34)=TRUE,'KO dievcata'!M34=0),"",'KO dievcata'!M34)</f>
        <v>PEKOVÁ Zuzana</v>
      </c>
    </row>
    <row r="65" spans="1:2">
      <c r="A65" s="98" t="str">
        <f>'CH4'!L4</f>
        <v>CH4P11</v>
      </c>
      <c r="B65" s="98" t="str">
        <f>IF(OR(ISERROR('CH4'!M4)=TRUE,'CH4'!M4=0),"",'CH4'!M4)</f>
        <v>DIKO / KYSEL</v>
      </c>
    </row>
    <row r="66" spans="1:2">
      <c r="A66" s="98" t="str">
        <f>'CH4'!L5</f>
        <v>CH4P91</v>
      </c>
      <c r="B66" s="98" t="str">
        <f>IF(OR(ISERROR('CH4'!M5)=TRUE,'CH4'!M5=0),"",'CH4'!M5)</f>
        <v>DIKO / KYSEL</v>
      </c>
    </row>
    <row r="67" spans="1:2">
      <c r="A67" s="98" t="str">
        <f>'CH4'!L6</f>
        <v>CH4P12</v>
      </c>
      <c r="B67" s="98" t="str">
        <f>IF(OR(ISERROR('CH4'!M6)=TRUE,'CH4'!M6=0),"",'CH4'!M6)</f>
        <v>VICO / KLUČÁR</v>
      </c>
    </row>
    <row r="68" spans="1:2">
      <c r="A68" s="98" t="str">
        <f>'CH4'!L7</f>
        <v>CH4P131</v>
      </c>
      <c r="B68" s="98" t="str">
        <f>IF(OR(ISERROR('CH4'!M7)=TRUE,'CH4'!M7=0),"",'CH4'!M7)</f>
        <v>DIKO / KYSEL</v>
      </c>
    </row>
    <row r="69" spans="1:2">
      <c r="A69" s="98" t="str">
        <f>'CH4'!L8</f>
        <v>CH4P21</v>
      </c>
      <c r="B69" s="98" t="str">
        <f>IF(OR(ISERROR('CH4'!M8)=TRUE,'CH4'!M8=0),"",'CH4'!M8)</f>
        <v>PACH / DELINČAK</v>
      </c>
    </row>
    <row r="70" spans="1:2">
      <c r="A70" s="98" t="str">
        <f>'CH4'!L9</f>
        <v>CH4P92</v>
      </c>
      <c r="B70" s="98" t="str">
        <f>IF(OR(ISERROR('CH4'!M9)=TRUE,'CH4'!M9=0),"",'CH4'!M9)</f>
        <v>PACH / DELINČAK</v>
      </c>
    </row>
    <row r="71" spans="1:2">
      <c r="A71" s="98" t="str">
        <f>'CH4'!L10</f>
        <v>CH4P22</v>
      </c>
      <c r="B71" s="98" t="str">
        <f>IF(OR(ISERROR('CH4'!M10)=TRUE,'CH4'!M10=0),"",'CH4'!M10)</f>
        <v>KLAJBER / IVANČO</v>
      </c>
    </row>
    <row r="72" spans="1:2">
      <c r="A72" s="98" t="str">
        <f>'CH4'!L11</f>
        <v>CH4P151</v>
      </c>
      <c r="B72" s="98" t="str">
        <f>IF(OR(ISERROR('CH4'!M11)=TRUE,'CH4'!M11=0),"",'CH4'!M11)</f>
        <v>DIKO / KYSEL</v>
      </c>
    </row>
    <row r="73" spans="1:2">
      <c r="A73" s="98" t="str">
        <f>'CH4'!L12</f>
        <v>CH4P31</v>
      </c>
      <c r="B73" s="98" t="str">
        <f>IF(OR(ISERROR('CH4'!M12)=TRUE,'CH4'!M12=0),"",'CH4'!M12)</f>
        <v>FUSEK / FREUND</v>
      </c>
    </row>
    <row r="74" spans="1:2">
      <c r="A74" s="98" t="str">
        <f>'CH4'!L13</f>
        <v>CH4P101</v>
      </c>
      <c r="B74" s="98" t="str">
        <f>IF(OR(ISERROR('CH4'!M13)=TRUE,'CH4'!M13=0),"",'CH4'!M13)</f>
        <v>FUSEK / FREUND</v>
      </c>
    </row>
    <row r="75" spans="1:2">
      <c r="A75" s="98" t="str">
        <f>'CH4'!L14</f>
        <v>CH4P32</v>
      </c>
      <c r="B75" s="98" t="str">
        <f>IF(OR(ISERROR('CH4'!M14)=TRUE,'CH4'!M14=0),"",'CH4'!M14)</f>
        <v>MACKO / GREGOR</v>
      </c>
    </row>
    <row r="76" spans="1:2">
      <c r="A76" s="98" t="str">
        <f>'CH4'!L15</f>
        <v>CH4P132</v>
      </c>
      <c r="B76" s="98" t="str">
        <f>IF(OR(ISERROR('CH4'!M15)=TRUE,'CH4'!M15=0),"",'CH4'!M15)</f>
        <v>FEČO / PAPÁNEK</v>
      </c>
    </row>
    <row r="77" spans="1:2">
      <c r="A77" s="98" t="str">
        <f>'CH4'!L16</f>
        <v>CH4P41</v>
      </c>
      <c r="B77" s="98" t="str">
        <f>IF(OR(ISERROR('CH4'!M16)=TRUE,'CH4'!M16=0),"",'CH4'!M16)</f>
        <v>FEČO / KAPUSTA</v>
      </c>
    </row>
    <row r="78" spans="1:2">
      <c r="A78" s="98" t="str">
        <f>'CH4'!L17</f>
        <v>CH4P102</v>
      </c>
      <c r="B78" s="98" t="str">
        <f>IF(OR(ISERROR('CH4'!M17)=TRUE,'CH4'!M17=0),"",'CH4'!M17)</f>
        <v>FEČO / PAPÁNEK</v>
      </c>
    </row>
    <row r="79" spans="1:2">
      <c r="A79" s="98" t="str">
        <f>'CH4'!L18</f>
        <v>CH4P42</v>
      </c>
      <c r="B79" s="98" t="str">
        <f>IF(OR(ISERROR('CH4'!M18)=TRUE,'CH4'!M18=0),"",'CH4'!M18)</f>
        <v>FEČO / PAPÁNEK</v>
      </c>
    </row>
    <row r="80" spans="1:2">
      <c r="A80" s="98">
        <f>'CH4'!L19</f>
        <v>0</v>
      </c>
      <c r="B80" s="98" t="str">
        <f>IF(OR(ISERROR('CH4'!M19)=TRUE,'CH4'!M19=0),"",'CH4'!M19)</f>
        <v/>
      </c>
    </row>
    <row r="81" spans="1:2">
      <c r="A81" s="98" t="str">
        <f>'CH4'!L20</f>
        <v>CH4P51</v>
      </c>
      <c r="B81" s="98" t="str">
        <f>IF(OR(ISERROR('CH4'!M20)=TRUE,'CH4'!M20=0),"",'CH4'!M20)</f>
        <v>PETRÍK / TUREK</v>
      </c>
    </row>
    <row r="82" spans="1:2">
      <c r="A82" s="98" t="str">
        <f>'CH4'!L21</f>
        <v>CH4P111</v>
      </c>
      <c r="B82" s="98" t="str">
        <f>IF(OR(ISERROR('CH4'!M21)=TRUE,'CH4'!M21=0),"",'CH4'!M21)</f>
        <v>PETRÍK / TUREK</v>
      </c>
    </row>
    <row r="83" spans="1:2">
      <c r="A83" s="98" t="str">
        <f>'CH4'!L22</f>
        <v>CH4P52</v>
      </c>
      <c r="B83" s="98" t="str">
        <f>IF(OR(ISERROR('CH4'!M22)=TRUE,'CH4'!M22=0),"",'CH4'!M22)</f>
        <v>SUCHA / MIKLUŠČÁK</v>
      </c>
    </row>
    <row r="84" spans="1:2">
      <c r="A84" s="98" t="str">
        <f>'CH4'!L23</f>
        <v>CH4P141</v>
      </c>
      <c r="B84" s="98" t="str">
        <f>IF(OR(ISERROR('CH4'!M23)=TRUE,'CH4'!M23=0),"",'CH4'!M23)</f>
        <v>ĎANOVSKÝ / MILAN</v>
      </c>
    </row>
    <row r="85" spans="1:2">
      <c r="A85" s="98" t="str">
        <f>'CH4'!L24</f>
        <v>CH4P61</v>
      </c>
      <c r="B85" s="98" t="str">
        <f>IF(OR(ISERROR('CH4'!M24)=TRUE,'CH4'!M24=0),"",'CH4'!M24)</f>
        <v>TRŇAN / TRUBÁČIK</v>
      </c>
    </row>
    <row r="86" spans="1:2">
      <c r="A86" s="98" t="str">
        <f>'CH4'!L25</f>
        <v>CH4P112</v>
      </c>
      <c r="B86" s="98" t="str">
        <f>IF(OR(ISERROR('CH4'!M25)=TRUE,'CH4'!M25=0),"",'CH4'!M25)</f>
        <v>ĎANOVSKÝ / MILAN</v>
      </c>
    </row>
    <row r="87" spans="1:2">
      <c r="A87" s="98" t="str">
        <f>'CH4'!L26</f>
        <v>CH4P62</v>
      </c>
      <c r="B87" s="98" t="str">
        <f>IF(OR(ISERROR('CH4'!M26)=TRUE,'CH4'!M26=0),"",'CH4'!M26)</f>
        <v>ĎANOVSKÝ / MILAN</v>
      </c>
    </row>
    <row r="88" spans="1:2">
      <c r="A88" s="98" t="str">
        <f>'CH4'!L27</f>
        <v>CH4P152</v>
      </c>
      <c r="B88" s="98" t="str">
        <f>IF(OR(ISERROR('CH4'!M27)=TRUE,'CH4'!M27=0),"",'CH4'!M27)</f>
        <v>ĎANOVSKÝ / MILAN</v>
      </c>
    </row>
    <row r="89" spans="1:2">
      <c r="A89" s="98" t="str">
        <f>'CH4'!L28</f>
        <v>CH4P71</v>
      </c>
      <c r="B89" s="98" t="str">
        <f>IF(OR(ISERROR('CH4'!M28)=TRUE,'CH4'!M28=0),"",'CH4'!M28)</f>
        <v>HURKA / JALOVECKÝ</v>
      </c>
    </row>
    <row r="90" spans="1:2">
      <c r="A90" s="98" t="str">
        <f>'CH4'!L29</f>
        <v>CH4P121</v>
      </c>
      <c r="B90" s="98" t="str">
        <f>IF(OR(ISERROR('CH4'!M29)=TRUE,'CH4'!M29=0),"",'CH4'!M29)</f>
        <v>HURKA / JALOVECKÝ</v>
      </c>
    </row>
    <row r="91" spans="1:2">
      <c r="A91" s="98" t="str">
        <f>'CH4'!L30</f>
        <v>CH4P72</v>
      </c>
      <c r="B91" s="98" t="str">
        <f>IF(OR(ISERROR('CH4'!M30)=TRUE,'CH4'!M30=0),"",'CH4'!M30)</f>
        <v>ZAJAC / MAKÚCH</v>
      </c>
    </row>
    <row r="92" spans="1:2">
      <c r="A92" s="98" t="str">
        <f>'CH4'!L31</f>
        <v>CH4P142</v>
      </c>
      <c r="B92" s="98" t="str">
        <f>IF(OR(ISERROR('CH4'!M31)=TRUE,'CH4'!M31=0),"",'CH4'!M31)</f>
        <v>HURKA / JALOVECKÝ</v>
      </c>
    </row>
    <row r="93" spans="1:2">
      <c r="A93" s="98" t="str">
        <f>'CH4'!L32</f>
        <v>CH4P81</v>
      </c>
      <c r="B93" s="98" t="str">
        <f>IF(OR(ISERROR('CH4'!M32)=TRUE,'CH4'!M32=0),"",'CH4'!M32)</f>
        <v>MARUNIAK / KALINKA</v>
      </c>
    </row>
    <row r="94" spans="1:2">
      <c r="A94" s="98" t="str">
        <f>'CH4'!L33</f>
        <v>CH4P122</v>
      </c>
      <c r="B94" s="98" t="str">
        <f>IF(OR(ISERROR('CH4'!M33)=TRUE,'CH4'!M33=0),"",'CH4'!M33)</f>
        <v>PINDURA / CYPRICH</v>
      </c>
    </row>
    <row r="95" spans="1:2">
      <c r="A95" s="98" t="str">
        <f>'CH4'!L34</f>
        <v>CH4P82</v>
      </c>
      <c r="B95" s="98" t="str">
        <f>IF(OR(ISERROR('CH4'!M34)=TRUE,'CH4'!M34=0),"",'CH4'!M34)</f>
        <v>PINDURA / CYPRICH</v>
      </c>
    </row>
    <row r="96" spans="1:2">
      <c r="A96" s="98" t="str">
        <f>'D4'!L4</f>
        <v>D4P11</v>
      </c>
      <c r="B96" s="98" t="str">
        <f>IF(OR(ISERROR('D4'!M4)=TRUE,'D4'!M4=0),"",'D4'!M4)</f>
        <v>LABOŠOVÁ / ŠINKAROVÁ</v>
      </c>
    </row>
    <row r="97" spans="1:2">
      <c r="A97" s="98" t="str">
        <f>'D4'!L5</f>
        <v>D4P91</v>
      </c>
      <c r="B97" s="98" t="str">
        <f>IF(OR(ISERROR('D4'!M5)=TRUE,'D4'!M5=0),"",'D4'!M5)</f>
        <v>LABOŠOVÁ / ŠINKAROVÁ</v>
      </c>
    </row>
    <row r="98" spans="1:2">
      <c r="A98" s="98" t="str">
        <f>'D4'!L6</f>
        <v>D4P12</v>
      </c>
      <c r="B98" s="98" t="str">
        <f>IF(OR(ISERROR('D4'!M6)=TRUE,'D4'!M6=0),"",'D4'!M6)</f>
        <v>X</v>
      </c>
    </row>
    <row r="99" spans="1:2">
      <c r="A99" s="98" t="str">
        <f>'D4'!L7</f>
        <v>D4P131</v>
      </c>
      <c r="B99" s="98" t="str">
        <f>IF(OR(ISERROR('D4'!M7)=TRUE,'D4'!M7=0),"",'D4'!M7)</f>
        <v>LABOŠOVÁ / ŠINKAROVÁ</v>
      </c>
    </row>
    <row r="100" spans="1:2">
      <c r="A100" s="98" t="str">
        <f>'D4'!L8</f>
        <v>D4P21</v>
      </c>
      <c r="B100" s="98" t="str">
        <f>IF(OR(ISERROR('D4'!M8)=TRUE,'D4'!M8=0),"",'D4'!M8)</f>
        <v>PISARČIKOVÁ / HUDÁKOVÁ</v>
      </c>
    </row>
    <row r="101" spans="1:2">
      <c r="A101" s="98" t="str">
        <f>'D4'!L9</f>
        <v>D4P92</v>
      </c>
      <c r="B101" s="98" t="str">
        <f>IF(OR(ISERROR('D4'!M9)=TRUE,'D4'!M9=0),"",'D4'!M9)</f>
        <v>PISARČIKOVÁ / HUDÁKOVÁ</v>
      </c>
    </row>
    <row r="102" spans="1:2">
      <c r="A102" s="98" t="str">
        <f>'D4'!L10</f>
        <v>D4P22</v>
      </c>
      <c r="B102" s="98" t="str">
        <f>IF(OR(ISERROR('D4'!M10)=TRUE,'D4'!M10=0),"",'D4'!M10)</f>
        <v>CHYLOVÁ / PAPCUNOVÁ</v>
      </c>
    </row>
    <row r="103" spans="1:2">
      <c r="A103" s="98" t="str">
        <f>'D4'!L11</f>
        <v>D4P151</v>
      </c>
      <c r="B103" s="98" t="str">
        <f>IF(OR(ISERROR('D4'!M11)=TRUE,'D4'!M11=0),"",'D4'!M11)</f>
        <v>LABOŠOVÁ / ŠINKAROVÁ</v>
      </c>
    </row>
    <row r="104" spans="1:2">
      <c r="A104" s="98" t="str">
        <f>'D4'!L12</f>
        <v>D4P31</v>
      </c>
      <c r="B104" s="98" t="str">
        <f>IF(OR(ISERROR('D4'!M12)=TRUE,'D4'!M12=0),"",'D4'!M12)</f>
        <v>ŠVAJDLENKOVÁ / HURBANOVÁ</v>
      </c>
    </row>
    <row r="105" spans="1:2">
      <c r="A105" s="98" t="str">
        <f>'D4'!L13</f>
        <v>D4P101</v>
      </c>
      <c r="B105" s="98" t="str">
        <f>IF(OR(ISERROR('D4'!M13)=TRUE,'D4'!M13=0),"",'D4'!M13)</f>
        <v>ŠVAJDLENKOVÁ / HURBANOVÁ</v>
      </c>
    </row>
    <row r="106" spans="1:2">
      <c r="A106" s="98" t="str">
        <f>'D4'!L14</f>
        <v>D4P32</v>
      </c>
      <c r="B106" s="98" t="str">
        <f>IF(OR(ISERROR('D4'!M14)=TRUE,'D4'!M14=0),"",'D4'!M14)</f>
        <v>SISKOVÁ / GORFOLOVÁ</v>
      </c>
    </row>
    <row r="107" spans="1:2">
      <c r="A107" s="98" t="str">
        <f>'D4'!L15</f>
        <v>D4P132</v>
      </c>
      <c r="B107" s="98" t="str">
        <f>IF(OR(ISERROR('D4'!M15)=TRUE,'D4'!M15=0),"",'D4'!M15)</f>
        <v>ŠVAJDLENKOVÁ / HURBANOVÁ</v>
      </c>
    </row>
    <row r="108" spans="1:2">
      <c r="A108" s="98" t="str">
        <f>'D4'!L16</f>
        <v>D4P41</v>
      </c>
      <c r="B108" s="98" t="str">
        <f>IF(OR(ISERROR('D4'!M16)=TRUE,'D4'!M16=0),"",'D4'!M16)</f>
        <v>X</v>
      </c>
    </row>
    <row r="109" spans="1:2">
      <c r="A109" s="98" t="str">
        <f>'D4'!L17</f>
        <v>D4P102</v>
      </c>
      <c r="B109" s="98" t="str">
        <f>IF(OR(ISERROR('D4'!M17)=TRUE,'D4'!M17=0),"",'D4'!M17)</f>
        <v>MAJERSKÁ / GAŠPARÍKOVÁ</v>
      </c>
    </row>
    <row r="110" spans="1:2">
      <c r="A110" s="98" t="str">
        <f>'D4'!L18</f>
        <v>D4P42</v>
      </c>
      <c r="B110" s="98" t="str">
        <f>IF(OR(ISERROR('D4'!M18)=TRUE,'D4'!M18=0),"",'D4'!M18)</f>
        <v>MAJERSKÁ / GAŠPARÍKOVÁ</v>
      </c>
    </row>
    <row r="111" spans="1:2">
      <c r="A111" s="98">
        <f>'D4'!L19</f>
        <v>0</v>
      </c>
      <c r="B111" s="98" t="str">
        <f>IF(OR(ISERROR('D4'!M19)=TRUE,'D4'!M19=0),"",'D4'!M19)</f>
        <v/>
      </c>
    </row>
    <row r="112" spans="1:2">
      <c r="A112" s="98" t="str">
        <f>'D4'!L20</f>
        <v>D4P51</v>
      </c>
      <c r="B112" s="98" t="str">
        <f>IF(OR(ISERROR('D4'!M20)=TRUE,'D4'!M20=0),"",'D4'!M20)</f>
        <v>DZELINSKA / TEREZKOVÁ</v>
      </c>
    </row>
    <row r="113" spans="1:2">
      <c r="A113" s="98" t="str">
        <f>'D4'!L21</f>
        <v>D4P111</v>
      </c>
      <c r="B113" s="98" t="str">
        <f>IF(OR(ISERROR('D4'!M21)=TRUE,'D4'!M21=0),"",'D4'!M21)</f>
        <v>DZELINSKA / TEREZKOVÁ</v>
      </c>
    </row>
    <row r="114" spans="1:2">
      <c r="A114" s="98" t="str">
        <f>'D4'!L22</f>
        <v>D4P52</v>
      </c>
      <c r="B114" s="98" t="str">
        <f>IF(OR(ISERROR('D4'!M22)=TRUE,'D4'!M22=0),"",'D4'!M22)</f>
        <v>X</v>
      </c>
    </row>
    <row r="115" spans="1:2">
      <c r="A115" s="98" t="str">
        <f>'D4'!L23</f>
        <v>D4P141</v>
      </c>
      <c r="B115" s="98" t="str">
        <f>IF(OR(ISERROR('D4'!M23)=TRUE,'D4'!M23=0),"",'D4'!M23)</f>
        <v>DZELINSKA / TEREZKOVÁ</v>
      </c>
    </row>
    <row r="116" spans="1:2">
      <c r="A116" s="98" t="str">
        <f>'D4'!L24</f>
        <v>D4P61</v>
      </c>
      <c r="B116" s="98" t="str">
        <f>IF(OR(ISERROR('D4'!M24)=TRUE,'D4'!M24=0),"",'D4'!M24)</f>
        <v>VIŠŇOVSKÁ / LEDAJOVÁ</v>
      </c>
    </row>
    <row r="117" spans="1:2">
      <c r="A117" s="98" t="str">
        <f>'D4'!L25</f>
        <v>D4P112</v>
      </c>
      <c r="B117" s="98" t="str">
        <f>IF(OR(ISERROR('D4'!M25)=TRUE,'D4'!M25=0),"",'D4'!M25)</f>
        <v>VIŠŇOVSKÁ / LEDAJOVÁ</v>
      </c>
    </row>
    <row r="118" spans="1:2">
      <c r="A118" s="98" t="str">
        <f>'D4'!L26</f>
        <v>D4P62</v>
      </c>
      <c r="B118" s="98" t="str">
        <f>IF(OR(ISERROR('D4'!M26)=TRUE,'D4'!M26=0),"",'D4'!M26)</f>
        <v>MIKULOVÁ / DZUROVÁ</v>
      </c>
    </row>
    <row r="119" spans="1:2">
      <c r="A119" s="98" t="str">
        <f>'D4'!L27</f>
        <v>D4P152</v>
      </c>
      <c r="B119" s="98" t="str">
        <f>IF(OR(ISERROR('D4'!M27)=TRUE,'D4'!M27=0),"",'D4'!M27)</f>
        <v>PEKOVÁ / DIVINSKÁ</v>
      </c>
    </row>
    <row r="120" spans="1:2">
      <c r="A120" s="98" t="str">
        <f>'D4'!L28</f>
        <v>D4P71</v>
      </c>
      <c r="B120" s="98" t="str">
        <f>IF(OR(ISERROR('D4'!M28)=TRUE,'D4'!M28=0),"",'D4'!M28)</f>
        <v>SLOBODNÍKOVÁ / LACENOVÁ</v>
      </c>
    </row>
    <row r="121" spans="1:2">
      <c r="A121" s="98" t="str">
        <f>'D4'!L29</f>
        <v>D4P121</v>
      </c>
      <c r="B121" s="98" t="str">
        <f>IF(OR(ISERROR('D4'!M29)=TRUE,'D4'!M29=0),"",'D4'!M29)</f>
        <v>SLOBODNÍKOVÁ / LACENOVÁ</v>
      </c>
    </row>
    <row r="122" spans="1:2">
      <c r="A122" s="98" t="str">
        <f>'D4'!L30</f>
        <v>D4P72</v>
      </c>
      <c r="B122" s="98" t="str">
        <f>IF(OR(ISERROR('D4'!M30)=TRUE,'D4'!M30=0),"",'D4'!M30)</f>
        <v>GALČÍKOVÁ / VOJTASOVA</v>
      </c>
    </row>
    <row r="123" spans="1:2">
      <c r="A123" s="98" t="str">
        <f>'D4'!L31</f>
        <v>D4P142</v>
      </c>
      <c r="B123" s="98" t="str">
        <f>IF(OR(ISERROR('D4'!M31)=TRUE,'D4'!M31=0),"",'D4'!M31)</f>
        <v>PEKOVÁ / DIVINSKÁ</v>
      </c>
    </row>
    <row r="124" spans="1:2">
      <c r="A124" s="98" t="str">
        <f>'D4'!L32</f>
        <v>D4P81</v>
      </c>
      <c r="B124" s="98" t="str">
        <f>IF(OR(ISERROR('D4'!M32)=TRUE,'D4'!M32=0),"",'D4'!M32)</f>
        <v>X</v>
      </c>
    </row>
    <row r="125" spans="1:2">
      <c r="A125" s="98" t="str">
        <f>'D4'!L33</f>
        <v>D4P122</v>
      </c>
      <c r="B125" s="98" t="str">
        <f>IF(OR(ISERROR('D4'!M33)=TRUE,'D4'!M33=0),"",'D4'!M33)</f>
        <v>PEKOVÁ / DIVINSKÁ</v>
      </c>
    </row>
    <row r="126" spans="1:2">
      <c r="A126" s="98" t="str">
        <f>'D4'!L34</f>
        <v>D4P82</v>
      </c>
      <c r="B126" s="98" t="str">
        <f>IF(OR(ISERROR('D4'!M34)=TRUE,'D4'!M34=0),"",'D4'!M34)</f>
        <v>PEKOVÁ / DIVINSKÁ</v>
      </c>
    </row>
    <row r="127" spans="1:2">
      <c r="A127" s="98" t="str">
        <f>MIX!O4</f>
        <v>MIXP11</v>
      </c>
      <c r="B127" s="98" t="str">
        <f>IF(OR(ISERROR(MIX!P4)=TRUE,MIX!P4=0),"",MIX!P4)</f>
        <v>KYSEL / LABOŠOVÁ</v>
      </c>
    </row>
    <row r="128" spans="1:2">
      <c r="A128" s="98" t="str">
        <f>MIX!O5</f>
        <v>MIXP171</v>
      </c>
      <c r="B128" s="98" t="str">
        <f>IF(OR(ISERROR(MIX!P5)=TRUE,MIX!P5=0),"",MIX!P5)</f>
        <v>KYSEL / LABOŠOVÁ</v>
      </c>
    </row>
    <row r="129" spans="1:2">
      <c r="A129" s="98" t="str">
        <f>MIX!O6</f>
        <v>MIXP12</v>
      </c>
      <c r="B129" s="98" t="str">
        <f>IF(OR(ISERROR(MIX!P6)=TRUE,MIX!P6=0),"",MIX!P6)</f>
        <v>X</v>
      </c>
    </row>
    <row r="130" spans="1:2">
      <c r="A130" s="98" t="str">
        <f>MIX!O7</f>
        <v>MIXP251</v>
      </c>
      <c r="B130" s="98" t="str">
        <f>IF(OR(ISERROR(MIX!P7)=TRUE,MIX!P7=0),"",MIX!P7)</f>
        <v>KYSEL / LABOŠOVÁ</v>
      </c>
    </row>
    <row r="131" spans="1:2">
      <c r="A131" s="98" t="str">
        <f>MIX!O8</f>
        <v>MIXP21</v>
      </c>
      <c r="B131" s="98" t="str">
        <f>IF(OR(ISERROR(MIX!P8)=TRUE,MIX!P8=0),"",MIX!P8)</f>
        <v>VICO / HUDÁKOVÁ</v>
      </c>
    </row>
    <row r="132" spans="1:2">
      <c r="A132" s="98" t="str">
        <f>MIX!O9</f>
        <v>MIXP172</v>
      </c>
      <c r="B132" s="98" t="str">
        <f>IF(OR(ISERROR(MIX!P9)=TRUE,MIX!P9=0),"",MIX!P9)</f>
        <v>MILAN / GAŠPARÍKOVÁ</v>
      </c>
    </row>
    <row r="133" spans="1:2">
      <c r="A133" s="98" t="str">
        <f>MIX!O10</f>
        <v>MIXP22</v>
      </c>
      <c r="B133" s="98" t="str">
        <f>IF(OR(ISERROR(MIX!P10)=TRUE,MIX!P10=0),"",MIX!P10)</f>
        <v>MILAN / GAŠPARÍKOVÁ</v>
      </c>
    </row>
    <row r="134" spans="1:2">
      <c r="A134" s="98" t="str">
        <f>MIX!O11</f>
        <v>MIXP291</v>
      </c>
      <c r="B134" s="98" t="str">
        <f>IF(OR(ISERROR(MIX!P11)=TRUE,MIX!P11=0),"",MIX!P11)</f>
        <v>KYSEL / LABOŠOVÁ</v>
      </c>
    </row>
    <row r="135" spans="1:2">
      <c r="A135" s="98" t="str">
        <f>MIX!O12</f>
        <v>MIXP31</v>
      </c>
      <c r="B135" s="98" t="str">
        <f>IF(OR(ISERROR(MIX!P12)=TRUE,MIX!P12=0),"",MIX!P12)</f>
        <v>PACH / VIŠŇOVSKÁ</v>
      </c>
    </row>
    <row r="136" spans="1:2">
      <c r="A136" s="98" t="str">
        <f>MIX!O13</f>
        <v>MIXP181</v>
      </c>
      <c r="B136" s="98" t="str">
        <f>IF(OR(ISERROR(MIX!P13)=TRUE,MIX!P13=0),"",MIX!P13)</f>
        <v>PACH / VIŠŇOVSKÁ</v>
      </c>
    </row>
    <row r="137" spans="1:2">
      <c r="A137" s="98" t="str">
        <f>MIX!O14</f>
        <v>MIXP32</v>
      </c>
      <c r="B137" s="98" t="str">
        <f>IF(OR(ISERROR(MIX!P14)=TRUE,MIX!P14=0),"",MIX!P14)</f>
        <v>KAPUSTA / CHYLOVÁ</v>
      </c>
    </row>
    <row r="138" spans="1:2">
      <c r="A138" s="98" t="str">
        <f>MIX!O15</f>
        <v>MIXP252</v>
      </c>
      <c r="B138" s="98" t="str">
        <f>IF(OR(ISERROR(MIX!P15)=TRUE,MIX!P15=0),"",MIX!P15)</f>
        <v>HURKA / MAJERSKÁ</v>
      </c>
    </row>
    <row r="139" spans="1:2">
      <c r="A139" s="98" t="str">
        <f>MIX!O16</f>
        <v>MIXP41</v>
      </c>
      <c r="B139" s="98" t="str">
        <f>IF(OR(ISERROR(MIX!P16)=TRUE,MIX!P16=0),"",MIX!P16)</f>
        <v>X</v>
      </c>
    </row>
    <row r="140" spans="1:2">
      <c r="A140" s="98" t="str">
        <f>MIX!O17</f>
        <v>MIXP182</v>
      </c>
      <c r="B140" s="98" t="str">
        <f>IF(OR(ISERROR(MIX!P17)=TRUE,MIX!P17=0),"",MIX!P17)</f>
        <v>HURKA / MAJERSKÁ</v>
      </c>
    </row>
    <row r="141" spans="1:2">
      <c r="A141" s="98" t="str">
        <f>MIX!O18</f>
        <v>MIXP42</v>
      </c>
      <c r="B141" s="98" t="str">
        <f>IF(OR(ISERROR(MIX!P18)=TRUE,MIX!P18=0),"",MIX!P18)</f>
        <v>HURKA / MAJERSKÁ</v>
      </c>
    </row>
    <row r="142" spans="1:2">
      <c r="A142" s="98" t="str">
        <f>MIX!O19</f>
        <v>MIXP311</v>
      </c>
      <c r="B142" s="98" t="str">
        <f>IF(OR(ISERROR(MIX!P19)=TRUE,MIX!P19=0),"",MIX!P19)</f>
        <v>KYSEL / LABOŠOVÁ</v>
      </c>
    </row>
    <row r="143" spans="1:2">
      <c r="A143" s="98" t="str">
        <f>MIX!O20</f>
        <v>MIXP51</v>
      </c>
      <c r="B143" s="98" t="str">
        <f>IF(OR(ISERROR(MIX!P20)=TRUE,MIX!P20=0),"",MIX!P20)</f>
        <v>ĎANOVSKÝ / DIVINSKÁ</v>
      </c>
    </row>
    <row r="144" spans="1:2">
      <c r="A144" s="98" t="str">
        <f>MIX!O21</f>
        <v>MIXP191</v>
      </c>
      <c r="B144" s="98" t="str">
        <f>IF(OR(ISERROR(MIX!P21)=TRUE,MIX!P21=0),"",MIX!P21)</f>
        <v>ĎANOVSKÝ / DIVINSKÁ</v>
      </c>
    </row>
    <row r="145" spans="1:2">
      <c r="A145" s="98" t="str">
        <f>MIX!O22</f>
        <v>MIXP52</v>
      </c>
      <c r="B145" s="98" t="str">
        <f>IF(OR(ISERROR(MIX!P22)=TRUE,MIX!P22=0),"",MIX!P22)</f>
        <v>X</v>
      </c>
    </row>
    <row r="146" spans="1:2">
      <c r="A146" s="98" t="str">
        <f>MIX!O23</f>
        <v>MIXP261</v>
      </c>
      <c r="B146" s="98" t="str">
        <f>IF(OR(ISERROR(MIX!P23)=TRUE,MIX!P23=0),"",MIX!P23)</f>
        <v>ĎANOVSKÝ / DIVINSKÁ</v>
      </c>
    </row>
    <row r="147" spans="1:2">
      <c r="A147" s="98" t="str">
        <f>MIX!O24</f>
        <v>MIXP61</v>
      </c>
      <c r="B147" s="98" t="str">
        <f>IF(OR(ISERROR(MIX!P24)=TRUE,MIX!P24=0),"",MIX!P24)</f>
        <v>KLUČÁR / GORFOLOVÁ</v>
      </c>
    </row>
    <row r="148" spans="1:2">
      <c r="A148" s="98" t="str">
        <f>MIX!O25</f>
        <v>MIXP192</v>
      </c>
      <c r="B148" s="98" t="str">
        <f>IF(OR(ISERROR(MIX!P25)=TRUE,MIX!P25=0),"",MIX!P25)</f>
        <v>KLUČÁR / GORFOLOVÁ</v>
      </c>
    </row>
    <row r="149" spans="1:2">
      <c r="A149" s="98" t="str">
        <f>MIX!O26</f>
        <v>MIXP62</v>
      </c>
      <c r="B149" s="98" t="str">
        <f>IF(OR(ISERROR(MIX!P26)=TRUE,MIX!P26=0),"",MIX!P26)</f>
        <v>PAPÁNEK / MIKULOVÁ</v>
      </c>
    </row>
    <row r="150" spans="1:2">
      <c r="A150" s="98" t="str">
        <f>MIX!O27</f>
        <v>MIXP292</v>
      </c>
      <c r="B150" s="98" t="str">
        <f>IF(OR(ISERROR(MIX!P27)=TRUE,MIX!P27=0),"",MIX!P27)</f>
        <v>FEČO / DZELINSKA</v>
      </c>
    </row>
    <row r="151" spans="1:2">
      <c r="A151" s="98" t="str">
        <f>MIX!O28</f>
        <v>MIXP71</v>
      </c>
      <c r="B151" s="98" t="str">
        <f>IF(OR(ISERROR(MIX!P28)=TRUE,MIX!P28=0),"",MIX!P28)</f>
        <v>JALOVECKÝ / SLOBODNÍKOVÁ</v>
      </c>
    </row>
    <row r="152" spans="1:2">
      <c r="A152" s="98" t="str">
        <f>MIX!O29</f>
        <v>MIXP201</v>
      </c>
      <c r="B152" s="98" t="str">
        <f>IF(OR(ISERROR(MIX!P29)=TRUE,MIX!P29=0),"",MIX!P29)</f>
        <v>JALOVECKÝ / SLOBODNÍKOVÁ</v>
      </c>
    </row>
    <row r="153" spans="1:2">
      <c r="A153" s="98" t="str">
        <f>MIX!O30</f>
        <v>MIXP72</v>
      </c>
      <c r="B153" s="98" t="str">
        <f>IF(OR(ISERROR(MIX!P30)=TRUE,MIX!P30=0),"",MIX!P30)</f>
        <v>KLAJBER / SISKOVÁ</v>
      </c>
    </row>
    <row r="154" spans="1:2">
      <c r="A154" s="98" t="str">
        <f>MIX!O31</f>
        <v>MIXP262</v>
      </c>
      <c r="B154" s="98" t="str">
        <f>IF(OR(ISERROR(MIX!P31)=TRUE,MIX!P31=0),"",MIX!P31)</f>
        <v>FEČO / DZELINSKA</v>
      </c>
    </row>
    <row r="155" spans="1:2">
      <c r="A155" s="98" t="str">
        <f>MIX!O32</f>
        <v>MIXP81</v>
      </c>
      <c r="B155" s="98" t="str">
        <f>IF(OR(ISERROR(MIX!P32)=TRUE,MIX!P32=0),"",MIX!P32)</f>
        <v>X</v>
      </c>
    </row>
    <row r="156" spans="1:2">
      <c r="A156" s="98" t="str">
        <f>MIX!O33</f>
        <v>MIXP202</v>
      </c>
      <c r="B156" s="98" t="str">
        <f>IF(OR(ISERROR(MIX!P33)=TRUE,MIX!P33=0),"",MIX!P33)</f>
        <v>FEČO / DZELINSKA</v>
      </c>
    </row>
    <row r="157" spans="1:2">
      <c r="A157" s="98" t="str">
        <f>MIX!O34</f>
        <v>MIXP82</v>
      </c>
      <c r="B157" s="98" t="str">
        <f>IF(OR(ISERROR(MIX!P34)=TRUE,MIX!P34=0),"",MIX!P34)</f>
        <v>FEČO / DZELINSKA</v>
      </c>
    </row>
    <row r="158" spans="1:2">
      <c r="A158" s="98">
        <f>MIX!O35</f>
        <v>0</v>
      </c>
      <c r="B158" s="98" t="str">
        <f>IF(OR(ISERROR(MIX!P35)=TRUE,MIX!P35=0),"",MIX!P35)</f>
        <v/>
      </c>
    </row>
    <row r="159" spans="1:2">
      <c r="A159" s="98" t="str">
        <f>MIX!O36</f>
        <v>MIXP91</v>
      </c>
      <c r="B159" s="98" t="str">
        <f>IF(OR(ISERROR(MIX!P36)=TRUE,MIX!P36=0),"",MIX!P36)</f>
        <v>PINDURA / ŠINKAROVÁ</v>
      </c>
    </row>
    <row r="160" spans="1:2">
      <c r="A160" s="98" t="str">
        <f>MIX!O37</f>
        <v>MIXP211</v>
      </c>
      <c r="B160" s="98" t="str">
        <f>IF(OR(ISERROR(MIX!P37)=TRUE,MIX!P37=0),"",MIX!P37)</f>
        <v>PINDURA / ŠINKAROVÁ</v>
      </c>
    </row>
    <row r="161" spans="1:2">
      <c r="A161" s="98" t="str">
        <f>MIX!O38</f>
        <v>MIXP92</v>
      </c>
      <c r="B161" s="98" t="str">
        <f>IF(OR(ISERROR(MIX!P38)=TRUE,MIX!P38=0),"",MIX!P38)</f>
        <v>X</v>
      </c>
    </row>
    <row r="162" spans="1:2">
      <c r="A162" s="98" t="str">
        <f>MIX!O39</f>
        <v>MIXP271</v>
      </c>
      <c r="B162" s="98" t="str">
        <f>IF(OR(ISERROR(MIX!P39)=TRUE,MIX!P39=0),"",MIX!P39)</f>
        <v>PINDURA / ŠINKAROVÁ</v>
      </c>
    </row>
    <row r="163" spans="1:2">
      <c r="A163" s="98" t="str">
        <f>MIX!O40</f>
        <v>MIXP101</v>
      </c>
      <c r="B163" s="98" t="str">
        <f>IF(OR(ISERROR(MIX!P40)=TRUE,MIX!P40=0),"",MIX!P40)</f>
        <v>FREUND / LEDAJOVÁ</v>
      </c>
    </row>
    <row r="164" spans="1:2">
      <c r="A164" s="98" t="str">
        <f>MIX!O41</f>
        <v>MIXP212</v>
      </c>
      <c r="B164" s="98" t="str">
        <f>IF(OR(ISERROR(MIX!P41)=TRUE,MIX!P41=0),"",MIX!P41)</f>
        <v>MARUNIAK / VOJTASOVA</v>
      </c>
    </row>
    <row r="165" spans="1:2">
      <c r="A165" s="98" t="str">
        <f>MIX!O42</f>
        <v>MIXP102</v>
      </c>
      <c r="B165" s="98" t="str">
        <f>IF(OR(ISERROR(MIX!P42)=TRUE,MIX!P42=0),"",MIX!P42)</f>
        <v>MARUNIAK / VOJTASOVA</v>
      </c>
    </row>
    <row r="166" spans="1:2">
      <c r="A166" s="98" t="str">
        <f>MIX!O43</f>
        <v>MIXP301</v>
      </c>
      <c r="B166" s="98" t="str">
        <f>IF(OR(ISERROR(MIX!P43)=TRUE,MIX!P43=0),"",MIX!P43)</f>
        <v>PINDURA / ŠINKAROVÁ</v>
      </c>
    </row>
    <row r="167" spans="1:2">
      <c r="A167" s="98" t="str">
        <f>MIX!O44</f>
        <v>MIXP111</v>
      </c>
      <c r="B167" s="98" t="str">
        <f>IF(OR(ISERROR(MIX!P44)=TRUE,MIX!P44=0),"",MIX!P44)</f>
        <v>TUREK / DZUROVÁ</v>
      </c>
    </row>
    <row r="168" spans="1:2">
      <c r="A168" s="98" t="str">
        <f>MIX!O45</f>
        <v>MIXP221</v>
      </c>
      <c r="B168" s="98" t="str">
        <f>IF(OR(ISERROR(MIX!P45)=TRUE,MIX!P45=0),"",MIX!P45)</f>
        <v>TUREK / DZUROVÁ</v>
      </c>
    </row>
    <row r="169" spans="1:2">
      <c r="A169" s="98" t="str">
        <f>MIX!O46</f>
        <v>MIXP112</v>
      </c>
      <c r="B169" s="98" t="str">
        <f>IF(OR(ISERROR(MIX!P46)=TRUE,MIX!P46=0),"",MIX!P46)</f>
        <v>FEČO / TEREZKOVÁ</v>
      </c>
    </row>
    <row r="170" spans="1:2">
      <c r="A170" s="98" t="str">
        <f>MIX!O47</f>
        <v>MIXP272</v>
      </c>
      <c r="B170" s="98" t="str">
        <f>IF(OR(ISERROR(MIX!P47)=TRUE,MIX!P47=0),"",MIX!P47)</f>
        <v>TUREK / DZUROVÁ</v>
      </c>
    </row>
    <row r="171" spans="1:2">
      <c r="A171" s="98" t="str">
        <f>MIX!O48</f>
        <v>MIXP121</v>
      </c>
      <c r="B171" s="98" t="str">
        <f>IF(OR(ISERROR(MIX!P48)=TRUE,MIX!P48=0),"",MIX!P48)</f>
        <v>X</v>
      </c>
    </row>
    <row r="172" spans="1:2">
      <c r="A172" s="98" t="str">
        <f>MIX!O49</f>
        <v>MIXP222</v>
      </c>
      <c r="B172" s="98" t="str">
        <f>IF(OR(ISERROR(MIX!P49)=TRUE,MIX!P49=0),"",MIX!P49)</f>
        <v>CYPRICH / ŠVAJDLENKOVÁ</v>
      </c>
    </row>
    <row r="173" spans="1:2">
      <c r="A173" s="98" t="str">
        <f>MIX!O50</f>
        <v>MIXP122</v>
      </c>
      <c r="B173" s="98" t="str">
        <f>IF(OR(ISERROR(MIX!P50)=TRUE,MIX!P50=0),"",MIX!P50)</f>
        <v>CYPRICH / ŠVAJDLENKOVÁ</v>
      </c>
    </row>
    <row r="174" spans="1:2">
      <c r="A174" s="98" t="str">
        <f>MIX!O51</f>
        <v>MIXP312</v>
      </c>
      <c r="B174" s="98" t="str">
        <f>IF(OR(ISERROR(MIX!P51)=TRUE,MIX!P51=0),"",MIX!P51)</f>
        <v>PINDURA / ŠINKAROVÁ</v>
      </c>
    </row>
    <row r="175" spans="1:2">
      <c r="A175" s="98" t="str">
        <f>MIX!O52</f>
        <v>MIXP131</v>
      </c>
      <c r="B175" s="98" t="str">
        <f>IF(OR(ISERROR(MIX!P52)=TRUE,MIX!P52=0),"",MIX!P52)</f>
        <v>PETRÍK / PAPCUNOVÁ</v>
      </c>
    </row>
    <row r="176" spans="1:2">
      <c r="A176" s="98" t="str">
        <f>MIX!O53</f>
        <v>MIXP231</v>
      </c>
      <c r="B176" s="98" t="str">
        <f>IF(OR(ISERROR(MIX!P53)=TRUE,MIX!P53=0),"",MIX!P53)</f>
        <v>PETRÍK / PAPCUNOVÁ</v>
      </c>
    </row>
    <row r="177" spans="1:2">
      <c r="A177" s="98" t="str">
        <f>MIX!O54</f>
        <v>MIXP132</v>
      </c>
      <c r="B177" s="98" t="str">
        <f>IF(OR(ISERROR(MIX!P54)=TRUE,MIX!P54=0),"",MIX!P54)</f>
        <v>X</v>
      </c>
    </row>
    <row r="178" spans="1:2">
      <c r="A178" s="98" t="str">
        <f>MIX!O55</f>
        <v>MIXP281</v>
      </c>
      <c r="B178" s="98" t="str">
        <f>IF(OR(ISERROR(MIX!P55)=TRUE,MIX!P55=0),"",MIX!P55)</f>
        <v>PETRÍK / PAPCUNOVÁ</v>
      </c>
    </row>
    <row r="179" spans="1:2">
      <c r="A179" s="98" t="str">
        <f>MIX!O56</f>
        <v>MIXP141</v>
      </c>
      <c r="B179" s="98" t="str">
        <f>IF(OR(ISERROR(MIX!P56)=TRUE,MIX!P56=0),"",MIX!P56)</f>
        <v>MAKÚCH / GALČÍKOVÁ</v>
      </c>
    </row>
    <row r="180" spans="1:2">
      <c r="A180" s="98" t="str">
        <f>MIX!O57</f>
        <v>MIXP232</v>
      </c>
      <c r="B180" s="98" t="str">
        <f>IF(OR(ISERROR(MIX!P57)=TRUE,MIX!P57=0),"",MIX!P57)</f>
        <v>MAKÚCH / GALČÍKOVÁ</v>
      </c>
    </row>
    <row r="181" spans="1:2">
      <c r="A181" s="98" t="str">
        <f>MIX!O58</f>
        <v>MIXP142</v>
      </c>
      <c r="B181" s="98" t="str">
        <f>IF(OR(ISERROR(MIX!P58)=TRUE,MIX!P58=0),"",MIX!P58)</f>
        <v>IVANČO / HURBANOVÁ</v>
      </c>
    </row>
    <row r="182" spans="1:2">
      <c r="A182" s="98" t="str">
        <f>MIX!O59</f>
        <v>MIXP302</v>
      </c>
      <c r="B182" s="98" t="str">
        <f>IF(OR(ISERROR(MIX!P59)=TRUE,MIX!P59=0),"",MIX!P59)</f>
        <v>DIKO / PEKOVÁ</v>
      </c>
    </row>
    <row r="183" spans="1:2">
      <c r="A183" s="98" t="str">
        <f>MIX!O60</f>
        <v>MIXP151</v>
      </c>
      <c r="B183" s="98" t="str">
        <f>IF(OR(ISERROR(MIX!P60)=TRUE,MIX!P60=0),"",MIX!P60)</f>
        <v>MIKLUŠČÁK / LACENOVÁ</v>
      </c>
    </row>
    <row r="184" spans="1:2">
      <c r="A184" s="98" t="str">
        <f>MIX!O61</f>
        <v>MIXP241</v>
      </c>
      <c r="B184" s="98" t="str">
        <f>IF(OR(ISERROR(MIX!P61)=TRUE,MIX!P61=0),"",MIX!P61)</f>
        <v>MIKLUŠČÁK / LACENOVÁ</v>
      </c>
    </row>
    <row r="185" spans="1:2">
      <c r="A185" s="98" t="str">
        <f>MIX!O62</f>
        <v>MIXP152</v>
      </c>
      <c r="B185" s="98" t="str">
        <f>IF(OR(ISERROR(MIX!P62)=TRUE,MIX!P62=0),"",MIX!P62)</f>
        <v>DELINČAK / PISARČIKOVÁ</v>
      </c>
    </row>
    <row r="186" spans="1:2">
      <c r="A186" s="98" t="str">
        <f>MIX!O63</f>
        <v>MIXP282</v>
      </c>
      <c r="B186" s="98" t="str">
        <f>IF(OR(ISERROR(MIX!P63)=TRUE,MIX!P63=0),"",MIX!P63)</f>
        <v>DIKO / PEKOVÁ</v>
      </c>
    </row>
    <row r="187" spans="1:2">
      <c r="A187" s="98" t="str">
        <f>MIX!O64</f>
        <v>MIXP161</v>
      </c>
      <c r="B187" s="98" t="str">
        <f>IF(OR(ISERROR(MIX!P64)=TRUE,MIX!P64=0),"",MIX!P64)</f>
        <v>X</v>
      </c>
    </row>
    <row r="188" spans="1:2">
      <c r="A188" s="98" t="str">
        <f>MIX!O65</f>
        <v>MIXP242</v>
      </c>
      <c r="B188" s="98" t="str">
        <f>IF(OR(ISERROR(MIX!P65)=TRUE,MIX!P65=0),"",MIX!P65)</f>
        <v>DIKO / PEKOVÁ</v>
      </c>
    </row>
    <row r="189" spans="1:2">
      <c r="A189" s="98" t="str">
        <f>MIX!O66</f>
        <v>MIXP162</v>
      </c>
      <c r="B189" s="98" t="str">
        <f>IF(OR(ISERROR(MIX!P66)=TRUE,MIX!P66=0),"",MIX!P66)</f>
        <v>DIKO / PEKOVÁ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I37"/>
  <sheetViews>
    <sheetView workbookViewId="0">
      <selection activeCell="E26" sqref="E26"/>
    </sheetView>
  </sheetViews>
  <sheetFormatPr defaultRowHeight="15"/>
  <cols>
    <col min="2" max="3" width="23.5703125" customWidth="1"/>
    <col min="8" max="8" width="23.28515625" customWidth="1"/>
    <col min="9" max="9" width="22" style="40" customWidth="1"/>
  </cols>
  <sheetData>
    <row r="1" spans="1:9">
      <c r="A1" t="s">
        <v>79</v>
      </c>
    </row>
    <row r="4" spans="1:9">
      <c r="A4" t="s">
        <v>49</v>
      </c>
      <c r="G4" t="s">
        <v>112</v>
      </c>
    </row>
    <row r="5" spans="1:9">
      <c r="A5" t="s">
        <v>80</v>
      </c>
      <c r="B5" t="str">
        <f>VLOOKUP(A5,'skupiny CH'!$C$5:$K$89,8,0)</f>
        <v>DIKO Dalibor</v>
      </c>
      <c r="C5" t="str">
        <f>VLOOKUP(A5,'skupiny CH'!$C$5:$K$89,9,0)</f>
        <v>TJ ORAVAN NÁMESTOVO</v>
      </c>
      <c r="G5" t="s">
        <v>80</v>
      </c>
      <c r="H5" t="str">
        <f>VLOOKUP(G5,'skupiny D'!$C$5:$K$73,8,0)</f>
        <v>LABOŠOVÁ Ema</v>
      </c>
      <c r="I5" s="40" t="str">
        <f>VLOOKUP(G5,'skupiny D'!$C$5:$K$73,9,0)</f>
        <v>ŠSTK JUNIOR ČAŇA</v>
      </c>
    </row>
    <row r="6" spans="1:9">
      <c r="A6" t="s">
        <v>81</v>
      </c>
      <c r="B6" t="str">
        <f>VLOOKUP(A6,'skupiny CH'!$C$5:$K$89,8,0)</f>
        <v>IVANČO Félix</v>
      </c>
      <c r="C6" t="str">
        <f>VLOOKUP(A6,'skupiny CH'!$C$5:$K$89,9,0)</f>
        <v>MSK MALACKY</v>
      </c>
      <c r="G6" t="s">
        <v>81</v>
      </c>
      <c r="H6" t="str">
        <f>VLOOKUP(G6,'skupiny D'!$C$5:$K$73,8,0)</f>
        <v>CHYLOVÁ Sabína</v>
      </c>
      <c r="I6" s="40" t="str">
        <f>VLOOKUP(G6,'skupiny D'!$C$5:$K$73,9,0)</f>
        <v>MSTK TVRDOŠÍN</v>
      </c>
    </row>
    <row r="7" spans="1:9">
      <c r="A7" t="s">
        <v>82</v>
      </c>
      <c r="B7" t="str">
        <f>VLOOKUP(A7,'skupiny CH'!$C$5:$K$89,8,0)</f>
        <v>MARUNIAK Martin</v>
      </c>
      <c r="C7" t="str">
        <f>VLOOKUP(A7,'skupiny CH'!$C$5:$K$89,9,0)</f>
        <v>MSTK VTJ MARTIN</v>
      </c>
      <c r="G7" t="s">
        <v>82</v>
      </c>
      <c r="H7" t="str">
        <f>VLOOKUP(G7,'skupiny D'!$C$5:$K$73,8,0)</f>
        <v>LEDAJOVÁ Martina</v>
      </c>
      <c r="I7" s="40" t="str">
        <f>VLOOKUP(G7,'skupiny D'!$C$5:$K$73,9,0)</f>
        <v>STK OROL OTRHÁNKY</v>
      </c>
    </row>
    <row r="8" spans="1:9">
      <c r="A8" t="s">
        <v>83</v>
      </c>
      <c r="B8" t="str">
        <f>VLOOKUP(A8,'skupiny CH'!$C$5:$K$89,8,0)</f>
        <v>MIKLUŠČÁK Benjamín</v>
      </c>
      <c r="C8" t="str">
        <f>VLOOKUP(A8,'skupiny CH'!$C$5:$K$89,9,0)</f>
        <v>ŠKST KARLOVA VES</v>
      </c>
      <c r="G8" t="s">
        <v>84</v>
      </c>
      <c r="H8" t="str">
        <f>VLOOKUP(G8,'skupiny D'!$C$5:$K$73,8,0)</f>
        <v>PEKOVÁ Zuzana</v>
      </c>
      <c r="I8" s="40" t="str">
        <f>VLOOKUP(G8,'skupiny D'!$C$5:$K$73,9,0)</f>
        <v>KST VIKTÓRIA TRNAVA</v>
      </c>
    </row>
    <row r="9" spans="1:9">
      <c r="A9" t="s">
        <v>84</v>
      </c>
      <c r="B9" t="str">
        <f>VLOOKUP(A9,'skupiny CH'!$C$5:$K$89,8,0)</f>
        <v>KYSEL Martin</v>
      </c>
      <c r="C9" t="str">
        <f>VLOOKUP(A9,'skupiny CH'!$C$5:$K$89,9,0)</f>
        <v>MSTK TVRDOŠÍN</v>
      </c>
      <c r="G9" t="s">
        <v>85</v>
      </c>
      <c r="H9" t="str">
        <f>VLOOKUP(G9,'skupiny D'!$C$5:$K$73,8,0)</f>
        <v>MIKULOVÁ Terézia</v>
      </c>
      <c r="I9" s="40" t="str">
        <f>VLOOKUP(G9,'skupiny D'!$C$5:$K$73,9,0)</f>
        <v>KST DRIVE TR. JASTRABIE</v>
      </c>
    </row>
    <row r="10" spans="1:9">
      <c r="A10" t="s">
        <v>85</v>
      </c>
      <c r="B10" t="str">
        <f>VLOOKUP(A10,'skupiny CH'!$C$5:$K$89,8,0)</f>
        <v>SUCHA Tomáš</v>
      </c>
      <c r="C10" t="str">
        <f>VLOOKUP(A10,'skupiny CH'!$C$5:$K$89,9,0)</f>
        <v>ŠKST KARLOVA VES</v>
      </c>
      <c r="G10" t="s">
        <v>86</v>
      </c>
      <c r="H10" t="str">
        <f>VLOOKUP(G10,'skupiny D'!$C$5:$K$73,8,0)</f>
        <v>GALČÍKOVÁ Sára</v>
      </c>
      <c r="I10" s="40" t="str">
        <f>VLOOKUP(G10,'skupiny D'!$C$5:$K$73,9,0)</f>
        <v>TJ ORAVAN NÁMESTOVO</v>
      </c>
    </row>
    <row r="11" spans="1:9">
      <c r="A11" t="s">
        <v>86</v>
      </c>
      <c r="B11" t="str">
        <f>VLOOKUP(A11,'skupiny CH'!$C$5:$K$89,8,0)</f>
        <v>KAPUSTA Martin</v>
      </c>
      <c r="C11" t="str">
        <f>VLOOKUP(A11,'skupiny CH'!$C$5:$K$89,9,0)</f>
        <v>MSK ČADCA</v>
      </c>
      <c r="G11" t="s">
        <v>88</v>
      </c>
      <c r="H11" t="str">
        <f>VLOOKUP(G11,'skupiny D'!$C$5:$K$73,8,0)</f>
        <v>ŠINKAROVÁ Dáša</v>
      </c>
      <c r="I11" s="40" t="str">
        <f>VLOOKUP(G11,'skupiny D'!$C$5:$K$73,9,0)</f>
        <v>ŠKST MICHALOVCE</v>
      </c>
    </row>
    <row r="12" spans="1:9">
      <c r="A12" t="s">
        <v>87</v>
      </c>
      <c r="B12" t="str">
        <f>VLOOKUP(A12,'skupiny CH'!$C$5:$K$89,8,0)</f>
        <v>ZAJAC Jakub</v>
      </c>
      <c r="C12" t="str">
        <f>VLOOKUP(A12,'skupiny CH'!$C$5:$K$89,9,0)</f>
        <v>TJ ORAVAN NÁMESTOVO</v>
      </c>
      <c r="G12" t="s">
        <v>89</v>
      </c>
      <c r="H12" t="str">
        <f>VLOOKUP(G12,'skupiny D'!$C$5:$K$73,8,0)</f>
        <v>DZUROVÁ Lenka</v>
      </c>
      <c r="I12" s="40" t="str">
        <f>VLOOKUP(G12,'skupiny D'!$C$5:$K$73,9,0)</f>
        <v>STK STARÁ TURÁ</v>
      </c>
    </row>
    <row r="13" spans="1:9">
      <c r="A13" t="s">
        <v>88</v>
      </c>
      <c r="B13" t="str">
        <f>VLOOKUP(A13,'skupiny CH'!$C$5:$K$89,8,0)</f>
        <v>FEČO Samuel</v>
      </c>
      <c r="C13" t="str">
        <f>VLOOKUP(A13,'skupiny CH'!$C$5:$K$89,9,0)</f>
        <v>MŠK VSTK VRANOV NAD TOPĽOU</v>
      </c>
      <c r="G13" t="s">
        <v>90</v>
      </c>
      <c r="H13" t="str">
        <f>VLOOKUP(G13,'skupiny D'!$C$5:$K$73,8,0)</f>
        <v>SISKOVÁ Zuzana</v>
      </c>
      <c r="I13" s="40" t="str">
        <f>VLOOKUP(G13,'skupiny D'!$C$5:$K$73,9,0)</f>
        <v>TTC MAJCICHOV</v>
      </c>
    </row>
    <row r="14" spans="1:9">
      <c r="A14" t="s">
        <v>89</v>
      </c>
      <c r="B14" t="str">
        <f>VLOOKUP(A14,'skupiny CH'!$C$5:$K$89,8,0)</f>
        <v>KLAJBER Adam</v>
      </c>
      <c r="C14" t="str">
        <f>VLOOKUP(A14,'skupiny CH'!$C$5:$K$89,9,0)</f>
        <v>SŠK POPROČ</v>
      </c>
      <c r="G14" t="s">
        <v>92</v>
      </c>
      <c r="H14" t="str">
        <f>VLOOKUP(G14,'skupiny D'!$C$5:$K$73,8,0)</f>
        <v>DZELINSKA Júlia</v>
      </c>
      <c r="I14" s="40" t="str">
        <f>VLOOKUP(G14,'skupiny D'!$C$5:$K$73,9,0)</f>
        <v>ŠKST MICHALOVCE/STK LOKOMOTÍVA KOŠICE</v>
      </c>
    </row>
    <row r="15" spans="1:9">
      <c r="A15" t="s">
        <v>90</v>
      </c>
      <c r="B15" t="str">
        <f>VLOOKUP(A15,'skupiny CH'!$C$5:$K$89,8,0)</f>
        <v>FREUND Andrej</v>
      </c>
      <c r="C15" t="str">
        <f>VLOOKUP(A15,'skupiny CH'!$C$5:$K$89,9,0)</f>
        <v>MSK MALACKY</v>
      </c>
      <c r="G15" t="s">
        <v>93</v>
      </c>
      <c r="H15" t="str">
        <f>VLOOKUP(G15,'skupiny D'!$C$5:$K$73,8,0)</f>
        <v>HUDÁKOVÁ Ivana</v>
      </c>
      <c r="I15" s="40" t="str">
        <f>VLOOKUP(G15,'skupiny D'!$C$5:$K$73,9,0)</f>
        <v>ZŠ VYŠNÝ ŽIPOV</v>
      </c>
    </row>
    <row r="16" spans="1:9">
      <c r="A16" t="s">
        <v>91</v>
      </c>
      <c r="B16" t="str">
        <f>VLOOKUP(A16,'skupiny CH'!$C$5:$K$89,8,0)</f>
        <v>KLUČÁR Matej</v>
      </c>
      <c r="C16" t="str">
        <f>VLOOKUP(A16,'skupiny CH'!$C$5:$K$89,9,0)</f>
        <v>TTC MAJCICHOV</v>
      </c>
      <c r="G16" t="s">
        <v>94</v>
      </c>
      <c r="H16" t="str">
        <f>VLOOKUP(G16,'skupiny D'!$C$5:$K$73,8,0)</f>
        <v>GAŠPARÍKOVÁ Lucia</v>
      </c>
      <c r="I16" s="40" t="str">
        <f>VLOOKUP(G16,'skupiny D'!$C$5:$K$73,9,0)</f>
        <v>TTC MAJCICHOV</v>
      </c>
    </row>
    <row r="17" spans="1:9">
      <c r="A17" t="s">
        <v>92</v>
      </c>
      <c r="B17" t="str">
        <f>VLOOKUP(A17,'skupiny CH'!$C$5:$K$89,8,0)</f>
        <v>PINDURA Tobiáš</v>
      </c>
      <c r="C17" t="str">
        <f>VLOOKUP(A17,'skupiny CH'!$C$5:$K$89,9,0)</f>
        <v>ŠKST RUŽOMBEROK</v>
      </c>
      <c r="G17" t="s">
        <v>96</v>
      </c>
      <c r="H17" t="str">
        <f>VLOOKUP(G17,'skupiny D'!$C$5:$K$73,8,0)</f>
        <v>DIVINSKÁ Natália</v>
      </c>
      <c r="I17" s="40" t="str">
        <f>VLOOKUP(G17,'skupiny D'!$C$5:$K$73,9,0)</f>
        <v>MSTK TVRDOŠÍN</v>
      </c>
    </row>
    <row r="18" spans="1:9">
      <c r="A18" t="s">
        <v>93</v>
      </c>
      <c r="B18" t="str">
        <f>VLOOKUP(A18,'skupiny CH'!$C$5:$K$89,8,0)</f>
        <v>HURKA Rastislav</v>
      </c>
      <c r="C18" t="str">
        <f>VLOOKUP(A18,'skupiny CH'!$C$5:$K$89,9,0)</f>
        <v>STO VALALIKY</v>
      </c>
      <c r="G18" t="s">
        <v>97</v>
      </c>
      <c r="H18" t="str">
        <f>VLOOKUP(G18,'skupiny D'!$C$5:$K$73,8,0)</f>
        <v>SLOBODNÍKOVÁ Hana</v>
      </c>
      <c r="I18" s="40" t="str">
        <f>VLOOKUP(G18,'skupiny D'!$C$5:$K$73,9,0)</f>
        <v>ŠKST KARLOVA VES</v>
      </c>
    </row>
    <row r="19" spans="1:9">
      <c r="A19" t="s">
        <v>94</v>
      </c>
      <c r="B19" t="str">
        <f>VLOOKUP(A19,'skupiny CH'!$C$5:$K$89,8,0)</f>
        <v>DELINČAK Filip</v>
      </c>
      <c r="C19" t="str">
        <f>VLOOKUP(A19,'skupiny CH'!$C$5:$K$89,9,0)</f>
        <v>MSK ČADCA</v>
      </c>
      <c r="G19" t="s">
        <v>98</v>
      </c>
      <c r="H19" t="str">
        <f>VLOOKUP(G19,'skupiny D'!$C$5:$K$73,8,0)</f>
        <v>HURBANOVÁ Isabella</v>
      </c>
      <c r="I19" s="40" t="str">
        <f>VLOOKUP(G19,'skupiny D'!$C$5:$K$73,9,0)</f>
        <v>MSK MALACKY</v>
      </c>
    </row>
    <row r="20" spans="1:9">
      <c r="A20" t="s">
        <v>95</v>
      </c>
      <c r="B20" t="str">
        <f>VLOOKUP(A20,'skupiny CH'!$C$5:$K$89,8,0)</f>
        <v>TRŇAN Jakub</v>
      </c>
      <c r="C20" t="str">
        <f>VLOOKUP(A20,'skupiny CH'!$C$5:$K$89,9,0)</f>
        <v>STK RYBNÍK</v>
      </c>
      <c r="G20" t="s">
        <v>100</v>
      </c>
      <c r="H20" t="str">
        <f>VLOOKUP(G20,'skupiny D'!$C$5:$K$73,8,0)</f>
        <v>ŠVAJDLENKOVÁ Laura</v>
      </c>
      <c r="I20" s="40" t="str">
        <f>VLOOKUP(G20,'skupiny D'!$C$5:$K$73,9,0)</f>
        <v>MSK MALACKY</v>
      </c>
    </row>
    <row r="21" spans="1:9">
      <c r="A21" t="s">
        <v>96</v>
      </c>
      <c r="B21" t="str">
        <f>VLOOKUP(A21,'skupiny CH'!$C$5:$K$89,8,0)</f>
        <v>PETRÍK Filip</v>
      </c>
      <c r="C21" t="str">
        <f>VLOOKUP(A21,'skupiny CH'!$C$5:$K$89,9,0)</f>
        <v>KST PLUS40 TREBIŠOV/ŠKST MICHALOVCE</v>
      </c>
      <c r="G21" t="s">
        <v>101</v>
      </c>
      <c r="H21" t="str">
        <f>VLOOKUP(G21,'skupiny D'!$C$5:$K$73,8,0)</f>
        <v>PAPCUNOVÁ Viktória</v>
      </c>
      <c r="I21" s="40" t="str">
        <f>VLOOKUP(G21,'skupiny D'!$C$5:$K$73,9,0)</f>
        <v>ŠSTK JUNIOR ČAŇA</v>
      </c>
    </row>
    <row r="22" spans="1:9">
      <c r="A22" t="s">
        <v>97</v>
      </c>
      <c r="B22" t="str">
        <f>VLOOKUP(A22,'skupiny CH'!$C$5:$K$89,8,0)</f>
        <v>ĎANOVSKÝ Martin</v>
      </c>
      <c r="C22" t="str">
        <f>VLOOKUP(A22,'skupiny CH'!$C$5:$K$89,9,0)</f>
        <v>LOKOMOTÍVA VRÚTKY</v>
      </c>
      <c r="G22" t="s">
        <v>102</v>
      </c>
      <c r="H22" t="str">
        <f>VLOOKUP(G22,'skupiny D'!$C$5:$K$73,8,0)</f>
        <v>LACENOVÁ Renáta</v>
      </c>
      <c r="I22" s="40" t="str">
        <f>VLOOKUP(G22,'skupiny D'!$C$5:$K$73,9,0)</f>
        <v>ŠKST TOPOĽČANY</v>
      </c>
    </row>
    <row r="23" spans="1:9">
      <c r="A23" t="s">
        <v>98</v>
      </c>
      <c r="B23" t="str">
        <f>VLOOKUP(A23,'skupiny CH'!$C$5:$K$89,8,0)</f>
        <v>VICO Dávid</v>
      </c>
      <c r="C23" t="str">
        <f>VLOOKUP(A23,'skupiny CH'!$C$5:$K$89,9,0)</f>
        <v>STO VALALIKY</v>
      </c>
      <c r="G23" t="s">
        <v>104</v>
      </c>
      <c r="H23" t="str">
        <f>VLOOKUP(G23,'skupiny D'!$C$5:$K$73,8,0)</f>
        <v>MAJERSKÁ Alena</v>
      </c>
      <c r="I23" s="40" t="str">
        <f>VLOOKUP(G23,'skupiny D'!$C$5:$K$73,9,0)</f>
        <v>STO VALALIKY</v>
      </c>
    </row>
    <row r="24" spans="1:9">
      <c r="A24" t="s">
        <v>99</v>
      </c>
      <c r="B24" t="str">
        <f>VLOOKUP(A24,'skupiny CH'!$C$5:$K$89,8,0)</f>
        <v>MACKO Miroslav</v>
      </c>
      <c r="C24" t="str">
        <f>VLOOKUP(A24,'skupiny CH'!$C$5:$K$89,9,0)</f>
        <v>ŠKST KARLOVA VES</v>
      </c>
      <c r="G24" t="s">
        <v>105</v>
      </c>
      <c r="H24" t="str">
        <f>VLOOKUP(G24,'skupiny D'!$C$5:$K$73,8,0)</f>
        <v>GORFOLOVÁ Viktória</v>
      </c>
      <c r="I24" s="40" t="str">
        <f>VLOOKUP(G24,'skupiny D'!$C$5:$K$73,9,0)</f>
        <v>GASTO METALFIN GALANTA</v>
      </c>
    </row>
    <row r="25" spans="1:9">
      <c r="A25" t="s">
        <v>100</v>
      </c>
      <c r="B25" t="str">
        <f>VLOOKUP(A25,'skupiny CH'!$C$5:$K$89,8,0)</f>
        <v>CYPRICH Samuel</v>
      </c>
      <c r="C25" t="str">
        <f>VLOOKUP(A25,'skupiny CH'!$C$5:$K$89,9,0)</f>
        <v>MSK ČADCA</v>
      </c>
      <c r="G25" t="s">
        <v>106</v>
      </c>
      <c r="H25" t="str">
        <f>VLOOKUP(G25,'skupiny D'!$C$5:$K$73,8,0)</f>
        <v>VIŠŇOVSKÁ Nina</v>
      </c>
      <c r="I25" s="40" t="str">
        <f>VLOOKUP(G25,'skupiny D'!$C$5:$K$73,9,0)</f>
        <v>TTC INTERSPEAD N.ZÁMKY</v>
      </c>
    </row>
    <row r="26" spans="1:9">
      <c r="A26" t="s">
        <v>101</v>
      </c>
      <c r="B26" t="str">
        <f>VLOOKUP(A26,'skupiny CH'!$C$5:$K$89,8,0)</f>
        <v>MILAN Martin</v>
      </c>
      <c r="C26" t="str">
        <f>VLOOKUP(A26,'skupiny CH'!$C$5:$K$89,9,0)</f>
        <v>1.PPC FORTUNA KEŽMAROK/TJ OBCE SPIŠSKÝ ŠTIAVNIK</v>
      </c>
      <c r="G26" t="s">
        <v>108</v>
      </c>
      <c r="H26" t="str">
        <f>VLOOKUP(G26,'skupiny D'!$C$5:$K$73,8,0)</f>
        <v>TEREZKOVÁ Jana</v>
      </c>
      <c r="I26" s="40" t="str">
        <f>VLOOKUP(G26,'skupiny D'!$C$5:$K$73,9,0)</f>
        <v>ŠKST MICHALOVCE</v>
      </c>
    </row>
    <row r="27" spans="1:9">
      <c r="A27" t="s">
        <v>102</v>
      </c>
      <c r="B27" t="str">
        <f>VLOOKUP(A27,'skupiny CH'!$C$5:$K$89,8,0)</f>
        <v>PACH Kamil</v>
      </c>
      <c r="C27" t="str">
        <f>VLOOKUP(A27,'skupiny CH'!$C$5:$K$89,9,0)</f>
        <v>STO VALALIKY</v>
      </c>
      <c r="G27" t="s">
        <v>109</v>
      </c>
      <c r="H27" t="str">
        <f>VLOOKUP(G27,'skupiny D'!$C$5:$K$73,8,0)</f>
        <v>VOJTASOVA Patrícia</v>
      </c>
      <c r="I27" s="40" t="str">
        <f>VLOOKUP(G27,'skupiny D'!$C$5:$K$73,9,0)</f>
        <v>ZŠ LIETAVSKÁ LÚČKA</v>
      </c>
    </row>
    <row r="28" spans="1:9">
      <c r="A28" t="s">
        <v>103</v>
      </c>
      <c r="B28" t="str">
        <f>VLOOKUP(A28,'skupiny CH'!$C$5:$K$89,8,0)</f>
        <v>KALINKA Timotej</v>
      </c>
      <c r="C28" t="str">
        <f>VLOOKUP(A28,'skupiny CH'!$C$5:$K$89,9,0)</f>
        <v>MSTK VTJ MARTIN</v>
      </c>
      <c r="G28" t="s">
        <v>110</v>
      </c>
      <c r="H28" t="str">
        <f>VLOOKUP(G28,'skupiny D'!$C$5:$K$73,8,0)</f>
        <v>PISARČIKOVÁ Frederika</v>
      </c>
      <c r="I28" s="40" t="str">
        <f>VLOOKUP(G28,'skupiny D'!$C$5:$K$73,9,0)</f>
        <v>ŠKST RUŽOMBEROK</v>
      </c>
    </row>
    <row r="29" spans="1:9">
      <c r="A29" t="s">
        <v>104</v>
      </c>
      <c r="B29" t="str">
        <f>VLOOKUP(A29,'skupiny CH'!$C$5:$K$89,8,0)</f>
        <v>FEČO Michal</v>
      </c>
      <c r="C29" t="str">
        <f>VLOOKUP(A29,'skupiny CH'!$C$5:$K$89,9,0)</f>
        <v>MŠK VSTK VRANOV NAD TOPĽOU</v>
      </c>
      <c r="G29" t="s">
        <v>121</v>
      </c>
      <c r="H29" t="s">
        <v>121</v>
      </c>
      <c r="I29" s="40" t="s">
        <v>121</v>
      </c>
    </row>
    <row r="30" spans="1:9">
      <c r="A30" t="s">
        <v>105</v>
      </c>
      <c r="B30" t="str">
        <f>VLOOKUP(A30,'skupiny CH'!$C$5:$K$89,8,0)</f>
        <v>GREGOR Jakub</v>
      </c>
      <c r="C30" t="str">
        <f>VLOOKUP(A30,'skupiny CH'!$C$5:$K$89,9,0)</f>
        <v>ŠKST KARLOVA VES</v>
      </c>
    </row>
    <row r="31" spans="1:9">
      <c r="A31" t="s">
        <v>106</v>
      </c>
      <c r="B31" t="str">
        <f>VLOOKUP(A31,'skupiny CH'!$C$5:$K$89,8,0)</f>
        <v>TUREK Teodor</v>
      </c>
      <c r="C31" t="str">
        <f>VLOOKUP(A31,'skupiny CH'!$C$5:$K$89,9,0)</f>
        <v>ŠK ŠOG NITRA</v>
      </c>
    </row>
    <row r="32" spans="1:9">
      <c r="A32" t="s">
        <v>107</v>
      </c>
      <c r="B32" t="str">
        <f>VLOOKUP(A32,'skupiny CH'!$C$5:$K$89,8,0)</f>
        <v>JALOVECKÝ Marek</v>
      </c>
      <c r="C32" t="str">
        <f>VLOOKUP(A32,'skupiny CH'!$C$5:$K$89,9,0)</f>
        <v>STK ZŠ NA BIELENISKU PEZINOK</v>
      </c>
    </row>
    <row r="33" spans="1:3">
      <c r="A33" t="s">
        <v>108</v>
      </c>
      <c r="B33" t="str">
        <f>VLOOKUP(A33,'skupiny CH'!$C$5:$K$89,8,0)</f>
        <v>PAPÁNEK Martin</v>
      </c>
      <c r="C33" t="str">
        <f>VLOOKUP(A33,'skupiny CH'!$C$5:$K$89,9,0)</f>
        <v>STK NOVÁ BAŇA/PODLUŽANY</v>
      </c>
    </row>
    <row r="34" spans="1:3">
      <c r="A34" t="s">
        <v>109</v>
      </c>
      <c r="B34" t="str">
        <f>VLOOKUP(A34,'skupiny CH'!$C$5:$K$89,8,0)</f>
        <v>FUSEK Patrik</v>
      </c>
      <c r="C34" t="str">
        <f>VLOOKUP(A34,'skupiny CH'!$C$5:$K$89,9,0)</f>
        <v>MSK MALACKY</v>
      </c>
    </row>
    <row r="35" spans="1:3">
      <c r="A35" t="s">
        <v>110</v>
      </c>
      <c r="B35" t="str">
        <f>VLOOKUP(A35,'skupiny CH'!$C$5:$K$89,8,0)</f>
        <v>TRUBÁČIK Tomáš</v>
      </c>
      <c r="C35" t="str">
        <f>VLOOKUP(A35,'skupiny CH'!$C$5:$K$89,9,0)</f>
        <v>CVČ ZLATÉ MORAVCE</v>
      </c>
    </row>
    <row r="36" spans="1:3">
      <c r="A36" t="s">
        <v>111</v>
      </c>
      <c r="B36" t="str">
        <f>VLOOKUP(A36,'skupiny CH'!$C$5:$K$89,8,0)</f>
        <v>MAKÚCH Damian</v>
      </c>
      <c r="C36" t="str">
        <f>VLOOKUP(A36,'skupiny CH'!$C$5:$K$89,9,0)</f>
        <v>TJ ORAVAN NÁMESTOVO/TATRAN KRUŠETNICA</v>
      </c>
    </row>
    <row r="37" spans="1:3">
      <c r="A37" t="s">
        <v>121</v>
      </c>
      <c r="B37" t="s">
        <v>121</v>
      </c>
      <c r="C37" t="s">
        <v>121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D37"/>
  <sheetViews>
    <sheetView workbookViewId="0">
      <selection activeCell="D5" sqref="D5"/>
    </sheetView>
  </sheetViews>
  <sheetFormatPr defaultRowHeight="15"/>
  <cols>
    <col min="1" max="1" width="9.140625" style="136"/>
    <col min="2" max="2" width="29.5703125" customWidth="1"/>
    <col min="3" max="3" width="12" customWidth="1"/>
    <col min="4" max="4" width="34.5703125" customWidth="1"/>
    <col min="5" max="5" width="3" customWidth="1"/>
  </cols>
  <sheetData>
    <row r="1" spans="1:4" s="180" customFormat="1" ht="38.25" customHeight="1">
      <c r="A1" s="561" t="s">
        <v>511</v>
      </c>
      <c r="B1" s="562"/>
      <c r="C1" s="562"/>
      <c r="D1" s="562"/>
    </row>
    <row r="2" spans="1:4" ht="46.5" customHeight="1">
      <c r="C2" s="395" t="s">
        <v>512</v>
      </c>
    </row>
    <row r="3" spans="1:4" ht="30" customHeight="1" thickBot="1">
      <c r="A3" s="396" t="s">
        <v>391</v>
      </c>
    </row>
    <row r="4" spans="1:4" ht="19.5" thickBot="1">
      <c r="A4" s="186"/>
      <c r="B4" s="187" t="s">
        <v>3</v>
      </c>
      <c r="C4" s="187" t="s">
        <v>4</v>
      </c>
      <c r="D4" s="188" t="s">
        <v>5</v>
      </c>
    </row>
    <row r="5" spans="1:4" ht="18.75">
      <c r="A5" s="557">
        <v>1</v>
      </c>
      <c r="B5" s="397" t="str">
        <f>VLOOKUP('CH4'!V4,vylosovanie!$N$75:$Q$106,3,0)</f>
        <v>ĎANOVSKÝ Martin</v>
      </c>
      <c r="C5" s="397">
        <f>VLOOKUP(B5,'startova listina'!$E$8:$G$39,2,0)</f>
        <v>2002</v>
      </c>
      <c r="D5" s="398" t="str">
        <f>VLOOKUP(B5,'startova listina'!$E$8:$G$39,3,0)</f>
        <v>LOKOMOTÍVA VRÚTKY</v>
      </c>
    </row>
    <row r="6" spans="1:4" ht="19.5" thickBot="1">
      <c r="A6" s="558"/>
      <c r="B6" s="399" t="str">
        <f>VLOOKUP('CH4'!V4,vylosovanie!$N$75:$Q$106,4,0)</f>
        <v>MILAN Martin</v>
      </c>
      <c r="C6" s="399">
        <f>VLOOKUP(B6,'startova listina'!$E$8:$G$39,2,0)</f>
        <v>2001</v>
      </c>
      <c r="D6" s="400" t="str">
        <f>VLOOKUP(B6,'startova listina'!$E$8:$G$39,3,0)</f>
        <v>1.PPC FORTUNA KEŽMAROK/TJ OBCE SPIŠSKÝ ŠTIAVNIK</v>
      </c>
    </row>
    <row r="7" spans="1:4" ht="18.75">
      <c r="A7" s="559">
        <v>2</v>
      </c>
      <c r="B7" s="182" t="str">
        <f>VLOOKUP('CH4'!V5,vylosovanie!$N$75:$Q$106,3,0)</f>
        <v>DIKO Dalibor</v>
      </c>
      <c r="C7" s="182">
        <f>VLOOKUP(B7,'startova listina'!$E$8:$G$39,2,0)</f>
        <v>2002</v>
      </c>
      <c r="D7" s="183" t="str">
        <f>VLOOKUP(B7,'startova listina'!$E$8:$G$39,3,0)</f>
        <v>TJ ORAVAN NÁMESTOVO</v>
      </c>
    </row>
    <row r="8" spans="1:4" ht="19.5" thickBot="1">
      <c r="A8" s="560"/>
      <c r="B8" s="184" t="str">
        <f>VLOOKUP('CH4'!V5,vylosovanie!$N$75:$Q$106,4,0)</f>
        <v>KYSEL Martin</v>
      </c>
      <c r="C8" s="184">
        <f>VLOOKUP(B8,'startova listina'!$E$8:$G$39,2,0)</f>
        <v>2001</v>
      </c>
      <c r="D8" s="185" t="str">
        <f>VLOOKUP(B8,'startova listina'!$E$8:$G$39,3,0)</f>
        <v>MSTK TVRDOŠÍN</v>
      </c>
    </row>
    <row r="9" spans="1:4" ht="18.75">
      <c r="A9" s="563" t="s">
        <v>381</v>
      </c>
      <c r="B9" s="397" t="str">
        <f>VLOOKUP('CH4'!V6,vylosovanie!$N$75:$Q$106,3,0)</f>
        <v>FEČO Samuel</v>
      </c>
      <c r="C9" s="397">
        <f>VLOOKUP(B9,'startova listina'!$E$8:$G$39,2,0)</f>
        <v>2001</v>
      </c>
      <c r="D9" s="398" t="str">
        <f>VLOOKUP(B9,'startova listina'!$E$8:$G$39,3,0)</f>
        <v>MŠK VSTK VRANOV NAD TOPĽOU</v>
      </c>
    </row>
    <row r="10" spans="1:4" ht="19.5" thickBot="1">
      <c r="A10" s="558"/>
      <c r="B10" s="399" t="str">
        <f>VLOOKUP('CH4'!V6,vylosovanie!$N$75:$Q$106,4,0)</f>
        <v>PAPÁNEK Martin</v>
      </c>
      <c r="C10" s="399">
        <f>VLOOKUP(B10,'startova listina'!$E$8:$G$39,2,0)</f>
        <v>2001</v>
      </c>
      <c r="D10" s="400" t="str">
        <f>VLOOKUP(B10,'startova listina'!$E$8:$G$39,3,0)</f>
        <v>STK NOVÁ BAŇA/PODLUŽANY</v>
      </c>
    </row>
    <row r="11" spans="1:4" ht="18.75">
      <c r="A11" s="556"/>
      <c r="B11" s="182" t="str">
        <f>VLOOKUP('CH4'!V7,vylosovanie!$N$75:$Q$106,3,0)</f>
        <v>HURKA Rastislav</v>
      </c>
      <c r="C11" s="181">
        <f>VLOOKUP(B11,'startova listina'!$E$8:$G$39,2,0)</f>
        <v>2001</v>
      </c>
      <c r="D11" s="189" t="str">
        <f>VLOOKUP(B11,'startova listina'!$E$8:$G$39,3,0)</f>
        <v>STO VALALIKY</v>
      </c>
    </row>
    <row r="12" spans="1:4" ht="19.5" thickBot="1">
      <c r="A12" s="556"/>
      <c r="B12" s="184" t="str">
        <f>VLOOKUP('CH4'!V7,vylosovanie!$N$75:$Q$106,4,0)</f>
        <v>JALOVECKÝ Marek</v>
      </c>
      <c r="C12" s="179">
        <f>VLOOKUP(B12,'startova listina'!$E$8:$G$39,2,0)</f>
        <v>2001</v>
      </c>
      <c r="D12" s="190" t="str">
        <f>VLOOKUP(B12,'startova listina'!$E$8:$G$39,3,0)</f>
        <v>STK ZŠ NA BIELENISKU PEZINOK</v>
      </c>
    </row>
    <row r="13" spans="1:4" ht="18.75">
      <c r="A13" s="557" t="s">
        <v>119</v>
      </c>
      <c r="B13" s="397" t="str">
        <f>VLOOKUP('CH4'!V8,vylosovanie!$N$75:$Q$106,3,0)</f>
        <v>PACH Kamil</v>
      </c>
      <c r="C13" s="397">
        <f>VLOOKUP(B13,'startova listina'!$E$8:$G$39,2,0)</f>
        <v>2003</v>
      </c>
      <c r="D13" s="398" t="str">
        <f>VLOOKUP(B13,'startova listina'!$E$8:$G$39,3,0)</f>
        <v>STO VALALIKY</v>
      </c>
    </row>
    <row r="14" spans="1:4" ht="19.5" thickBot="1">
      <c r="A14" s="558"/>
      <c r="B14" s="399" t="str">
        <f>VLOOKUP('CH4'!V8,vylosovanie!$N$75:$Q$106,4,0)</f>
        <v>DELINČAK Filip</v>
      </c>
      <c r="C14" s="399">
        <f>VLOOKUP(B14,'startova listina'!$E$8:$G$39,2,0)</f>
        <v>2003</v>
      </c>
      <c r="D14" s="400" t="str">
        <f>VLOOKUP(B14,'startova listina'!$E$8:$G$39,3,0)</f>
        <v>MSK ČADCA</v>
      </c>
    </row>
    <row r="15" spans="1:4" ht="18.75">
      <c r="A15" s="556"/>
      <c r="B15" s="182" t="str">
        <f>VLOOKUP('CH4'!V9,vylosovanie!$N$75:$Q$106,3,0)</f>
        <v>FUSEK Patrik</v>
      </c>
      <c r="C15" s="181">
        <f>VLOOKUP(B15,'startova listina'!$E$8:$G$39,2,0)</f>
        <v>2002</v>
      </c>
      <c r="D15" s="189" t="str">
        <f>VLOOKUP(B15,'startova listina'!$E$8:$G$39,3,0)</f>
        <v>MSK MALACKY</v>
      </c>
    </row>
    <row r="16" spans="1:4" ht="19.5" thickBot="1">
      <c r="A16" s="556"/>
      <c r="B16" s="184" t="str">
        <f>VLOOKUP('CH4'!V9,vylosovanie!$N$75:$Q$106,4,0)</f>
        <v>FREUND Andrej</v>
      </c>
      <c r="C16" s="179">
        <f>VLOOKUP(B16,'startova listina'!$E$8:$G$39,2,0)</f>
        <v>2002</v>
      </c>
      <c r="D16" s="190" t="str">
        <f>VLOOKUP(B16,'startova listina'!$E$8:$G$39,3,0)</f>
        <v>MSK MALACKY</v>
      </c>
    </row>
    <row r="17" spans="1:4" ht="18.75">
      <c r="A17" s="557"/>
      <c r="B17" s="397" t="str">
        <f>VLOOKUP('CH4'!V10,vylosovanie!$N$75:$Q$106,3,0)</f>
        <v>PETRÍK Filip</v>
      </c>
      <c r="C17" s="397">
        <f>VLOOKUP(B17,'startova listina'!$E$8:$G$39,2,0)</f>
        <v>2001</v>
      </c>
      <c r="D17" s="398" t="str">
        <f>VLOOKUP(B17,'startova listina'!$E$8:$G$39,3,0)</f>
        <v>KST PLUS40 TREBIŠOV/ŠKST MICHALOVCE</v>
      </c>
    </row>
    <row r="18" spans="1:4" ht="19.5" thickBot="1">
      <c r="A18" s="558"/>
      <c r="B18" s="399" t="str">
        <f>VLOOKUP('CH4'!V10,vylosovanie!$N$75:$Q$106,4,0)</f>
        <v>TUREK Teodor</v>
      </c>
      <c r="C18" s="399">
        <f>VLOOKUP(B18,'startova listina'!$E$8:$G$39,2,0)</f>
        <v>2001</v>
      </c>
      <c r="D18" s="400" t="str">
        <f>VLOOKUP(B18,'startova listina'!$E$8:$G$39,3,0)</f>
        <v>ŠK ŠOG NITRA</v>
      </c>
    </row>
    <row r="19" spans="1:4" ht="18.75">
      <c r="A19" s="556"/>
      <c r="B19" s="182" t="str">
        <f>VLOOKUP('CH4'!V11,vylosovanie!$N$75:$Q$106,3,0)</f>
        <v>PINDURA Tobiáš</v>
      </c>
      <c r="C19" s="181">
        <f>VLOOKUP(B19,'startova listina'!$E$8:$G$39,2,0)</f>
        <v>2001</v>
      </c>
      <c r="D19" s="189" t="str">
        <f>VLOOKUP(B19,'startova listina'!$E$8:$G$39,3,0)</f>
        <v>ŠKST RUŽOMBEROK</v>
      </c>
    </row>
    <row r="20" spans="1:4" ht="19.5" thickBot="1">
      <c r="A20" s="556"/>
      <c r="B20" s="184" t="str">
        <f>VLOOKUP('CH4'!V11,vylosovanie!$N$75:$Q$106,4,0)</f>
        <v>CYPRICH Samuel</v>
      </c>
      <c r="C20" s="179">
        <f>VLOOKUP(B20,'startova listina'!$E$8:$G$39,2,0)</f>
        <v>2001</v>
      </c>
      <c r="D20" s="190" t="str">
        <f>VLOOKUP(B20,'startova listina'!$E$8:$G$39,3,0)</f>
        <v>MSK ČADCA</v>
      </c>
    </row>
    <row r="21" spans="1:4" ht="18.75">
      <c r="A21" s="564" t="str">
        <f>CONCATENATE("9","-",'CH4'!H1)</f>
        <v>9-16</v>
      </c>
      <c r="B21" s="397" t="str">
        <f>IF(ISERROR(VLOOKUP('pomocne poradie CH4'!L21,'pomocne poradie CH4'!$A$21:$C$36,3,0))=TRUE,"",(VLOOKUP('pomocne poradie CH4'!L21,'pomocne poradie CH4'!$A$21:$C$36,3,0)))</f>
        <v>MARUNIAK Martin</v>
      </c>
      <c r="C21" s="397">
        <f>VLOOKUP(B21,'startova listina'!$E$8:$G$39,2,0)</f>
        <v>2001</v>
      </c>
      <c r="D21" s="398" t="str">
        <f>VLOOKUP(B21,'startova listina'!$E$8:$G$39,3,0)</f>
        <v>MSTK VTJ MARTIN</v>
      </c>
    </row>
    <row r="22" spans="1:4" ht="19.5" thickBot="1">
      <c r="A22" s="565"/>
      <c r="B22" s="399" t="str">
        <f>IF(ISERROR(VLOOKUP('pomocne poradie CH4'!L22,'pomocne poradie CH4'!$A$21:$C$36,3,0))=TRUE,"",(VLOOKUP('pomocne poradie CH4'!L22,'pomocne poradie CH4'!$A$21:$C$36,3,0)))</f>
        <v>KALINKA Timotej</v>
      </c>
      <c r="C22" s="399">
        <f>VLOOKUP(B22,'startova listina'!$E$8:$G$39,2,0)</f>
        <v>2002</v>
      </c>
      <c r="D22" s="400" t="str">
        <f>VLOOKUP(B22,'startova listina'!$E$8:$G$39,3,0)</f>
        <v>MSTK VTJ MARTIN</v>
      </c>
    </row>
    <row r="23" spans="1:4" ht="18.75">
      <c r="A23" s="556"/>
      <c r="B23" s="181" t="str">
        <f>IF(ISERROR(VLOOKUP('pomocne poradie CH4'!L23,'pomocne poradie CH4'!$A$21:$C$36,3,0))=TRUE,"",(VLOOKUP('pomocne poradie CH4'!L23,'pomocne poradie CH4'!$A$21:$C$36,3,0)))</f>
        <v>ZAJAC Jakub</v>
      </c>
      <c r="C23" s="181">
        <f>VLOOKUP(B23,'startova listina'!$E$8:$G$39,2,0)</f>
        <v>2001</v>
      </c>
      <c r="D23" s="189" t="str">
        <f>VLOOKUP(B23,'startova listina'!$E$8:$G$39,3,0)</f>
        <v>TJ ORAVAN NÁMESTOVO</v>
      </c>
    </row>
    <row r="24" spans="1:4" ht="19.5" thickBot="1">
      <c r="A24" s="556"/>
      <c r="B24" s="179" t="str">
        <f>IF(ISERROR(VLOOKUP('pomocne poradie CH4'!L24,'pomocne poradie CH4'!$A$21:$C$36,3,0))=TRUE,"",(VLOOKUP('pomocne poradie CH4'!L24,'pomocne poradie CH4'!$A$21:$C$36,3,0)))</f>
        <v>MAKÚCH Damian</v>
      </c>
      <c r="C24" s="179">
        <f>VLOOKUP(B24,'startova listina'!$E$8:$G$39,2,0)</f>
        <v>2001</v>
      </c>
      <c r="D24" s="190" t="str">
        <f>VLOOKUP(B24,'startova listina'!$E$8:$G$39,3,0)</f>
        <v>TJ ORAVAN NÁMESTOVO/TATRAN KRUŠETNICA</v>
      </c>
    </row>
    <row r="25" spans="1:4" ht="18.75">
      <c r="A25" s="557"/>
      <c r="B25" s="397" t="str">
        <f>IF(ISERROR(VLOOKUP('pomocne poradie CH4'!L25,'pomocne poradie CH4'!$A$21:$C$36,3,0))=TRUE,"",(VLOOKUP('pomocne poradie CH4'!L25,'pomocne poradie CH4'!$A$21:$C$36,3,0)))</f>
        <v>TRŇAN Jakub</v>
      </c>
      <c r="C25" s="397">
        <f>VLOOKUP(B25,'startova listina'!$E$8:$G$39,2,0)</f>
        <v>2001</v>
      </c>
      <c r="D25" s="398" t="str">
        <f>VLOOKUP(B25,'startova listina'!$E$8:$G$39,3,0)</f>
        <v>STK RYBNÍK</v>
      </c>
    </row>
    <row r="26" spans="1:4" ht="19.5" thickBot="1">
      <c r="A26" s="558"/>
      <c r="B26" s="399" t="str">
        <f>IF(ISERROR(VLOOKUP('pomocne poradie CH4'!L26,'pomocne poradie CH4'!$A$21:$C$36,3,0))=TRUE,"",(VLOOKUP('pomocne poradie CH4'!L26,'pomocne poradie CH4'!$A$21:$C$36,3,0)))</f>
        <v>TRUBÁČIK Tomáš</v>
      </c>
      <c r="C26" s="399">
        <f>VLOOKUP(B26,'startova listina'!$E$8:$G$39,2,0)</f>
        <v>2002</v>
      </c>
      <c r="D26" s="400" t="str">
        <f>VLOOKUP(B26,'startova listina'!$E$8:$G$39,3,0)</f>
        <v>CVČ ZLATÉ MORAVCE</v>
      </c>
    </row>
    <row r="27" spans="1:4" ht="18.75">
      <c r="A27" s="556"/>
      <c r="B27" s="181" t="str">
        <f>IF(ISERROR(VLOOKUP('pomocne poradie CH4'!L27,'pomocne poradie CH4'!$A$21:$C$36,3,0))=TRUE,"",(VLOOKUP('pomocne poradie CH4'!L27,'pomocne poradie CH4'!$A$21:$C$36,3,0)))</f>
        <v>SUCHA Tomáš</v>
      </c>
      <c r="C27" s="181">
        <f>VLOOKUP(B27,'startova listina'!$E$8:$G$39,2,0)</f>
        <v>2001</v>
      </c>
      <c r="D27" s="189" t="str">
        <f>VLOOKUP(B27,'startova listina'!$E$8:$G$39,3,0)</f>
        <v>ŠKST KARLOVA VES</v>
      </c>
    </row>
    <row r="28" spans="1:4" ht="19.5" thickBot="1">
      <c r="A28" s="556"/>
      <c r="B28" s="179" t="str">
        <f>IF(ISERROR(VLOOKUP('pomocne poradie CH4'!L28,'pomocne poradie CH4'!$A$21:$C$36,3,0))=TRUE,"",(VLOOKUP('pomocne poradie CH4'!L28,'pomocne poradie CH4'!$A$21:$C$36,3,0)))</f>
        <v>MIKLUŠČÁK Benjamín</v>
      </c>
      <c r="C28" s="179">
        <f>VLOOKUP(B28,'startova listina'!$E$8:$G$39,2,0)</f>
        <v>2002</v>
      </c>
      <c r="D28" s="190" t="str">
        <f>VLOOKUP(B28,'startova listina'!$E$8:$G$39,3,0)</f>
        <v>ŠKST KARLOVA VES</v>
      </c>
    </row>
    <row r="29" spans="1:4" ht="18.75">
      <c r="A29" s="557"/>
      <c r="B29" s="397" t="str">
        <f>IF(ISERROR(VLOOKUP('pomocne poradie CH4'!L29,'pomocne poradie CH4'!$A$21:$C$36,3,0))=TRUE,"",(VLOOKUP('pomocne poradie CH4'!L29,'pomocne poradie CH4'!$A$21:$C$36,3,0)))</f>
        <v>FEČO Michal</v>
      </c>
      <c r="C29" s="397">
        <f>VLOOKUP(B29,'startova listina'!$E$8:$G$39,2,0)</f>
        <v>2001</v>
      </c>
      <c r="D29" s="398" t="str">
        <f>VLOOKUP(B29,'startova listina'!$E$8:$G$39,3,0)</f>
        <v>MŠK VSTK VRANOV NAD TOPĽOU</v>
      </c>
    </row>
    <row r="30" spans="1:4" ht="19.5" thickBot="1">
      <c r="A30" s="558"/>
      <c r="B30" s="399" t="str">
        <f>IF(ISERROR(VLOOKUP('pomocne poradie CH4'!L30,'pomocne poradie CH4'!$A$21:$C$36,3,0))=TRUE,"",(VLOOKUP('pomocne poradie CH4'!L30,'pomocne poradie CH4'!$A$21:$C$36,3,0)))</f>
        <v>KAPUSTA Martin</v>
      </c>
      <c r="C30" s="399">
        <f>VLOOKUP(B30,'startova listina'!$E$8:$G$39,2,0)</f>
        <v>2002</v>
      </c>
      <c r="D30" s="400" t="str">
        <f>VLOOKUP(B30,'startova listina'!$E$8:$G$39,3,0)</f>
        <v>MSK ČADCA</v>
      </c>
    </row>
    <row r="31" spans="1:4" ht="18.75">
      <c r="A31" s="556"/>
      <c r="B31" s="181" t="str">
        <f>IF(ISERROR(VLOOKUP('pomocne poradie CH4'!L31,'pomocne poradie CH4'!$A$21:$C$36,3,0))=TRUE,"",(VLOOKUP('pomocne poradie CH4'!L31,'pomocne poradie CH4'!$A$21:$C$36,3,0)))</f>
        <v>MACKO Miroslav</v>
      </c>
      <c r="C31" s="181">
        <f>VLOOKUP(B31,'startova listina'!$E$8:$G$39,2,0)</f>
        <v>2001</v>
      </c>
      <c r="D31" s="189" t="str">
        <f>VLOOKUP(B31,'startova listina'!$E$8:$G$39,3,0)</f>
        <v>ŠKST KARLOVA VES</v>
      </c>
    </row>
    <row r="32" spans="1:4" ht="19.5" thickBot="1">
      <c r="A32" s="556"/>
      <c r="B32" s="179" t="str">
        <f>IF(ISERROR(VLOOKUP('pomocne poradie CH4'!L32,'pomocne poradie CH4'!$A$21:$C$36,3,0))=TRUE,"",(VLOOKUP('pomocne poradie CH4'!L32,'pomocne poradie CH4'!$A$21:$C$36,3,0)))</f>
        <v>GREGOR Jakub</v>
      </c>
      <c r="C32" s="179">
        <f>VLOOKUP(B32,'startova listina'!$E$8:$G$39,2,0)</f>
        <v>2001</v>
      </c>
      <c r="D32" s="190" t="str">
        <f>VLOOKUP(B32,'startova listina'!$E$8:$G$39,3,0)</f>
        <v>ŠKST KARLOVA VES</v>
      </c>
    </row>
    <row r="33" spans="1:4" ht="18.75">
      <c r="A33" s="557"/>
      <c r="B33" s="397" t="str">
        <f>IF(ISERROR(VLOOKUP('pomocne poradie CH4'!L33,'pomocne poradie CH4'!$A$21:$C$36,3,0))=TRUE,"",(VLOOKUP('pomocne poradie CH4'!L33,'pomocne poradie CH4'!$A$21:$C$36,3,0)))</f>
        <v>KLAJBER Adam</v>
      </c>
      <c r="C33" s="397">
        <f>VLOOKUP(B33,'startova listina'!$E$8:$G$39,2,0)</f>
        <v>2003</v>
      </c>
      <c r="D33" s="398" t="str">
        <f>VLOOKUP(B33,'startova listina'!$E$8:$G$39,3,0)</f>
        <v>SŠK POPROČ</v>
      </c>
    </row>
    <row r="34" spans="1:4" ht="19.5" thickBot="1">
      <c r="A34" s="558"/>
      <c r="B34" s="399" t="str">
        <f>IF(ISERROR(VLOOKUP('pomocne poradie CH4'!L34,'pomocne poradie CH4'!$A$21:$C$36,3,0))=TRUE,"",(VLOOKUP('pomocne poradie CH4'!L34,'pomocne poradie CH4'!$A$21:$C$36,3,0)))</f>
        <v>IVANČO Félix</v>
      </c>
      <c r="C34" s="399">
        <f>VLOOKUP(B34,'startova listina'!$E$8:$G$39,2,0)</f>
        <v>2003</v>
      </c>
      <c r="D34" s="400" t="str">
        <f>VLOOKUP(B34,'startova listina'!$E$8:$G$39,3,0)</f>
        <v>MSK MALACKY</v>
      </c>
    </row>
    <row r="35" spans="1:4" ht="18.75">
      <c r="A35" s="559"/>
      <c r="B35" s="181" t="str">
        <f>IF(ISERROR(VLOOKUP('pomocne poradie CH4'!L35,'pomocne poradie CH4'!$A$21:$C$36,3,0))=TRUE,"",(VLOOKUP('pomocne poradie CH4'!L35,'pomocne poradie CH4'!$A$21:$C$36,3,0)))</f>
        <v>VICO Dávid</v>
      </c>
      <c r="C35" s="182">
        <f>VLOOKUP(B35,'startova listina'!$E$8:$G$39,2,0)</f>
        <v>2001</v>
      </c>
      <c r="D35" s="183" t="str">
        <f>VLOOKUP(B35,'startova listina'!$E$8:$G$39,3,0)</f>
        <v>STO VALALIKY</v>
      </c>
    </row>
    <row r="36" spans="1:4" ht="19.5" thickBot="1">
      <c r="A36" s="560"/>
      <c r="B36" s="184" t="str">
        <f>IF(ISERROR(VLOOKUP('pomocne poradie CH4'!L36,'pomocne poradie CH4'!$A$21:$C$36,3,0))=TRUE,"",(VLOOKUP('pomocne poradie CH4'!L36,'pomocne poradie CH4'!$A$21:$C$36,3,0)))</f>
        <v>KLUČÁR Matej</v>
      </c>
      <c r="C36" s="184">
        <f>VLOOKUP(B36,'startova listina'!$E$8:$G$39,2,0)</f>
        <v>2002</v>
      </c>
      <c r="D36" s="185" t="str">
        <f>VLOOKUP(B36,'startova listina'!$E$8:$G$39,3,0)</f>
        <v>TTC MAJCICHOV</v>
      </c>
    </row>
    <row r="37" spans="1:4" ht="18.75">
      <c r="B37" s="30"/>
    </row>
  </sheetData>
  <mergeCells count="17">
    <mergeCell ref="A25:A26"/>
    <mergeCell ref="A1:D1"/>
    <mergeCell ref="A5:A6"/>
    <mergeCell ref="A7:A8"/>
    <mergeCell ref="A9:A10"/>
    <mergeCell ref="A11:A12"/>
    <mergeCell ref="A13:A14"/>
    <mergeCell ref="A15:A16"/>
    <mergeCell ref="A17:A18"/>
    <mergeCell ref="A19:A20"/>
    <mergeCell ref="A21:A22"/>
    <mergeCell ref="A23:A24"/>
    <mergeCell ref="A27:A28"/>
    <mergeCell ref="A29:A30"/>
    <mergeCell ref="A31:A32"/>
    <mergeCell ref="A33:A34"/>
    <mergeCell ref="A35:A36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D37"/>
  <sheetViews>
    <sheetView workbookViewId="0">
      <selection sqref="A1:XFD1048576"/>
    </sheetView>
  </sheetViews>
  <sheetFormatPr defaultRowHeight="15"/>
  <cols>
    <col min="1" max="1" width="9.140625" style="136"/>
    <col min="2" max="2" width="33.42578125" customWidth="1"/>
    <col min="3" max="3" width="12.28515625" customWidth="1"/>
    <col min="4" max="4" width="30.140625" customWidth="1"/>
  </cols>
  <sheetData>
    <row r="1" spans="1:4" s="180" customFormat="1" ht="38.25" customHeight="1">
      <c r="A1" s="561" t="s">
        <v>511</v>
      </c>
      <c r="B1" s="562"/>
      <c r="C1" s="562"/>
      <c r="D1" s="562"/>
    </row>
    <row r="2" spans="1:4" ht="46.5" customHeight="1">
      <c r="C2" s="395" t="s">
        <v>512</v>
      </c>
    </row>
    <row r="3" spans="1:4" ht="30" customHeight="1" thickBot="1">
      <c r="A3" s="396" t="s">
        <v>392</v>
      </c>
    </row>
    <row r="4" spans="1:4" ht="19.5" thickBot="1">
      <c r="A4" s="186"/>
      <c r="B4" s="187" t="s">
        <v>3</v>
      </c>
      <c r="C4" s="187" t="s">
        <v>4</v>
      </c>
      <c r="D4" s="188" t="s">
        <v>5</v>
      </c>
    </row>
    <row r="5" spans="1:4" ht="18.75">
      <c r="A5" s="564">
        <v>1</v>
      </c>
      <c r="B5" s="397" t="str">
        <f>VLOOKUP('D4'!V4,vylosovanie!$N$113:$Q$136,3,0)</f>
        <v>PEKOVÁ Zuzana</v>
      </c>
      <c r="C5" s="397">
        <f>VLOOKUP(B5,'startova listina'!$E$45:$G$68,2,0)</f>
        <v>2002</v>
      </c>
      <c r="D5" s="398" t="str">
        <f>VLOOKUP(B5,'startova listina'!$E$45:$G$68,3,0)</f>
        <v>KST VIKTÓRIA TRNAVA</v>
      </c>
    </row>
    <row r="6" spans="1:4" ht="19.5" thickBot="1">
      <c r="A6" s="565"/>
      <c r="B6" s="399" t="str">
        <f>VLOOKUP('D4'!V4,vylosovanie!$N$113:$Q$136,4,0)</f>
        <v>DIVINSKÁ Natália</v>
      </c>
      <c r="C6" s="399">
        <f>VLOOKUP(B6,'startova listina'!$E$45:$G$68,2,0)</f>
        <v>2002</v>
      </c>
      <c r="D6" s="400" t="str">
        <f>VLOOKUP(B6,'startova listina'!$E$45:$G$68,3,0)</f>
        <v>MSTK TVRDOŠÍN</v>
      </c>
    </row>
    <row r="7" spans="1:4" ht="18.75">
      <c r="A7" s="568">
        <v>2</v>
      </c>
      <c r="B7" s="181" t="str">
        <f>VLOOKUP('D4'!V5,vylosovanie!$N$113:$Q$136,3,0)</f>
        <v>LABOŠOVÁ Ema</v>
      </c>
      <c r="C7" s="181">
        <f>VLOOKUP(B7,'startova listina'!$E$45:$G$68,2,0)</f>
        <v>2001</v>
      </c>
      <c r="D7" s="189" t="str">
        <f>VLOOKUP(B7,'startova listina'!$E$45:$G$68,3,0)</f>
        <v>ŠSTK JUNIOR ČAŇA</v>
      </c>
    </row>
    <row r="8" spans="1:4" ht="19.5" thickBot="1">
      <c r="A8" s="569"/>
      <c r="B8" s="179" t="str">
        <f>VLOOKUP('D4'!V5,vylosovanie!$N$113:$Q$136,4,0)</f>
        <v>ŠINKAROVÁ Dáša</v>
      </c>
      <c r="C8" s="179">
        <f>VLOOKUP(B8,'startova listina'!$E$45:$G$68,2,0)</f>
        <v>2001</v>
      </c>
      <c r="D8" s="190" t="str">
        <f>VLOOKUP(B8,'startova listina'!$E$45:$G$68,3,0)</f>
        <v>ŠKST MICHALOVCE</v>
      </c>
    </row>
    <row r="9" spans="1:4" ht="18.75">
      <c r="A9" s="570" t="s">
        <v>381</v>
      </c>
      <c r="B9" s="397" t="str">
        <f>VLOOKUP('D4'!V6,vylosovanie!$N$113:$Q$136,3,0)</f>
        <v>ŠVAJDLENKOVÁ Laura</v>
      </c>
      <c r="C9" s="397">
        <f>VLOOKUP(B9,'startova listina'!$E$45:$G$68,2,0)</f>
        <v>2001</v>
      </c>
      <c r="D9" s="398" t="str">
        <f>VLOOKUP(B9,'startova listina'!$E$45:$G$68,3,0)</f>
        <v>MSK MALACKY</v>
      </c>
    </row>
    <row r="10" spans="1:4" ht="19.5" thickBot="1">
      <c r="A10" s="565"/>
      <c r="B10" s="399" t="str">
        <f>VLOOKUP('D4'!V6,vylosovanie!$N$113:$Q$136,4,0)</f>
        <v>HURBANOVÁ Isabella</v>
      </c>
      <c r="C10" s="399">
        <f>VLOOKUP(B10,'startova listina'!$E$45:$G$68,2,0)</f>
        <v>2003</v>
      </c>
      <c r="D10" s="400" t="str">
        <f>VLOOKUP(B10,'startova listina'!$E$45:$G$68,3,0)</f>
        <v>MSK MALACKY</v>
      </c>
    </row>
    <row r="11" spans="1:4" ht="18.75">
      <c r="A11" s="568"/>
      <c r="B11" s="181" t="str">
        <f>VLOOKUP('D4'!V7,vylosovanie!$N$113:$Q$136,3,0)</f>
        <v>DZELINSKA Júlia</v>
      </c>
      <c r="C11" s="181">
        <f>VLOOKUP(B11,'startova listina'!$E$45:$G$68,2,0)</f>
        <v>2002</v>
      </c>
      <c r="D11" s="189" t="str">
        <f>VLOOKUP(B11,'startova listina'!$E$45:$G$68,3,0)</f>
        <v>ŠKST MICHALOVCE/STK LOKOMOTÍVA KOŠICE</v>
      </c>
    </row>
    <row r="12" spans="1:4" ht="19.5" thickBot="1">
      <c r="A12" s="569"/>
      <c r="B12" s="179" t="str">
        <f>VLOOKUP('D4'!V7,vylosovanie!$N$113:$Q$136,4,0)</f>
        <v>TEREZKOVÁ Jana</v>
      </c>
      <c r="C12" s="179">
        <f>VLOOKUP(B12,'startova listina'!$E$45:$G$68,2,0)</f>
        <v>2002</v>
      </c>
      <c r="D12" s="190" t="str">
        <f>VLOOKUP(B12,'startova listina'!$E$45:$G$68,3,0)</f>
        <v>ŠKST MICHALOVCE</v>
      </c>
    </row>
    <row r="13" spans="1:4" ht="18.75">
      <c r="A13" s="564" t="s">
        <v>119</v>
      </c>
      <c r="B13" s="397" t="str">
        <f>VLOOKUP('D4'!V8,vylosovanie!$N$113:$Q$136,3,0)</f>
        <v>PISARČIKOVÁ Frederika</v>
      </c>
      <c r="C13" s="397">
        <f>VLOOKUP(B13,'startova listina'!$E$45:$G$68,2,0)</f>
        <v>2002</v>
      </c>
      <c r="D13" s="398" t="str">
        <f>VLOOKUP(B13,'startova listina'!$E$45:$G$68,3,0)</f>
        <v>ŠKST RUŽOMBEROK</v>
      </c>
    </row>
    <row r="14" spans="1:4" ht="19.5" thickBot="1">
      <c r="A14" s="565"/>
      <c r="B14" s="399" t="str">
        <f>VLOOKUP('D4'!V8,vylosovanie!$N$113:$Q$136,4,0)</f>
        <v>HUDÁKOVÁ Ivana</v>
      </c>
      <c r="C14" s="399">
        <f>VLOOKUP(B14,'startova listina'!$E$45:$G$68,2,0)</f>
        <v>2001</v>
      </c>
      <c r="D14" s="400" t="str">
        <f>VLOOKUP(B14,'startova listina'!$E$45:$G$68,3,0)</f>
        <v>ZŠ VYŠNÝ ŽIPOV</v>
      </c>
    </row>
    <row r="15" spans="1:4" ht="18.75">
      <c r="A15" s="568"/>
      <c r="B15" s="181" t="str">
        <f>VLOOKUP('D4'!V9,vylosovanie!$N$113:$Q$136,3,0)</f>
        <v>MAJERSKÁ Alena</v>
      </c>
      <c r="C15" s="181">
        <f>VLOOKUP(B15,'startova listina'!$E$45:$G$68,2,0)</f>
        <v>2002</v>
      </c>
      <c r="D15" s="189" t="str">
        <f>VLOOKUP(B15,'startova listina'!$E$45:$G$68,3,0)</f>
        <v>STO VALALIKY</v>
      </c>
    </row>
    <row r="16" spans="1:4" ht="18.75">
      <c r="A16" s="571"/>
      <c r="B16" s="6" t="str">
        <f>VLOOKUP('D4'!V9,vylosovanie!$N$113:$Q$136,4,0)</f>
        <v>GAŠPARÍKOVÁ Lucia</v>
      </c>
      <c r="C16" s="6">
        <f>VLOOKUP(B16,'startova listina'!$E$45:$G$68,2,0)</f>
        <v>2002</v>
      </c>
      <c r="D16" s="191" t="str">
        <f>VLOOKUP(B16,'startova listina'!$E$45:$G$68,3,0)</f>
        <v>TTC MAJCICHOV</v>
      </c>
    </row>
    <row r="17" spans="1:4" ht="18.75">
      <c r="A17" s="572"/>
      <c r="B17" s="401" t="str">
        <f>VLOOKUP('D4'!V10,vylosovanie!$N$113:$Q$136,3,0)</f>
        <v>VIŠŇOVSKÁ Nina</v>
      </c>
      <c r="C17" s="401">
        <f>VLOOKUP(B17,'startova listina'!$E$45:$G$68,2,0)</f>
        <v>2003</v>
      </c>
      <c r="D17" s="402" t="str">
        <f>VLOOKUP(B17,'startova listina'!$E$45:$G$68,3,0)</f>
        <v>TTC INTERSPEAD N.ZÁMKY</v>
      </c>
    </row>
    <row r="18" spans="1:4" ht="18.75">
      <c r="A18" s="572"/>
      <c r="B18" s="401" t="str">
        <f>VLOOKUP('D4'!V10,vylosovanie!$N$113:$Q$136,4,0)</f>
        <v>LEDAJOVÁ Martina</v>
      </c>
      <c r="C18" s="401">
        <f>VLOOKUP(B18,'startova listina'!$E$45:$G$68,2,0)</f>
        <v>2001</v>
      </c>
      <c r="D18" s="402" t="str">
        <f>VLOOKUP(B18,'startova listina'!$E$45:$G$68,3,0)</f>
        <v>STK OROL OTRHÁNKY</v>
      </c>
    </row>
    <row r="19" spans="1:4" ht="18.75">
      <c r="A19" s="571"/>
      <c r="B19" s="6" t="str">
        <f>VLOOKUP('D4'!V11,vylosovanie!$N$113:$Q$136,3,0)</f>
        <v>SLOBODNÍKOVÁ Hana</v>
      </c>
      <c r="C19" s="6">
        <f>VLOOKUP(B19,'startova listina'!$E$45:$G$68,2,0)</f>
        <v>2003</v>
      </c>
      <c r="D19" s="191" t="str">
        <f>VLOOKUP(B19,'startova listina'!$E$45:$G$68,3,0)</f>
        <v>ŠKST KARLOVA VES</v>
      </c>
    </row>
    <row r="20" spans="1:4" ht="19.5" thickBot="1">
      <c r="A20" s="569"/>
      <c r="B20" s="179" t="str">
        <f>VLOOKUP('D4'!V11,vylosovanie!$N$113:$Q$136,4,0)</f>
        <v>LACENOVÁ Renáta</v>
      </c>
      <c r="C20" s="179">
        <f>VLOOKUP(B20,'startova listina'!$E$45:$G$68,2,0)</f>
        <v>2003</v>
      </c>
      <c r="D20" s="190" t="str">
        <f>VLOOKUP(B20,'startova listina'!$E$45:$G$68,3,0)</f>
        <v>ŠKST TOPOĽČANY</v>
      </c>
    </row>
    <row r="21" spans="1:4" ht="18.75">
      <c r="A21" s="564" t="str">
        <f>CONCATENATE("9","-",'D4'!T20)</f>
        <v>9-12</v>
      </c>
      <c r="B21" s="397" t="str">
        <f>IF(ISERROR(VLOOKUP('pomocne poradie D4'!L21,'pomocne poradie D4'!$A$21:$C$36,3,0))=TRUE,"",(VLOOKUP('pomocne poradie D4'!L21,'pomocne poradie D4'!$A$21:$C$36,3,0)))</f>
        <v>GALČÍKOVÁ Sára</v>
      </c>
      <c r="C21" s="397">
        <f>IF(ISERROR(VLOOKUP(B21,'startova listina'!$E$45:$G$68,2,0))=TRUE,"",VLOOKUP(B21,'startova listina'!$E$45:$G$68,2,0))</f>
        <v>2001</v>
      </c>
      <c r="D21" s="398" t="str">
        <f>IF(ISERROR(VLOOKUP(B21,'startova listina'!$E$45:$G$68,3,0))=TRUE,"",VLOOKUP(B21,'startova listina'!$E$45:$G$68,3,0))</f>
        <v>TJ ORAVAN NÁMESTOVO</v>
      </c>
    </row>
    <row r="22" spans="1:4" ht="19.5" thickBot="1">
      <c r="A22" s="565"/>
      <c r="B22" s="399" t="str">
        <f>IF(ISERROR(VLOOKUP('pomocne poradie D4'!L22,'pomocne poradie D4'!$A$21:$C$36,3,0))=TRUE,"",(VLOOKUP('pomocne poradie D4'!L22,'pomocne poradie D4'!$A$21:$C$36,3,0)))</f>
        <v>VOJTASOVA Patrícia</v>
      </c>
      <c r="C22" s="399">
        <f>IF(ISERROR(VLOOKUP(B22,'startova listina'!$E$45:$G$68,2,0))=TRUE,"",VLOOKUP(B22,'startova listina'!$E$45:$G$68,2,0))</f>
        <v>2001</v>
      </c>
      <c r="D22" s="400" t="str">
        <f>IF(ISERROR(VLOOKUP(B22,'startova listina'!$E$45:$G$68,3,0))=TRUE,"",VLOOKUP(B22,'startova listina'!$E$45:$G$68,3,0))</f>
        <v>ZŠ LIETAVSKÁ LÚČKA</v>
      </c>
    </row>
    <row r="23" spans="1:4" ht="18.75">
      <c r="A23" s="568"/>
      <c r="B23" s="181" t="str">
        <f>IF(ISERROR(VLOOKUP('pomocne poradie D4'!L23,'pomocne poradie D4'!$A$21:$C$36,3,0))=TRUE,"",(VLOOKUP('pomocne poradie D4'!L23,'pomocne poradie D4'!$A$21:$C$36,3,0)))</f>
        <v>MIKULOVÁ Terézia</v>
      </c>
      <c r="C23" s="181">
        <f>IF(ISERROR(VLOOKUP(B23,'startova listina'!$E$45:$G$68,2,0))=TRUE,"",VLOOKUP(B23,'startova listina'!$E$45:$G$68,2,0))</f>
        <v>2001</v>
      </c>
      <c r="D23" s="189" t="str">
        <f>IF(ISERROR(VLOOKUP(B23,'startova listina'!$E$45:$G$68,3,0))=TRUE,"",VLOOKUP(B23,'startova listina'!$E$45:$G$68,3,0))</f>
        <v>KST DRIVE TR. JASTRABIE</v>
      </c>
    </row>
    <row r="24" spans="1:4" ht="19.5" thickBot="1">
      <c r="A24" s="569"/>
      <c r="B24" s="179" t="str">
        <f>IF(ISERROR(VLOOKUP('pomocne poradie D4'!L24,'pomocne poradie D4'!$A$21:$C$36,3,0))=TRUE,"",(VLOOKUP('pomocne poradie D4'!L24,'pomocne poradie D4'!$A$21:$C$36,3,0)))</f>
        <v>DZUROVÁ Lenka</v>
      </c>
      <c r="C24" s="179">
        <f>IF(ISERROR(VLOOKUP(B24,'startova listina'!$E$45:$G$68,2,0))=TRUE,"",VLOOKUP(B24,'startova listina'!$E$45:$G$68,2,0))</f>
        <v>2002</v>
      </c>
      <c r="D24" s="190" t="str">
        <f>IF(ISERROR(VLOOKUP(B24,'startova listina'!$E$45:$G$68,3,0))=TRUE,"",VLOOKUP(B24,'startova listina'!$E$45:$G$68,3,0))</f>
        <v>STK STARÁ TURÁ</v>
      </c>
    </row>
    <row r="25" spans="1:4" ht="18.75">
      <c r="A25" s="564"/>
      <c r="B25" s="397" t="str">
        <f>IF(ISERROR(VLOOKUP('pomocne poradie D4'!L25,'pomocne poradie D4'!$A$21:$C$36,3,0))=TRUE,"",(VLOOKUP('pomocne poradie D4'!L25,'pomocne poradie D4'!$A$21:$C$36,3,0)))</f>
        <v>SISKOVÁ Zuzana</v>
      </c>
      <c r="C25" s="397">
        <f>IF(ISERROR(VLOOKUP(B25,'startova listina'!$E$45:$G$68,2,0))=TRUE,"",VLOOKUP(B25,'startova listina'!$E$45:$G$68,2,0))</f>
        <v>2003</v>
      </c>
      <c r="D25" s="398" t="str">
        <f>IF(ISERROR(VLOOKUP(B25,'startova listina'!$E$45:$G$68,3,0))=TRUE,"",VLOOKUP(B25,'startova listina'!$E$45:$G$68,3,0))</f>
        <v>TTC MAJCICHOV</v>
      </c>
    </row>
    <row r="26" spans="1:4" ht="19.5" thickBot="1">
      <c r="A26" s="565"/>
      <c r="B26" s="399" t="str">
        <f>IF(ISERROR(VLOOKUP('pomocne poradie D4'!L26,'pomocne poradie D4'!$A$21:$C$36,3,0))=TRUE,"",(VLOOKUP('pomocne poradie D4'!L26,'pomocne poradie D4'!$A$21:$C$36,3,0)))</f>
        <v>GORFOLOVÁ Viktória</v>
      </c>
      <c r="C26" s="399">
        <f>IF(ISERROR(VLOOKUP(B26,'startova listina'!$E$45:$G$68,2,0))=TRUE,"",VLOOKUP(B26,'startova listina'!$E$45:$G$68,2,0))</f>
        <v>2001</v>
      </c>
      <c r="D26" s="400" t="str">
        <f>IF(ISERROR(VLOOKUP(B26,'startova listina'!$E$45:$G$68,3,0))=TRUE,"",VLOOKUP(B26,'startova listina'!$E$45:$G$68,3,0))</f>
        <v>GASTO METALFIN GALANTA</v>
      </c>
    </row>
    <row r="27" spans="1:4" ht="18.75">
      <c r="A27" s="568"/>
      <c r="B27" s="181" t="str">
        <f>IF(ISERROR(VLOOKUP('pomocne poradie D4'!L27,'pomocne poradie D4'!$A$21:$C$36,3,0))=TRUE,"",(VLOOKUP('pomocne poradie D4'!L27,'pomocne poradie D4'!$A$21:$C$36,3,0)))</f>
        <v>CHYLOVÁ Sabína</v>
      </c>
      <c r="C27" s="181">
        <f>IF(ISERROR(VLOOKUP(B27,'startova listina'!$E$45:$G$68,2,0))=TRUE,"",VLOOKUP(B27,'startova listina'!$E$45:$G$68,2,0))</f>
        <v>2001</v>
      </c>
      <c r="D27" s="189" t="str">
        <f>IF(ISERROR(VLOOKUP(B27,'startova listina'!$E$45:$G$68,3,0))=TRUE,"",VLOOKUP(B27,'startova listina'!$E$45:$G$68,3,0))</f>
        <v>MSTK TVRDOŠÍN</v>
      </c>
    </row>
    <row r="28" spans="1:4" ht="19.5" thickBot="1">
      <c r="A28" s="569"/>
      <c r="B28" s="179" t="str">
        <f>IF(ISERROR(VLOOKUP('pomocne poradie D4'!L28,'pomocne poradie D4'!$A$21:$C$36,3,0))=TRUE,"",(VLOOKUP('pomocne poradie D4'!L28,'pomocne poradie D4'!$A$21:$C$36,3,0)))</f>
        <v>PAPCUNOVÁ Viktória</v>
      </c>
      <c r="C28" s="179">
        <f>IF(ISERROR(VLOOKUP(B28,'startova listina'!$E$45:$G$68,2,0))=TRUE,"",VLOOKUP(B28,'startova listina'!$E$45:$G$68,2,0))</f>
        <v>2001</v>
      </c>
      <c r="D28" s="190" t="str">
        <f>IF(ISERROR(VLOOKUP(B28,'startova listina'!$E$45:$G$68,3,0))=TRUE,"",VLOOKUP(B28,'startova listina'!$E$45:$G$68,3,0))</f>
        <v>ŠSTK JUNIOR ČAŇA</v>
      </c>
    </row>
    <row r="29" spans="1:4" ht="18.75">
      <c r="A29" s="564"/>
      <c r="B29" s="397" t="str">
        <f>IF(ISERROR(VLOOKUP('pomocne poradie D4'!L29,'pomocne poradie D4'!$A$21:$C$36,3,0))=TRUE,"",(VLOOKUP('pomocne poradie D4'!L29,'pomocne poradie D4'!$A$21:$C$36,3,0)))</f>
        <v/>
      </c>
      <c r="C29" s="397" t="str">
        <f>IF(ISERROR(VLOOKUP(B29,'startova listina'!$E$45:$G$68,2,0))=TRUE,"",VLOOKUP(B29,'startova listina'!$E$45:$G$68,2,0))</f>
        <v/>
      </c>
      <c r="D29" s="398" t="str">
        <f>IF(ISERROR(VLOOKUP(B29,'startova listina'!$E$45:$G$68,3,0))=TRUE,"",VLOOKUP(B29,'startova listina'!$E$45:$G$68,3,0))</f>
        <v/>
      </c>
    </row>
    <row r="30" spans="1:4" ht="19.5" thickBot="1">
      <c r="A30" s="565"/>
      <c r="B30" s="399" t="str">
        <f>IF(ISERROR(VLOOKUP('pomocne poradie D4'!L30,'pomocne poradie D4'!$A$21:$C$36,3,0))=TRUE,"",(VLOOKUP('pomocne poradie D4'!L30,'pomocne poradie D4'!$A$21:$C$36,3,0)))</f>
        <v/>
      </c>
      <c r="C30" s="399" t="str">
        <f>IF(ISERROR(VLOOKUP(B30,'startova listina'!$E$45:$G$68,2,0))=TRUE,"",VLOOKUP(B30,'startova listina'!$E$45:$G$68,2,0))</f>
        <v/>
      </c>
      <c r="D30" s="400" t="str">
        <f>IF(ISERROR(VLOOKUP(B30,'startova listina'!$E$45:$G$68,3,0))=TRUE,"",VLOOKUP(B30,'startova listina'!$E$45:$G$68,3,0))</f>
        <v/>
      </c>
    </row>
    <row r="31" spans="1:4" ht="18.75">
      <c r="A31" s="568"/>
      <c r="B31" s="181" t="str">
        <f>IF(ISERROR(VLOOKUP('pomocne poradie D4'!L31,'pomocne poradie D4'!$A$21:$C$36,3,0))=TRUE,"",(VLOOKUP('pomocne poradie D4'!L31,'pomocne poradie D4'!$A$21:$C$36,3,0)))</f>
        <v/>
      </c>
      <c r="C31" s="181" t="str">
        <f>IF(ISERROR(VLOOKUP(B31,'startova listina'!$E$45:$G$68,2,0))=TRUE,"",VLOOKUP(B31,'startova listina'!$E$45:$G$68,2,0))</f>
        <v/>
      </c>
      <c r="D31" s="189" t="str">
        <f>IF(ISERROR(VLOOKUP(B31,'startova listina'!$E$45:$G$68,3,0))=TRUE,"",VLOOKUP(B31,'startova listina'!$E$45:$G$68,3,0))</f>
        <v/>
      </c>
    </row>
    <row r="32" spans="1:4" ht="19.5" thickBot="1">
      <c r="A32" s="569"/>
      <c r="B32" s="179" t="str">
        <f>IF(ISERROR(VLOOKUP('pomocne poradie D4'!L32,'pomocne poradie D4'!$A$21:$C$36,3,0))=TRUE,"",(VLOOKUP('pomocne poradie D4'!L32,'pomocne poradie D4'!$A$21:$C$36,3,0)))</f>
        <v/>
      </c>
      <c r="C32" s="179" t="str">
        <f>IF(ISERROR(VLOOKUP(B32,'startova listina'!$E$45:$G$68,2,0))=TRUE,"",VLOOKUP(B32,'startova listina'!$E$45:$G$68,2,0))</f>
        <v/>
      </c>
      <c r="D32" s="190" t="str">
        <f>IF(ISERROR(VLOOKUP(B32,'startova listina'!$E$45:$G$68,3,0))=TRUE,"",VLOOKUP(B32,'startova listina'!$E$45:$G$68,3,0))</f>
        <v/>
      </c>
    </row>
    <row r="33" spans="1:4" ht="18.75">
      <c r="A33" s="564"/>
      <c r="B33" s="397" t="str">
        <f>IF(ISERROR(VLOOKUP('pomocne poradie D4'!L33,'pomocne poradie D4'!$A$21:$C$36,3,0))=TRUE,"",(VLOOKUP('pomocne poradie D4'!L33,'pomocne poradie D4'!$A$21:$C$36,3,0)))</f>
        <v/>
      </c>
      <c r="C33" s="397" t="str">
        <f>IF(ISERROR(VLOOKUP(B33,'startova listina'!$E$45:$G$68,2,0))=TRUE,"",VLOOKUP(B33,'startova listina'!$E$45:$G$68,2,0))</f>
        <v/>
      </c>
      <c r="D33" s="398" t="str">
        <f>IF(ISERROR(VLOOKUP(B33,'startova listina'!$E$45:$G$68,3,0))=TRUE,"",VLOOKUP(B33,'startova listina'!$E$45:$G$68,3,0))</f>
        <v/>
      </c>
    </row>
    <row r="34" spans="1:4" ht="19.5" thickBot="1">
      <c r="A34" s="565"/>
      <c r="B34" s="399" t="str">
        <f>IF(ISERROR(VLOOKUP('pomocne poradie D4'!L34,'pomocne poradie D4'!$A$21:$C$36,3,0))=TRUE,"",(VLOOKUP('pomocne poradie D4'!L34,'pomocne poradie D4'!$A$21:$C$36,3,0)))</f>
        <v/>
      </c>
      <c r="C34" s="399" t="str">
        <f>IF(ISERROR(VLOOKUP(B34,'startova listina'!$E$45:$G$68,2,0))=TRUE,"",VLOOKUP(B34,'startova listina'!$E$45:$G$68,2,0))</f>
        <v/>
      </c>
      <c r="D34" s="400" t="str">
        <f>IF(ISERROR(VLOOKUP(B34,'startova listina'!$E$45:$G$68,3,0))=TRUE,"",VLOOKUP(B34,'startova listina'!$E$45:$G$68,3,0))</f>
        <v/>
      </c>
    </row>
    <row r="35" spans="1:4" ht="18.75">
      <c r="A35" s="568"/>
      <c r="B35" s="181" t="str">
        <f>IF(ISERROR(VLOOKUP('pomocne poradie D4'!L35,'pomocne poradie D4'!$A$21:$C$36,3,0))=TRUE,"",(VLOOKUP('pomocne poradie D4'!L35,'pomocne poradie D4'!$A$21:$C$36,3,0)))</f>
        <v/>
      </c>
      <c r="C35" s="181" t="str">
        <f>IF(ISERROR(VLOOKUP(B35,'startova listina'!$E$45:$G$68,2,0))=TRUE,"",VLOOKUP(B35,'startova listina'!$E$45:$G$68,2,0))</f>
        <v/>
      </c>
      <c r="D35" s="189" t="str">
        <f>IF(ISERROR(VLOOKUP(B35,'startova listina'!$E$45:$G$68,3,0))=TRUE,"",VLOOKUP(B35,'startova listina'!$E$45:$G$68,3,0))</f>
        <v/>
      </c>
    </row>
    <row r="36" spans="1:4" ht="19.5" thickBot="1">
      <c r="A36" s="567"/>
      <c r="B36" s="184" t="str">
        <f>IF(ISERROR(VLOOKUP('pomocne poradie D4'!L36,'pomocne poradie D4'!$A$21:$C$36,3,0))=TRUE,"",(VLOOKUP('pomocne poradie D4'!L36,'pomocne poradie D4'!$A$21:$C$36,3,0)))</f>
        <v/>
      </c>
      <c r="C36" s="184" t="str">
        <f>IF(ISERROR(VLOOKUP(B36,'startova listina'!$E$45:$G$68,2,0))=TRUE,"",VLOOKUP(B36,'startova listina'!$E$45:$G$68,2,0))</f>
        <v/>
      </c>
      <c r="D36" s="185" t="str">
        <f>IF(ISERROR(VLOOKUP(B36,'startova listina'!$E$45:$G$68,3,0))=TRUE,"",VLOOKUP(B36,'startova listina'!$E$45:$G$68,3,0))</f>
        <v/>
      </c>
    </row>
    <row r="37" spans="1:4" ht="18.75">
      <c r="B37" s="30"/>
    </row>
  </sheetData>
  <mergeCells count="17">
    <mergeCell ref="A25:A26"/>
    <mergeCell ref="A1:D1"/>
    <mergeCell ref="A5:A6"/>
    <mergeCell ref="A7:A8"/>
    <mergeCell ref="A9:A10"/>
    <mergeCell ref="A11:A12"/>
    <mergeCell ref="A13:A14"/>
    <mergeCell ref="A15:A16"/>
    <mergeCell ref="A17:A18"/>
    <mergeCell ref="A19:A20"/>
    <mergeCell ref="A21:A22"/>
    <mergeCell ref="A23:A24"/>
    <mergeCell ref="A27:A28"/>
    <mergeCell ref="A29:A30"/>
    <mergeCell ref="A31:A32"/>
    <mergeCell ref="A33:A34"/>
    <mergeCell ref="A35:A36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D68"/>
  <sheetViews>
    <sheetView workbookViewId="0">
      <selection sqref="A1:XFD1048576"/>
    </sheetView>
  </sheetViews>
  <sheetFormatPr defaultRowHeight="15"/>
  <cols>
    <col min="1" max="1" width="9.140625" style="136"/>
    <col min="2" max="2" width="34.28515625" customWidth="1"/>
    <col min="3" max="3" width="12.28515625" customWidth="1"/>
    <col min="4" max="4" width="30.42578125" customWidth="1"/>
  </cols>
  <sheetData>
    <row r="1" spans="1:4" s="180" customFormat="1" ht="38.25" customHeight="1">
      <c r="A1" s="561" t="s">
        <v>511</v>
      </c>
      <c r="B1" s="562"/>
      <c r="C1" s="562"/>
      <c r="D1" s="562"/>
    </row>
    <row r="2" spans="1:4" ht="46.5" customHeight="1">
      <c r="C2" s="395" t="s">
        <v>512</v>
      </c>
    </row>
    <row r="3" spans="1:4" ht="30" customHeight="1" thickBot="1">
      <c r="A3" s="396" t="s">
        <v>393</v>
      </c>
    </row>
    <row r="4" spans="1:4" ht="19.5" thickBot="1">
      <c r="A4" s="186"/>
      <c r="B4" s="187" t="s">
        <v>3</v>
      </c>
      <c r="C4" s="187" t="s">
        <v>4</v>
      </c>
      <c r="D4" s="188" t="s">
        <v>5</v>
      </c>
    </row>
    <row r="5" spans="1:4" ht="18.75">
      <c r="A5" s="557">
        <v>1</v>
      </c>
      <c r="B5" s="397" t="str">
        <f>VLOOKUP(MIX!V4,vylosovanie!$N$143:$Q$190,3,0)</f>
        <v>PINDURA Tobiáš</v>
      </c>
      <c r="C5" s="397">
        <f>VLOOKUP(B5,'startova listina'!$E$8:$G$68,2,0)</f>
        <v>2001</v>
      </c>
      <c r="D5" s="398" t="str">
        <f>VLOOKUP(B5,'startova listina'!$E$8:$G$68,3,0)</f>
        <v>ŠKST RUŽOMBEROK</v>
      </c>
    </row>
    <row r="6" spans="1:4" ht="19.5" thickBot="1">
      <c r="A6" s="558"/>
      <c r="B6" s="399" t="str">
        <f>VLOOKUP(MIX!V4,vylosovanie!$N$143:$Q$190,4,0)</f>
        <v>ŠINKAROVÁ Dáša</v>
      </c>
      <c r="C6" s="399">
        <f>VLOOKUP(B6,'startova listina'!$E$8:$G$68,2,0)</f>
        <v>2001</v>
      </c>
      <c r="D6" s="400" t="str">
        <f>VLOOKUP(B6,'startova listina'!$E$8:$G$68,3,0)</f>
        <v>ŠKST MICHALOVCE</v>
      </c>
    </row>
    <row r="7" spans="1:4" ht="18.75">
      <c r="A7" s="559">
        <v>2</v>
      </c>
      <c r="B7" s="182" t="str">
        <f>VLOOKUP(MIX!V5,vylosovanie!$N$143:$Q$190,3,0)</f>
        <v>KYSEL Martin</v>
      </c>
      <c r="C7" s="182">
        <f>VLOOKUP(B7,'startova listina'!$E$8:$G$68,2,0)</f>
        <v>2001</v>
      </c>
      <c r="D7" s="183" t="str">
        <f>VLOOKUP(B7,'startova listina'!$E$8:$G$68,3,0)</f>
        <v>MSTK TVRDOŠÍN</v>
      </c>
    </row>
    <row r="8" spans="1:4" ht="19.5" thickBot="1">
      <c r="A8" s="560"/>
      <c r="B8" s="184" t="str">
        <f>VLOOKUP(MIX!V5,vylosovanie!$N$143:$Q$190,4,0)</f>
        <v>LABOŠOVÁ Ema</v>
      </c>
      <c r="C8" s="184">
        <f>VLOOKUP(B8,'startova listina'!$E$8:$G$68,2,0)</f>
        <v>2001</v>
      </c>
      <c r="D8" s="185" t="str">
        <f>VLOOKUP(B8,'startova listina'!$E$8:$G$68,3,0)</f>
        <v>ŠSTK JUNIOR ČAŇA</v>
      </c>
    </row>
    <row r="9" spans="1:4" ht="18.75">
      <c r="A9" s="563" t="s">
        <v>381</v>
      </c>
      <c r="B9" s="397" t="str">
        <f>VLOOKUP(MIX!V6,vylosovanie!$N$143:$Q$190,3,0)</f>
        <v>FEČO Samuel</v>
      </c>
      <c r="C9" s="397">
        <f>VLOOKUP(B9,'startova listina'!$E$8:$G$68,2,0)</f>
        <v>2001</v>
      </c>
      <c r="D9" s="398" t="str">
        <f>VLOOKUP(B9,'startova listina'!$E$8:$G$68,3,0)</f>
        <v>MŠK VSTK VRANOV NAD TOPĽOU</v>
      </c>
    </row>
    <row r="10" spans="1:4" ht="19.5" thickBot="1">
      <c r="A10" s="558"/>
      <c r="B10" s="399" t="str">
        <f>VLOOKUP(MIX!V6,vylosovanie!$N$143:$Q$190,4,0)</f>
        <v>DZELINSKA Júlia</v>
      </c>
      <c r="C10" s="399">
        <f>VLOOKUP(B10,'startova listina'!$E$8:$G$68,2,0)</f>
        <v>2002</v>
      </c>
      <c r="D10" s="400" t="str">
        <f>VLOOKUP(B10,'startova listina'!$E$8:$G$68,3,0)</f>
        <v>ŠKST MICHALOVCE/STK LOKOMOTÍVA KOŠICE</v>
      </c>
    </row>
    <row r="11" spans="1:4" ht="18.75">
      <c r="A11" s="556"/>
      <c r="B11" s="182" t="str">
        <f>VLOOKUP(MIX!V7,vylosovanie!$N$143:$Q$190,3,0)</f>
        <v>DIKO Dalibor</v>
      </c>
      <c r="C11" s="182">
        <f>VLOOKUP(B11,'startova listina'!$E$8:$G$68,2,0)</f>
        <v>2002</v>
      </c>
      <c r="D11" s="183" t="str">
        <f>VLOOKUP(B11,'startova listina'!$E$8:$G$68,3,0)</f>
        <v>TJ ORAVAN NÁMESTOVO</v>
      </c>
    </row>
    <row r="12" spans="1:4" ht="19.5" thickBot="1">
      <c r="A12" s="556"/>
      <c r="B12" s="184" t="str">
        <f>VLOOKUP(MIX!V7,vylosovanie!$N$143:$Q$190,4,0)</f>
        <v>PEKOVÁ Zuzana</v>
      </c>
      <c r="C12" s="184">
        <f>VLOOKUP(B12,'startova listina'!$E$8:$G$68,2,0)</f>
        <v>2002</v>
      </c>
      <c r="D12" s="185" t="str">
        <f>VLOOKUP(B12,'startova listina'!$E$8:$G$68,3,0)</f>
        <v>KST VIKTÓRIA TRNAVA</v>
      </c>
    </row>
    <row r="13" spans="1:4" ht="18.75">
      <c r="A13" s="557" t="s">
        <v>119</v>
      </c>
      <c r="B13" s="397" t="str">
        <f>VLOOKUP(MIX!V8,vylosovanie!$N$143:$Q$190,3,0)</f>
        <v>HURKA Rastislav</v>
      </c>
      <c r="C13" s="397">
        <f>VLOOKUP(B13,'startova listina'!$E$8:$G$68,2,0)</f>
        <v>2001</v>
      </c>
      <c r="D13" s="398" t="str">
        <f>VLOOKUP(B13,'startova listina'!$E$8:$G$68,3,0)</f>
        <v>STO VALALIKY</v>
      </c>
    </row>
    <row r="14" spans="1:4" ht="19.5" thickBot="1">
      <c r="A14" s="558"/>
      <c r="B14" s="399" t="str">
        <f>VLOOKUP(MIX!V8,vylosovanie!$N$143:$Q$190,4,0)</f>
        <v>MAJERSKÁ Alena</v>
      </c>
      <c r="C14" s="399">
        <f>VLOOKUP(B14,'startova listina'!$E$8:$G$68,2,0)</f>
        <v>2002</v>
      </c>
      <c r="D14" s="400" t="str">
        <f>VLOOKUP(B14,'startova listina'!$E$8:$G$68,3,0)</f>
        <v>STO VALALIKY</v>
      </c>
    </row>
    <row r="15" spans="1:4" ht="18.75">
      <c r="A15" s="556"/>
      <c r="B15" s="182" t="str">
        <f>VLOOKUP(MIX!V9,vylosovanie!$N$143:$Q$190,3,0)</f>
        <v>ĎANOVSKÝ Martin</v>
      </c>
      <c r="C15" s="182">
        <f>VLOOKUP(B15,'startova listina'!$E$8:$G$68,2,0)</f>
        <v>2002</v>
      </c>
      <c r="D15" s="183" t="str">
        <f>VLOOKUP(B15,'startova listina'!$E$8:$G$68,3,0)</f>
        <v>LOKOMOTÍVA VRÚTKY</v>
      </c>
    </row>
    <row r="16" spans="1:4" ht="19.5" thickBot="1">
      <c r="A16" s="556"/>
      <c r="B16" s="184" t="str">
        <f>VLOOKUP(MIX!V9,vylosovanie!$N$143:$Q$190,4,0)</f>
        <v>DIVINSKÁ Natália</v>
      </c>
      <c r="C16" s="184">
        <f>VLOOKUP(B16,'startova listina'!$E$8:$G$68,2,0)</f>
        <v>2002</v>
      </c>
      <c r="D16" s="185" t="str">
        <f>VLOOKUP(B16,'startova listina'!$E$8:$G$68,3,0)</f>
        <v>MSTK TVRDOŠÍN</v>
      </c>
    </row>
    <row r="17" spans="1:4" ht="18.75">
      <c r="A17" s="557"/>
      <c r="B17" s="397" t="str">
        <f>VLOOKUP(MIX!V10,vylosovanie!$N$143:$Q$190,3,0)</f>
        <v>TUREK Teodor</v>
      </c>
      <c r="C17" s="397">
        <f>VLOOKUP(B17,'startova listina'!$E$8:$G$68,2,0)</f>
        <v>2001</v>
      </c>
      <c r="D17" s="398" t="str">
        <f>VLOOKUP(B17,'startova listina'!$E$8:$G$68,3,0)</f>
        <v>ŠK ŠOG NITRA</v>
      </c>
    </row>
    <row r="18" spans="1:4" ht="19.5" thickBot="1">
      <c r="A18" s="558"/>
      <c r="B18" s="399" t="str">
        <f>VLOOKUP(MIX!V10,vylosovanie!$N$143:$Q$190,4,0)</f>
        <v>DZUROVÁ Lenka</v>
      </c>
      <c r="C18" s="399">
        <f>VLOOKUP(B18,'startova listina'!$E$8:$G$68,2,0)</f>
        <v>2002</v>
      </c>
      <c r="D18" s="400" t="str">
        <f>VLOOKUP(B18,'startova listina'!$E$8:$G$68,3,0)</f>
        <v>STK STARÁ TURÁ</v>
      </c>
    </row>
    <row r="19" spans="1:4" ht="18.75">
      <c r="A19" s="556"/>
      <c r="B19" s="182" t="str">
        <f>VLOOKUP(MIX!V11,vylosovanie!$N$143:$Q$190,3,0)</f>
        <v>PETRÍK Filip</v>
      </c>
      <c r="C19" s="182">
        <f>VLOOKUP(B19,'startova listina'!$E$8:$G$68,2,0)</f>
        <v>2001</v>
      </c>
      <c r="D19" s="183" t="str">
        <f>VLOOKUP(B19,'startova listina'!$E$8:$G$68,3,0)</f>
        <v>KST PLUS40 TREBIŠOV/ŠKST MICHALOVCE</v>
      </c>
    </row>
    <row r="20" spans="1:4" ht="19.5" thickBot="1">
      <c r="A20" s="556"/>
      <c r="B20" s="184" t="str">
        <f>VLOOKUP(MIX!V11,vylosovanie!$N$143:$Q$190,4,0)</f>
        <v>PAPCUNOVÁ Viktória</v>
      </c>
      <c r="C20" s="184">
        <f>VLOOKUP(B20,'startova listina'!$E$8:$G$68,2,0)</f>
        <v>2001</v>
      </c>
      <c r="D20" s="185" t="str">
        <f>VLOOKUP(B20,'startova listina'!$E$8:$G$68,3,0)</f>
        <v>ŠSTK JUNIOR ČAŇA</v>
      </c>
    </row>
    <row r="21" spans="1:4" ht="18.75">
      <c r="A21" s="557" t="s">
        <v>118</v>
      </c>
      <c r="B21" s="397" t="str">
        <f>VLOOKUP(MIX!V12,vylosovanie!$N$143:$Q$190,3,0)</f>
        <v>MILAN Martin</v>
      </c>
      <c r="C21" s="397">
        <f>VLOOKUP(B21,'startova listina'!$E$8:$G$68,2,0)</f>
        <v>2001</v>
      </c>
      <c r="D21" s="398" t="str">
        <f>VLOOKUP(B21,'startova listina'!$E$8:$G$68,3,0)</f>
        <v>1.PPC FORTUNA KEŽMAROK/TJ OBCE SPIŠSKÝ ŠTIAVNIK</v>
      </c>
    </row>
    <row r="22" spans="1:4" ht="19.5" thickBot="1">
      <c r="A22" s="558"/>
      <c r="B22" s="399" t="str">
        <f>VLOOKUP(MIX!V12,vylosovanie!$N$143:$Q$190,4,0)</f>
        <v>GAŠPARÍKOVÁ Lucia</v>
      </c>
      <c r="C22" s="399">
        <f>VLOOKUP(B22,'startova listina'!$E$8:$G$68,2,0)</f>
        <v>2002</v>
      </c>
      <c r="D22" s="400" t="str">
        <f>VLOOKUP(B22,'startova listina'!$E$8:$G$68,3,0)</f>
        <v>TTC MAJCICHOV</v>
      </c>
    </row>
    <row r="23" spans="1:4" ht="18.75">
      <c r="A23" s="556"/>
      <c r="B23" s="182" t="str">
        <f>VLOOKUP(MIX!V13,vylosovanie!$N$143:$Q$190,3,0)</f>
        <v>PACH Kamil</v>
      </c>
      <c r="C23" s="182">
        <f>VLOOKUP(B23,'startova listina'!$E$8:$G$68,2,0)</f>
        <v>2003</v>
      </c>
      <c r="D23" s="183" t="str">
        <f>VLOOKUP(B23,'startova listina'!$E$8:$G$68,3,0)</f>
        <v>STO VALALIKY</v>
      </c>
    </row>
    <row r="24" spans="1:4" ht="19.5" thickBot="1">
      <c r="A24" s="556"/>
      <c r="B24" s="184" t="str">
        <f>VLOOKUP(MIX!V13,vylosovanie!$N$143:$Q$190,4,0)</f>
        <v>VIŠŇOVSKÁ Nina</v>
      </c>
      <c r="C24" s="184">
        <f>VLOOKUP(B24,'startova listina'!$E$8:$G$68,2,0)</f>
        <v>2003</v>
      </c>
      <c r="D24" s="185" t="str">
        <f>VLOOKUP(B24,'startova listina'!$E$8:$G$68,3,0)</f>
        <v>TTC INTERSPEAD N.ZÁMKY</v>
      </c>
    </row>
    <row r="25" spans="1:4" ht="18.75">
      <c r="A25" s="557"/>
      <c r="B25" s="397" t="str">
        <f>VLOOKUP(MIX!V14,vylosovanie!$N$143:$Q$190,3,0)</f>
        <v>KLUČÁR Matej</v>
      </c>
      <c r="C25" s="397">
        <f>VLOOKUP(B25,'startova listina'!$E$8:$G$68,2,0)</f>
        <v>2002</v>
      </c>
      <c r="D25" s="398" t="str">
        <f>VLOOKUP(B25,'startova listina'!$E$8:$G$68,3,0)</f>
        <v>TTC MAJCICHOV</v>
      </c>
    </row>
    <row r="26" spans="1:4" ht="19.5" thickBot="1">
      <c r="A26" s="558"/>
      <c r="B26" s="399" t="str">
        <f>VLOOKUP(MIX!V14,vylosovanie!$N$143:$Q$190,4,0)</f>
        <v>GORFOLOVÁ Viktória</v>
      </c>
      <c r="C26" s="399">
        <f>VLOOKUP(B26,'startova listina'!$E$8:$G$68,2,0)</f>
        <v>2001</v>
      </c>
      <c r="D26" s="400" t="str">
        <f>VLOOKUP(B26,'startova listina'!$E$8:$G$68,3,0)</f>
        <v>GASTO METALFIN GALANTA</v>
      </c>
    </row>
    <row r="27" spans="1:4" ht="18.75">
      <c r="A27" s="556"/>
      <c r="B27" s="182" t="str">
        <f>VLOOKUP(MIX!V15,vylosovanie!$N$143:$Q$190,3,0)</f>
        <v>JALOVECKÝ Marek</v>
      </c>
      <c r="C27" s="181">
        <f>VLOOKUP(B27,'startova listina'!$E$8:$G$68,2,0)</f>
        <v>2001</v>
      </c>
      <c r="D27" s="189" t="str">
        <f>VLOOKUP(B27,'startova listina'!$E$8:$G$68,3,0)</f>
        <v>STK ZŠ NA BIELENISKU PEZINOK</v>
      </c>
    </row>
    <row r="28" spans="1:4" ht="19.5" thickBot="1">
      <c r="A28" s="556"/>
      <c r="B28" s="184" t="str">
        <f>VLOOKUP(MIX!V15,vylosovanie!$N$143:$Q$190,4,0)</f>
        <v>SLOBODNÍKOVÁ Hana</v>
      </c>
      <c r="C28" s="179">
        <f>VLOOKUP(B28,'startova listina'!$E$8:$G$68,2,0)</f>
        <v>2003</v>
      </c>
      <c r="D28" s="190" t="str">
        <f>VLOOKUP(B28,'startova listina'!$E$8:$G$68,3,0)</f>
        <v>ŠKST KARLOVA VES</v>
      </c>
    </row>
    <row r="29" spans="1:4" ht="18.75">
      <c r="A29" s="557"/>
      <c r="B29" s="397" t="str">
        <f>VLOOKUP(MIX!V16,vylosovanie!$N$143:$Q$190,3,0)</f>
        <v>MARUNIAK Martin</v>
      </c>
      <c r="C29" s="397">
        <f>VLOOKUP(B29,'startova listina'!$E$8:$G$68,2,0)</f>
        <v>2001</v>
      </c>
      <c r="D29" s="398" t="str">
        <f>VLOOKUP(B29,'startova listina'!$E$8:$G$68,3,0)</f>
        <v>MSTK VTJ MARTIN</v>
      </c>
    </row>
    <row r="30" spans="1:4" ht="19.5" thickBot="1">
      <c r="A30" s="558"/>
      <c r="B30" s="399" t="str">
        <f>VLOOKUP(MIX!V16,vylosovanie!$N$143:$Q$190,4,0)</f>
        <v>VOJTASOVA Patrícia</v>
      </c>
      <c r="C30" s="399">
        <f>VLOOKUP(B30,'startova listina'!$E$8:$G$68,2,0)</f>
        <v>2001</v>
      </c>
      <c r="D30" s="400" t="str">
        <f>VLOOKUP(B30,'startova listina'!$E$8:$G$68,3,0)</f>
        <v>ZŠ LIETAVSKÁ LÚČKA</v>
      </c>
    </row>
    <row r="31" spans="1:4" ht="18.75">
      <c r="A31" s="556"/>
      <c r="B31" s="182" t="str">
        <f>VLOOKUP(MIX!V17,vylosovanie!$N$143:$Q$190,3,0)</f>
        <v>CYPRICH Samuel</v>
      </c>
      <c r="C31" s="181">
        <f>VLOOKUP(B31,'startova listina'!$E$8:$G$68,2,0)</f>
        <v>2001</v>
      </c>
      <c r="D31" s="189" t="str">
        <f>VLOOKUP(B31,'startova listina'!$E$8:$G$68,3,0)</f>
        <v>MSK ČADCA</v>
      </c>
    </row>
    <row r="32" spans="1:4" ht="19.5" thickBot="1">
      <c r="A32" s="556"/>
      <c r="B32" s="184" t="str">
        <f>VLOOKUP(MIX!V17,vylosovanie!$N$143:$Q$190,4,0)</f>
        <v>ŠVAJDLENKOVÁ Laura</v>
      </c>
      <c r="C32" s="179">
        <f>VLOOKUP(B32,'startova listina'!$E$8:$G$68,2,0)</f>
        <v>2001</v>
      </c>
      <c r="D32" s="190" t="str">
        <f>VLOOKUP(B32,'startova listina'!$E$8:$G$68,3,0)</f>
        <v>MSK MALACKY</v>
      </c>
    </row>
    <row r="33" spans="1:4" ht="18.75">
      <c r="A33" s="557"/>
      <c r="B33" s="397" t="str">
        <f>VLOOKUP(MIX!V18,vylosovanie!$N$143:$Q$190,3,0)</f>
        <v>MAKÚCH Damian</v>
      </c>
      <c r="C33" s="397">
        <f>VLOOKUP(B33,'startova listina'!$E$8:$G$68,2,0)</f>
        <v>2001</v>
      </c>
      <c r="D33" s="398" t="str">
        <f>VLOOKUP(B33,'startova listina'!$E$8:$G$68,3,0)</f>
        <v>TJ ORAVAN NÁMESTOVO/TATRAN KRUŠETNICA</v>
      </c>
    </row>
    <row r="34" spans="1:4" ht="19.5" thickBot="1">
      <c r="A34" s="558"/>
      <c r="B34" s="399" t="str">
        <f>VLOOKUP(MIX!V18,vylosovanie!$N$143:$Q$190,4,0)</f>
        <v>GALČÍKOVÁ Sára</v>
      </c>
      <c r="C34" s="399">
        <f>VLOOKUP(B34,'startova listina'!$E$8:$G$68,2,0)</f>
        <v>2001</v>
      </c>
      <c r="D34" s="400" t="str">
        <f>VLOOKUP(B34,'startova listina'!$E$8:$G$68,3,0)</f>
        <v>TJ ORAVAN NÁMESTOVO</v>
      </c>
    </row>
    <row r="35" spans="1:4" ht="18.75">
      <c r="A35" s="559"/>
      <c r="B35" s="182" t="str">
        <f>VLOOKUP(MIX!V19,vylosovanie!$N$143:$Q$190,3,0)</f>
        <v>MIKLUŠČÁK Benjamín</v>
      </c>
      <c r="C35" s="182">
        <f>VLOOKUP(B35,'startova listina'!$E$8:$G$68,2,0)</f>
        <v>2002</v>
      </c>
      <c r="D35" s="183" t="str">
        <f>VLOOKUP(B35,'startova listina'!$E$8:$G$68,3,0)</f>
        <v>ŠKST KARLOVA VES</v>
      </c>
    </row>
    <row r="36" spans="1:4" ht="19.5" thickBot="1">
      <c r="A36" s="560"/>
      <c r="B36" s="184" t="str">
        <f>VLOOKUP(MIX!V19,vylosovanie!$N$143:$Q$190,4,0)</f>
        <v>LACENOVÁ Renáta</v>
      </c>
      <c r="C36" s="184">
        <f>VLOOKUP(B36,'startova listina'!$E$8:$G$68,2,0)</f>
        <v>2003</v>
      </c>
      <c r="D36" s="185" t="str">
        <f>VLOOKUP(B36,'startova listina'!$E$8:$G$68,3,0)</f>
        <v>ŠKST TOPOĽČANY</v>
      </c>
    </row>
    <row r="37" spans="1:4" ht="18.75">
      <c r="A37" s="564" t="str">
        <f>CONCATENATE("17","-",MIX!H1)</f>
        <v>17-24</v>
      </c>
      <c r="B37" s="397" t="str">
        <f>IF(ISERROR(VLOOKUP('pomocne poradie MIX'!L37,'pomocne poradie MIX'!$A$21:$C$68,3,0))=TRUE,"",(VLOOKUP('pomocne poradie MIX'!L37,'pomocne poradie MIX'!$A$21:$C$68,3,0)))</f>
        <v>DELINČAK Filip</v>
      </c>
      <c r="C37" s="397">
        <f>VLOOKUP(B37,'startova listina'!$E$8:$G$68,2,0)</f>
        <v>2003</v>
      </c>
      <c r="D37" s="398" t="str">
        <f>VLOOKUP(B37,'startova listina'!$E$8:$G$68,3,0)</f>
        <v>MSK ČADCA</v>
      </c>
    </row>
    <row r="38" spans="1:4" ht="19.5" thickBot="1">
      <c r="A38" s="565"/>
      <c r="B38" s="399" t="str">
        <f>IF(ISERROR(VLOOKUP('pomocne poradie MIX'!L38,'pomocne poradie MIX'!$A$21:$C$68,3,0))=TRUE,"",(VLOOKUP('pomocne poradie MIX'!L38,'pomocne poradie MIX'!$A$21:$C$68,3,0)))</f>
        <v>PISARČIKOVÁ Frederika</v>
      </c>
      <c r="C38" s="399">
        <f>VLOOKUP(B38,'startova listina'!$E$8:$G$68,2,0)</f>
        <v>2002</v>
      </c>
      <c r="D38" s="400" t="str">
        <f>VLOOKUP(B38,'startova listina'!$E$8:$G$68,3,0)</f>
        <v>ŠKST RUŽOMBEROK</v>
      </c>
    </row>
    <row r="39" spans="1:4" ht="18.75">
      <c r="A39" s="566"/>
      <c r="B39" s="182" t="str">
        <f>IF(ISERROR(VLOOKUP('pomocne poradie MIX'!L39,'pomocne poradie MIX'!$A$21:$C$68,3,0))=TRUE,"",(VLOOKUP('pomocne poradie MIX'!L39,'pomocne poradie MIX'!$A$21:$C$68,3,0)))</f>
        <v>IVANČO Félix</v>
      </c>
      <c r="C39" s="182">
        <f>VLOOKUP(B39,'startova listina'!$E$8:$G$68,2,0)</f>
        <v>2003</v>
      </c>
      <c r="D39" s="183" t="str">
        <f>VLOOKUP(B39,'startova listina'!$E$8:$G$68,3,0)</f>
        <v>MSK MALACKY</v>
      </c>
    </row>
    <row r="40" spans="1:4" ht="19.5" thickBot="1">
      <c r="A40" s="567"/>
      <c r="B40" s="184" t="str">
        <f>IF(ISERROR(VLOOKUP('pomocne poradie MIX'!L40,'pomocne poradie MIX'!$A$21:$C$68,3,0))=TRUE,"",(VLOOKUP('pomocne poradie MIX'!L40,'pomocne poradie MIX'!$A$21:$C$68,3,0)))</f>
        <v>HURBANOVÁ Isabella</v>
      </c>
      <c r="C40" s="184">
        <f>VLOOKUP(B40,'startova listina'!$E$8:$G$68,2,0)</f>
        <v>2003</v>
      </c>
      <c r="D40" s="185" t="str">
        <f>VLOOKUP(B40,'startova listina'!$E$8:$G$68,3,0)</f>
        <v>MSK MALACKY</v>
      </c>
    </row>
    <row r="41" spans="1:4" ht="18.75">
      <c r="A41" s="564"/>
      <c r="B41" s="397" t="str">
        <f>IF(ISERROR(VLOOKUP('pomocne poradie MIX'!L41,'pomocne poradie MIX'!$A$21:$C$68,3,0))=TRUE,"",(VLOOKUP('pomocne poradie MIX'!L41,'pomocne poradie MIX'!$A$21:$C$68,3,0)))</f>
        <v>FEČO Michal</v>
      </c>
      <c r="C41" s="397">
        <f>VLOOKUP(B41,'startova listina'!$E$8:$G$68,2,0)</f>
        <v>2001</v>
      </c>
      <c r="D41" s="398" t="str">
        <f>VLOOKUP(B41,'startova listina'!$E$8:$G$68,3,0)</f>
        <v>MŠK VSTK VRANOV NAD TOPĽOU</v>
      </c>
    </row>
    <row r="42" spans="1:4" ht="19.5" thickBot="1">
      <c r="A42" s="565"/>
      <c r="B42" s="399" t="str">
        <f>IF(ISERROR(VLOOKUP('pomocne poradie MIX'!L42,'pomocne poradie MIX'!$A$21:$C$68,3,0))=TRUE,"",(VLOOKUP('pomocne poradie MIX'!L42,'pomocne poradie MIX'!$A$21:$C$68,3,0)))</f>
        <v>TEREZKOVÁ Jana</v>
      </c>
      <c r="C42" s="399">
        <f>VLOOKUP(B42,'startova listina'!$E$8:$G$68,2,0)</f>
        <v>2002</v>
      </c>
      <c r="D42" s="400" t="str">
        <f>VLOOKUP(B42,'startova listina'!$E$8:$G$68,3,0)</f>
        <v>ŠKST MICHALOVCE</v>
      </c>
    </row>
    <row r="43" spans="1:4" ht="18.75">
      <c r="A43" s="566"/>
      <c r="B43" s="182" t="str">
        <f>IF(ISERROR(VLOOKUP('pomocne poradie MIX'!L43,'pomocne poradie MIX'!$A$21:$C$68,3,0))=TRUE,"",(VLOOKUP('pomocne poradie MIX'!L43,'pomocne poradie MIX'!$A$21:$C$68,3,0)))</f>
        <v>FREUND Andrej</v>
      </c>
      <c r="C43" s="182">
        <f>VLOOKUP(B43,'startova listina'!$E$8:$G$68,2,0)</f>
        <v>2002</v>
      </c>
      <c r="D43" s="183" t="str">
        <f>VLOOKUP(B43,'startova listina'!$E$8:$G$68,3,0)</f>
        <v>MSK MALACKY</v>
      </c>
    </row>
    <row r="44" spans="1:4" ht="19.5" thickBot="1">
      <c r="A44" s="567"/>
      <c r="B44" s="184" t="str">
        <f>IF(ISERROR(VLOOKUP('pomocne poradie MIX'!L44,'pomocne poradie MIX'!$A$21:$C$68,3,0))=TRUE,"",(VLOOKUP('pomocne poradie MIX'!L44,'pomocne poradie MIX'!$A$21:$C$68,3,0)))</f>
        <v>LEDAJOVÁ Martina</v>
      </c>
      <c r="C44" s="184">
        <f>VLOOKUP(B44,'startova listina'!$E$8:$G$68,2,0)</f>
        <v>2001</v>
      </c>
      <c r="D44" s="185" t="str">
        <f>VLOOKUP(B44,'startova listina'!$E$8:$G$68,3,0)</f>
        <v>STK OROL OTRHÁNKY</v>
      </c>
    </row>
    <row r="45" spans="1:4" ht="18.75">
      <c r="A45" s="564"/>
      <c r="B45" s="397" t="str">
        <f>IF(ISERROR(VLOOKUP('pomocne poradie MIX'!L45,'pomocne poradie MIX'!$A$21:$C$68,3,0))=TRUE,"",(VLOOKUP('pomocne poradie MIX'!L45,'pomocne poradie MIX'!$A$21:$C$68,3,0)))</f>
        <v>KLAJBER Adam</v>
      </c>
      <c r="C45" s="397">
        <f>VLOOKUP(B45,'startova listina'!$E$8:$G$68,2,0)</f>
        <v>2003</v>
      </c>
      <c r="D45" s="398" t="str">
        <f>VLOOKUP(B45,'startova listina'!$E$8:$G$68,3,0)</f>
        <v>SŠK POPROČ</v>
      </c>
    </row>
    <row r="46" spans="1:4" ht="19.5" thickBot="1">
      <c r="A46" s="565"/>
      <c r="B46" s="399" t="str">
        <f>IF(ISERROR(VLOOKUP('pomocne poradie MIX'!L46,'pomocne poradie MIX'!$A$21:$C$68,3,0))=TRUE,"",(VLOOKUP('pomocne poradie MIX'!L46,'pomocne poradie MIX'!$A$21:$C$68,3,0)))</f>
        <v>SISKOVÁ Zuzana</v>
      </c>
      <c r="C46" s="399">
        <f>VLOOKUP(B46,'startova listina'!$E$8:$G$68,2,0)</f>
        <v>2003</v>
      </c>
      <c r="D46" s="400" t="str">
        <f>VLOOKUP(B46,'startova listina'!$E$8:$G$68,3,0)</f>
        <v>TTC MAJCICHOV</v>
      </c>
    </row>
    <row r="47" spans="1:4" ht="18.75">
      <c r="A47" s="566"/>
      <c r="B47" s="182" t="str">
        <f>IF(ISERROR(VLOOKUP('pomocne poradie MIX'!L47,'pomocne poradie MIX'!$A$21:$C$68,3,0))=TRUE,"",(VLOOKUP('pomocne poradie MIX'!L47,'pomocne poradie MIX'!$A$21:$C$68,3,0)))</f>
        <v>PAPÁNEK Martin</v>
      </c>
      <c r="C47" s="182">
        <f>VLOOKUP(B47,'startova listina'!$E$8:$G$68,2,0)</f>
        <v>2001</v>
      </c>
      <c r="D47" s="183" t="str">
        <f>VLOOKUP(B47,'startova listina'!$E$8:$G$68,3,0)</f>
        <v>STK NOVÁ BAŇA/PODLUŽANY</v>
      </c>
    </row>
    <row r="48" spans="1:4" ht="19.5" thickBot="1">
      <c r="A48" s="567"/>
      <c r="B48" s="184" t="str">
        <f>IF(ISERROR(VLOOKUP('pomocne poradie MIX'!L48,'pomocne poradie MIX'!$A$21:$C$68,3,0))=TRUE,"",(VLOOKUP('pomocne poradie MIX'!L48,'pomocne poradie MIX'!$A$21:$C$68,3,0)))</f>
        <v>MIKULOVÁ Terézia</v>
      </c>
      <c r="C48" s="184">
        <f>VLOOKUP(B48,'startova listina'!$E$8:$G$68,2,0)</f>
        <v>2001</v>
      </c>
      <c r="D48" s="185" t="str">
        <f>VLOOKUP(B48,'startova listina'!$E$8:$G$68,3,0)</f>
        <v>KST DRIVE TR. JASTRABIE</v>
      </c>
    </row>
    <row r="49" spans="1:4" ht="18.75">
      <c r="A49" s="564"/>
      <c r="B49" s="397" t="str">
        <f>IF(ISERROR(VLOOKUP('pomocne poradie MIX'!L49,'pomocne poradie MIX'!$A$21:$C$68,3,0))=TRUE,"",(VLOOKUP('pomocne poradie MIX'!L49,'pomocne poradie MIX'!$A$21:$C$68,3,0)))</f>
        <v>KAPUSTA Martin</v>
      </c>
      <c r="C49" s="397">
        <f>VLOOKUP(B49,'startova listina'!$E$8:$G$68,2,0)</f>
        <v>2002</v>
      </c>
      <c r="D49" s="398" t="str">
        <f>VLOOKUP(B49,'startova listina'!$E$8:$G$68,3,0)</f>
        <v>MSK ČADCA</v>
      </c>
    </row>
    <row r="50" spans="1:4" ht="19.5" thickBot="1">
      <c r="A50" s="565"/>
      <c r="B50" s="399" t="str">
        <f>IF(ISERROR(VLOOKUP('pomocne poradie MIX'!L50,'pomocne poradie MIX'!$A$21:$C$68,3,0))=TRUE,"",(VLOOKUP('pomocne poradie MIX'!L50,'pomocne poradie MIX'!$A$21:$C$68,3,0)))</f>
        <v>CHYLOVÁ Sabína</v>
      </c>
      <c r="C50" s="399">
        <f>VLOOKUP(B50,'startova listina'!$E$8:$G$68,2,0)</f>
        <v>2001</v>
      </c>
      <c r="D50" s="400" t="str">
        <f>VLOOKUP(B50,'startova listina'!$E$8:$G$68,3,0)</f>
        <v>MSTK TVRDOŠÍN</v>
      </c>
    </row>
    <row r="51" spans="1:4" ht="18.75">
      <c r="A51" s="566"/>
      <c r="B51" s="182" t="str">
        <f>IF(ISERROR(VLOOKUP('pomocne poradie MIX'!L51,'pomocne poradie MIX'!$A$21:$C$68,3,0))=TRUE,"",(VLOOKUP('pomocne poradie MIX'!L51,'pomocne poradie MIX'!$A$21:$C$68,3,0)))</f>
        <v>VICO Dávid</v>
      </c>
      <c r="C51" s="182">
        <f>IF(ISERROR(VLOOKUP(B51,'startova listina'!$E$8:$G$68,2,0))=TRUE,"",VLOOKUP(B51,'startova listina'!$E$8:$G$68,2,0))</f>
        <v>2001</v>
      </c>
      <c r="D51" s="183" t="str">
        <f>IF(ISERROR(VLOOKUP(B51,'startova listina'!$E$8:$G$68,3,0))=TRUE,"",VLOOKUP(B51,'startova listina'!$E$8:$G$68,3,0))</f>
        <v>STO VALALIKY</v>
      </c>
    </row>
    <row r="52" spans="1:4" ht="19.5" thickBot="1">
      <c r="A52" s="567"/>
      <c r="B52" s="184" t="str">
        <f>IF(ISERROR(VLOOKUP('pomocne poradie MIX'!L52,'pomocne poradie MIX'!$A$21:$C$68,3,0))=TRUE,"",(VLOOKUP('pomocne poradie MIX'!L52,'pomocne poradie MIX'!$A$21:$C$68,3,0)))</f>
        <v>HUDÁKOVÁ Ivana</v>
      </c>
      <c r="C52" s="184">
        <f>IF(ISERROR(VLOOKUP(B52,'startova listina'!$E$8:$G$68,2,0))=TRUE,"",VLOOKUP(B52,'startova listina'!$E$8:$G$68,2,0))</f>
        <v>2001</v>
      </c>
      <c r="D52" s="185" t="str">
        <f>IF(ISERROR(VLOOKUP(B52,'startova listina'!$E$8:$G$68,3,0))=TRUE,"",VLOOKUP(B52,'startova listina'!$E$8:$G$68,3,0))</f>
        <v>ZŠ VYŠNÝ ŽIPOV</v>
      </c>
    </row>
    <row r="53" spans="1:4" ht="18.75">
      <c r="A53" s="566"/>
      <c r="B53" s="182" t="str">
        <f>IF(ISERROR(VLOOKUP('pomocne poradie MIX'!L53,'pomocne poradie MIX'!$A$21:$C$68,3,0))=TRUE,"",(VLOOKUP('pomocne poradie MIX'!L53,'pomocne poradie MIX'!$A$21:$C$68,3,0)))</f>
        <v/>
      </c>
      <c r="C53" s="182" t="str">
        <f>IF(ISERROR(VLOOKUP(B53,'startova listina'!$E$8:$G$68,2,0))=TRUE,"",VLOOKUP(B53,'startova listina'!$E$8:$G$68,2,0))</f>
        <v/>
      </c>
      <c r="D53" s="183" t="str">
        <f>IF(ISERROR(VLOOKUP(B53,'startova listina'!$E$8:$G$68,3,0))=TRUE,"",VLOOKUP(B53,'startova listina'!$E$8:$G$68,3,0))</f>
        <v/>
      </c>
    </row>
    <row r="54" spans="1:4" ht="19.5" thickBot="1">
      <c r="A54" s="567"/>
      <c r="B54" s="184" t="str">
        <f>IF(ISERROR(VLOOKUP('pomocne poradie MIX'!L54,'pomocne poradie MIX'!$A$21:$C$68,3,0))=TRUE,"",(VLOOKUP('pomocne poradie MIX'!L54,'pomocne poradie MIX'!$A$21:$C$68,3,0)))</f>
        <v/>
      </c>
      <c r="C54" s="184" t="str">
        <f>IF(ISERROR(VLOOKUP(B54,'startova listina'!$E$8:$G$68,2,0))=TRUE,"",VLOOKUP(B54,'startova listina'!$E$8:$G$68,2,0))</f>
        <v/>
      </c>
      <c r="D54" s="185" t="str">
        <f>IF(ISERROR(VLOOKUP(B54,'startova listina'!$E$8:$G$68,3,0))=TRUE,"",VLOOKUP(B54,'startova listina'!$E$8:$G$68,3,0))</f>
        <v/>
      </c>
    </row>
    <row r="55" spans="1:4" ht="18.75">
      <c r="A55" s="566"/>
      <c r="B55" s="182" t="str">
        <f>IF(ISERROR(VLOOKUP('pomocne poradie MIX'!L55,'pomocne poradie MIX'!$A$21:$C$68,3,0))=TRUE,"",(VLOOKUP('pomocne poradie MIX'!L55,'pomocne poradie MIX'!$A$21:$C$68,3,0)))</f>
        <v/>
      </c>
      <c r="C55" s="182" t="str">
        <f>IF(ISERROR(VLOOKUP(B55,'startova listina'!$E$8:$G$68,2,0))=TRUE,"",VLOOKUP(B55,'startova listina'!$E$8:$G$68,2,0))</f>
        <v/>
      </c>
      <c r="D55" s="183" t="str">
        <f>IF(ISERROR(VLOOKUP(B55,'startova listina'!$E$8:$G$68,3,0))=TRUE,"",VLOOKUP(B55,'startova listina'!$E$8:$G$68,3,0))</f>
        <v/>
      </c>
    </row>
    <row r="56" spans="1:4" ht="19.5" thickBot="1">
      <c r="A56" s="567"/>
      <c r="B56" s="184" t="str">
        <f>IF(ISERROR(VLOOKUP('pomocne poradie MIX'!L56,'pomocne poradie MIX'!$A$21:$C$68,3,0))=TRUE,"",(VLOOKUP('pomocne poradie MIX'!L56,'pomocne poradie MIX'!$A$21:$C$68,3,0)))</f>
        <v/>
      </c>
      <c r="C56" s="184" t="str">
        <f>IF(ISERROR(VLOOKUP(B56,'startova listina'!$E$8:$G$68,2,0))=TRUE,"",VLOOKUP(B56,'startova listina'!$E$8:$G$68,2,0))</f>
        <v/>
      </c>
      <c r="D56" s="185" t="str">
        <f>IF(ISERROR(VLOOKUP(B56,'startova listina'!$E$8:$G$68,3,0))=TRUE,"",VLOOKUP(B56,'startova listina'!$E$8:$G$68,3,0))</f>
        <v/>
      </c>
    </row>
    <row r="57" spans="1:4" ht="18.75">
      <c r="A57" s="566"/>
      <c r="B57" s="182" t="str">
        <f>IF(ISERROR(VLOOKUP('pomocne poradie MIX'!L57,'pomocne poradie MIX'!$A$21:$C$68,3,0))=TRUE,"",(VLOOKUP('pomocne poradie MIX'!L57,'pomocne poradie MIX'!$A$21:$C$68,3,0)))</f>
        <v/>
      </c>
      <c r="C57" s="182" t="str">
        <f>IF(ISERROR(VLOOKUP(B57,'startova listina'!$E$8:$G$68,2,0))=TRUE,"",VLOOKUP(B57,'startova listina'!$E$8:$G$68,2,0))</f>
        <v/>
      </c>
      <c r="D57" s="183" t="str">
        <f>IF(ISERROR(VLOOKUP(B57,'startova listina'!$E$8:$G$68,3,0))=TRUE,"",VLOOKUP(B57,'startova listina'!$E$8:$G$68,3,0))</f>
        <v/>
      </c>
    </row>
    <row r="58" spans="1:4" ht="19.5" thickBot="1">
      <c r="A58" s="567"/>
      <c r="B58" s="184" t="str">
        <f>IF(ISERROR(VLOOKUP('pomocne poradie MIX'!L58,'pomocne poradie MIX'!$A$21:$C$68,3,0))=TRUE,"",(VLOOKUP('pomocne poradie MIX'!L58,'pomocne poradie MIX'!$A$21:$C$68,3,0)))</f>
        <v/>
      </c>
      <c r="C58" s="184" t="str">
        <f>IF(ISERROR(VLOOKUP(B58,'startova listina'!$E$8:$G$68,2,0))=TRUE,"",VLOOKUP(B58,'startova listina'!$E$8:$G$68,2,0))</f>
        <v/>
      </c>
      <c r="D58" s="185" t="str">
        <f>IF(ISERROR(VLOOKUP(B58,'startova listina'!$E$8:$G$68,3,0))=TRUE,"",VLOOKUP(B58,'startova listina'!$E$8:$G$68,3,0))</f>
        <v/>
      </c>
    </row>
    <row r="59" spans="1:4" ht="18.75">
      <c r="A59" s="566"/>
      <c r="B59" s="182" t="str">
        <f>IF(ISERROR(VLOOKUP('pomocne poradie MIX'!L59,'pomocne poradie MIX'!$A$21:$C$68,3,0))=TRUE,"",(VLOOKUP('pomocne poradie MIX'!L59,'pomocne poradie MIX'!$A$21:$C$68,3,0)))</f>
        <v/>
      </c>
      <c r="C59" s="182" t="str">
        <f>IF(ISERROR(VLOOKUP(B59,'startova listina'!$E$8:$G$68,2,0))=TRUE,"",VLOOKUP(B59,'startova listina'!$E$8:$G$68,2,0))</f>
        <v/>
      </c>
      <c r="D59" s="183" t="str">
        <f>IF(ISERROR(VLOOKUP(B59,'startova listina'!$E$8:$G$68,3,0))=TRUE,"",VLOOKUP(B59,'startova listina'!$E$8:$G$68,3,0))</f>
        <v/>
      </c>
    </row>
    <row r="60" spans="1:4" ht="19.5" thickBot="1">
      <c r="A60" s="567"/>
      <c r="B60" s="184" t="str">
        <f>IF(ISERROR(VLOOKUP('pomocne poradie MIX'!L60,'pomocne poradie MIX'!$A$21:$C$68,3,0))=TRUE,"",(VLOOKUP('pomocne poradie MIX'!L60,'pomocne poradie MIX'!$A$21:$C$68,3,0)))</f>
        <v/>
      </c>
      <c r="C60" s="184" t="str">
        <f>IF(ISERROR(VLOOKUP(B60,'startova listina'!$E$8:$G$68,2,0))=TRUE,"",VLOOKUP(B60,'startova listina'!$E$8:$G$68,2,0))</f>
        <v/>
      </c>
      <c r="D60" s="185" t="str">
        <f>IF(ISERROR(VLOOKUP(B60,'startova listina'!$E$8:$G$68,3,0))=TRUE,"",VLOOKUP(B60,'startova listina'!$E$8:$G$68,3,0))</f>
        <v/>
      </c>
    </row>
    <row r="61" spans="1:4" ht="18.75">
      <c r="A61" s="566"/>
      <c r="B61" s="182" t="str">
        <f>IF(ISERROR(VLOOKUP('pomocne poradie MIX'!L61,'pomocne poradie MIX'!$A$21:$C$68,3,0))=TRUE,"",(VLOOKUP('pomocne poradie MIX'!L61,'pomocne poradie MIX'!$A$21:$C$68,3,0)))</f>
        <v/>
      </c>
      <c r="C61" s="182" t="str">
        <f>IF(ISERROR(VLOOKUP(B61,'startova listina'!$E$8:$G$68,2,0))=TRUE,"",VLOOKUP(B61,'startova listina'!$E$8:$G$68,2,0))</f>
        <v/>
      </c>
      <c r="D61" s="183" t="str">
        <f>IF(ISERROR(VLOOKUP(B61,'startova listina'!$E$8:$G$68,3,0))=TRUE,"",VLOOKUP(B61,'startova listina'!$E$8:$G$68,3,0))</f>
        <v/>
      </c>
    </row>
    <row r="62" spans="1:4" ht="19.5" thickBot="1">
      <c r="A62" s="567"/>
      <c r="B62" s="184" t="str">
        <f>IF(ISERROR(VLOOKUP('pomocne poradie MIX'!L62,'pomocne poradie MIX'!$A$21:$C$68,3,0))=TRUE,"",(VLOOKUP('pomocne poradie MIX'!L62,'pomocne poradie MIX'!$A$21:$C$68,3,0)))</f>
        <v/>
      </c>
      <c r="C62" s="184" t="str">
        <f>IF(ISERROR(VLOOKUP(B62,'startova listina'!$E$8:$G$68,2,0))=TRUE,"",VLOOKUP(B62,'startova listina'!$E$8:$G$68,2,0))</f>
        <v/>
      </c>
      <c r="D62" s="185" t="str">
        <f>IF(ISERROR(VLOOKUP(B62,'startova listina'!$E$8:$G$68,3,0))=TRUE,"",VLOOKUP(B62,'startova listina'!$E$8:$G$68,3,0))</f>
        <v/>
      </c>
    </row>
    <row r="63" spans="1:4" ht="18.75">
      <c r="A63" s="566"/>
      <c r="B63" s="182" t="str">
        <f>IF(ISERROR(VLOOKUP('pomocne poradie MIX'!L63,'pomocne poradie MIX'!$A$21:$C$68,3,0))=TRUE,"",(VLOOKUP('pomocne poradie MIX'!L63,'pomocne poradie MIX'!$A$21:$C$68,3,0)))</f>
        <v/>
      </c>
      <c r="C63" s="182" t="str">
        <f>IF(ISERROR(VLOOKUP(B63,'startova listina'!$E$8:$G$68,2,0))=TRUE,"",VLOOKUP(B63,'startova listina'!$E$8:$G$68,2,0))</f>
        <v/>
      </c>
      <c r="D63" s="183" t="str">
        <f>IF(ISERROR(VLOOKUP(B63,'startova listina'!$E$8:$G$68,3,0))=TRUE,"",VLOOKUP(B63,'startova listina'!$E$8:$G$68,3,0))</f>
        <v/>
      </c>
    </row>
    <row r="64" spans="1:4" ht="19.5" thickBot="1">
      <c r="A64" s="567"/>
      <c r="B64" s="184" t="str">
        <f>IF(ISERROR(VLOOKUP('pomocne poradie MIX'!L64,'pomocne poradie MIX'!$A$21:$C$68,3,0))=TRUE,"",(VLOOKUP('pomocne poradie MIX'!L64,'pomocne poradie MIX'!$A$21:$C$68,3,0)))</f>
        <v/>
      </c>
      <c r="C64" s="184" t="str">
        <f>IF(ISERROR(VLOOKUP(B64,'startova listina'!$E$8:$G$68,2,0))=TRUE,"",VLOOKUP(B64,'startova listina'!$E$8:$G$68,2,0))</f>
        <v/>
      </c>
      <c r="D64" s="185" t="str">
        <f>IF(ISERROR(VLOOKUP(B64,'startova listina'!$E$8:$G$68,3,0))=TRUE,"",VLOOKUP(B64,'startova listina'!$E$8:$G$68,3,0))</f>
        <v/>
      </c>
    </row>
    <row r="65" spans="1:4" ht="18.75">
      <c r="A65" s="566"/>
      <c r="B65" s="182" t="str">
        <f>IF(ISERROR(VLOOKUP('pomocne poradie MIX'!L65,'pomocne poradie MIX'!$A$21:$C$68,3,0))=TRUE,"",(VLOOKUP('pomocne poradie MIX'!L65,'pomocne poradie MIX'!$A$21:$C$68,3,0)))</f>
        <v/>
      </c>
      <c r="C65" s="182" t="str">
        <f>IF(ISERROR(VLOOKUP(B65,'startova listina'!$E$8:$G$68,2,0))=TRUE,"",VLOOKUP(B65,'startova listina'!$E$8:$G$68,2,0))</f>
        <v/>
      </c>
      <c r="D65" s="183" t="str">
        <f>IF(ISERROR(VLOOKUP(B65,'startova listina'!$E$8:$G$68,3,0))=TRUE,"",VLOOKUP(B65,'startova listina'!$E$8:$G$68,3,0))</f>
        <v/>
      </c>
    </row>
    <row r="66" spans="1:4" ht="19.5" thickBot="1">
      <c r="A66" s="567"/>
      <c r="B66" s="184" t="str">
        <f>IF(ISERROR(VLOOKUP('pomocne poradie MIX'!L66,'pomocne poradie MIX'!$A$21:$C$68,3,0))=TRUE,"",(VLOOKUP('pomocne poradie MIX'!L66,'pomocne poradie MIX'!$A$21:$C$68,3,0)))</f>
        <v/>
      </c>
      <c r="C66" s="184" t="str">
        <f>IF(ISERROR(VLOOKUP(B66,'startova listina'!$E$8:$G$68,2,0))=TRUE,"",VLOOKUP(B66,'startova listina'!$E$8:$G$68,2,0))</f>
        <v/>
      </c>
      <c r="D66" s="185" t="str">
        <f>IF(ISERROR(VLOOKUP(B66,'startova listina'!$E$8:$G$68,3,0))=TRUE,"",VLOOKUP(B66,'startova listina'!$E$8:$G$68,3,0))</f>
        <v/>
      </c>
    </row>
    <row r="67" spans="1:4" ht="18.75">
      <c r="A67" s="566"/>
      <c r="B67" s="182" t="str">
        <f>IF(ISERROR(VLOOKUP('pomocne poradie MIX'!L67,'pomocne poradie MIX'!$A$21:$C$68,3,0))=TRUE,"",(VLOOKUP('pomocne poradie MIX'!L67,'pomocne poradie MIX'!$A$21:$C$68,3,0)))</f>
        <v/>
      </c>
      <c r="C67" s="182" t="str">
        <f>IF(ISERROR(VLOOKUP(B67,'startova listina'!$E$8:$G$68,2,0))=TRUE,"",VLOOKUP(B67,'startova listina'!$E$8:$G$68,2,0))</f>
        <v/>
      </c>
      <c r="D67" s="183" t="str">
        <f>IF(ISERROR(VLOOKUP(B67,'startova listina'!$E$8:$G$68,3,0))=TRUE,"",VLOOKUP(B67,'startova listina'!$E$8:$G$68,3,0))</f>
        <v/>
      </c>
    </row>
    <row r="68" spans="1:4" ht="19.5" thickBot="1">
      <c r="A68" s="567"/>
      <c r="B68" s="184" t="str">
        <f>IF(ISERROR(VLOOKUP('pomocne poradie MIX'!L68,'pomocne poradie MIX'!$A$21:$C$68,3,0))=TRUE,"",(VLOOKUP('pomocne poradie MIX'!L68,'pomocne poradie MIX'!$A$21:$C$68,3,0)))</f>
        <v/>
      </c>
      <c r="C68" s="184" t="str">
        <f>IF(ISERROR(VLOOKUP(B68,'startova listina'!$E$8:$G$68,2,0))=TRUE,"",VLOOKUP(B68,'startova listina'!$E$8:$G$68,2,0))</f>
        <v/>
      </c>
      <c r="D68" s="185" t="str">
        <f>IF(ISERROR(VLOOKUP(B68,'startova listina'!$E$8:$G$68,3,0))=TRUE,"",VLOOKUP(B68,'startova listina'!$E$8:$G$68,3,0))</f>
        <v/>
      </c>
    </row>
  </sheetData>
  <mergeCells count="33">
    <mergeCell ref="A25:A26"/>
    <mergeCell ref="A1:D1"/>
    <mergeCell ref="A5:A6"/>
    <mergeCell ref="A7:A8"/>
    <mergeCell ref="A9:A10"/>
    <mergeCell ref="A11:A12"/>
    <mergeCell ref="A13:A14"/>
    <mergeCell ref="A15:A16"/>
    <mergeCell ref="A17:A18"/>
    <mergeCell ref="A19:A20"/>
    <mergeCell ref="A21:A22"/>
    <mergeCell ref="A23:A24"/>
    <mergeCell ref="A49:A50"/>
    <mergeCell ref="A27:A28"/>
    <mergeCell ref="A29:A30"/>
    <mergeCell ref="A31:A32"/>
    <mergeCell ref="A33:A34"/>
    <mergeCell ref="A35:A36"/>
    <mergeCell ref="A37:A38"/>
    <mergeCell ref="A39:A40"/>
    <mergeCell ref="A41:A42"/>
    <mergeCell ref="A43:A44"/>
    <mergeCell ref="A45:A46"/>
    <mergeCell ref="A47:A48"/>
    <mergeCell ref="A63:A64"/>
    <mergeCell ref="A65:A66"/>
    <mergeCell ref="A67:A68"/>
    <mergeCell ref="A51:A52"/>
    <mergeCell ref="A53:A54"/>
    <mergeCell ref="A55:A56"/>
    <mergeCell ref="A57:A58"/>
    <mergeCell ref="A59:A60"/>
    <mergeCell ref="A61:A6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Q88"/>
  <sheetViews>
    <sheetView showGridLines="0" view="pageBreakPreview" topLeftCell="A8" zoomScale="80" zoomScaleNormal="90" zoomScaleSheetLayoutView="80" workbookViewId="0">
      <selection activeCell="O56" sqref="O56"/>
    </sheetView>
  </sheetViews>
  <sheetFormatPr defaultRowHeight="15"/>
  <cols>
    <col min="1" max="1" width="7.85546875" customWidth="1"/>
    <col min="2" max="2" width="10.5703125" customWidth="1"/>
    <col min="3" max="3" width="9.85546875" hidden="1" customWidth="1"/>
    <col min="4" max="4" width="10.7109375" hidden="1" customWidth="1"/>
    <col min="5" max="5" width="16.28515625" customWidth="1"/>
    <col min="6" max="6" width="17.85546875" customWidth="1"/>
    <col min="7" max="7" width="15.85546875" customWidth="1"/>
    <col min="8" max="8" width="16.42578125" customWidth="1"/>
    <col min="9" max="9" width="18.42578125" customWidth="1"/>
    <col min="10" max="10" width="15.85546875" customWidth="1"/>
    <col min="11" max="11" width="16.5703125" customWidth="1"/>
    <col min="12" max="12" width="15.42578125" customWidth="1"/>
  </cols>
  <sheetData>
    <row r="1" spans="1:13" ht="20.25">
      <c r="A1" s="470"/>
      <c r="B1" s="470"/>
      <c r="C1" s="470"/>
      <c r="D1" s="470"/>
      <c r="E1" s="470"/>
      <c r="F1" s="470"/>
      <c r="G1" s="470"/>
      <c r="H1" s="470"/>
      <c r="I1" s="470"/>
      <c r="J1" s="470"/>
      <c r="K1" s="470"/>
      <c r="L1" s="470"/>
    </row>
    <row r="2" spans="1:13" ht="18">
      <c r="A2" s="471" t="s">
        <v>548</v>
      </c>
      <c r="B2" s="471"/>
      <c r="C2" s="471"/>
      <c r="D2" s="471"/>
      <c r="E2" s="471"/>
      <c r="F2" s="471"/>
      <c r="G2" s="471"/>
      <c r="H2" s="471"/>
      <c r="I2" s="471"/>
      <c r="J2" s="471"/>
      <c r="K2" s="471"/>
      <c r="L2" s="471"/>
    </row>
    <row r="3" spans="1:13">
      <c r="A3" s="284"/>
      <c r="B3" s="284"/>
      <c r="C3" s="284"/>
      <c r="D3" s="284"/>
      <c r="E3" s="284"/>
      <c r="F3" s="284"/>
      <c r="G3" s="284"/>
      <c r="H3" s="284"/>
      <c r="I3" s="284"/>
      <c r="J3" s="284"/>
      <c r="K3" s="284"/>
      <c r="L3" s="284"/>
    </row>
    <row r="4" spans="1:13">
      <c r="A4" s="285" t="s">
        <v>399</v>
      </c>
      <c r="B4" s="285" t="s">
        <v>504</v>
      </c>
      <c r="C4" s="285" t="s">
        <v>505</v>
      </c>
      <c r="D4" s="359" t="s">
        <v>400</v>
      </c>
      <c r="E4" s="286">
        <v>1</v>
      </c>
      <c r="F4" s="286">
        <v>2</v>
      </c>
      <c r="G4" s="286">
        <v>3</v>
      </c>
      <c r="H4" s="286">
        <v>4</v>
      </c>
      <c r="I4" s="286">
        <v>5</v>
      </c>
      <c r="J4" s="286">
        <v>6</v>
      </c>
      <c r="K4" s="286">
        <v>7</v>
      </c>
      <c r="L4" s="286">
        <v>8</v>
      </c>
      <c r="M4" s="282"/>
    </row>
    <row r="5" spans="1:13">
      <c r="A5" s="324"/>
      <c r="B5" s="325">
        <v>0.39583333333333331</v>
      </c>
      <c r="C5" s="326">
        <v>0.39583333333333331</v>
      </c>
      <c r="D5" s="360">
        <v>0.39583333333333331</v>
      </c>
      <c r="E5" s="327" t="s">
        <v>401</v>
      </c>
      <c r="F5" s="327" t="s">
        <v>402</v>
      </c>
      <c r="G5" s="327" t="s">
        <v>403</v>
      </c>
      <c r="H5" s="327" t="s">
        <v>404</v>
      </c>
      <c r="I5" s="327" t="s">
        <v>405</v>
      </c>
      <c r="J5" s="327" t="s">
        <v>406</v>
      </c>
      <c r="K5" s="327" t="s">
        <v>407</v>
      </c>
      <c r="L5" s="327" t="s">
        <v>408</v>
      </c>
      <c r="M5" s="282"/>
    </row>
    <row r="6" spans="1:13">
      <c r="A6" s="328"/>
      <c r="B6" s="325">
        <v>0.41319444444444442</v>
      </c>
      <c r="C6" s="326">
        <v>0.41319444444444442</v>
      </c>
      <c r="D6" s="360">
        <v>0.41319444444444442</v>
      </c>
      <c r="E6" s="329" t="s">
        <v>409</v>
      </c>
      <c r="F6" s="329" t="s">
        <v>410</v>
      </c>
      <c r="G6" s="329" t="s">
        <v>411</v>
      </c>
      <c r="H6" s="329" t="s">
        <v>412</v>
      </c>
      <c r="I6" s="329" t="s">
        <v>413</v>
      </c>
      <c r="J6" s="329" t="s">
        <v>414</v>
      </c>
      <c r="K6" s="329" t="s">
        <v>415</v>
      </c>
      <c r="L6" s="329" t="s">
        <v>416</v>
      </c>
      <c r="M6" s="282"/>
    </row>
    <row r="7" spans="1:13">
      <c r="A7" s="328"/>
      <c r="B7" s="325">
        <v>0.43055555555555558</v>
      </c>
      <c r="C7" s="326">
        <v>0.43055555555555558</v>
      </c>
      <c r="D7" s="360">
        <v>0.43055555555555558</v>
      </c>
      <c r="E7" s="329" t="s">
        <v>417</v>
      </c>
      <c r="F7" s="329" t="s">
        <v>418</v>
      </c>
      <c r="G7" s="329" t="s">
        <v>419</v>
      </c>
      <c r="H7" s="329" t="s">
        <v>420</v>
      </c>
      <c r="I7" s="329" t="s">
        <v>421</v>
      </c>
      <c r="J7" s="329" t="s">
        <v>422</v>
      </c>
      <c r="K7" s="329" t="s">
        <v>423</v>
      </c>
      <c r="L7" s="329" t="s">
        <v>424</v>
      </c>
      <c r="M7" s="282"/>
    </row>
    <row r="8" spans="1:13">
      <c r="A8" s="328"/>
      <c r="B8" s="325">
        <v>0.44791666666666669</v>
      </c>
      <c r="C8" s="326">
        <v>0.44791666666666669</v>
      </c>
      <c r="D8" s="360">
        <v>0.44791666666666669</v>
      </c>
      <c r="E8" s="327" t="s">
        <v>425</v>
      </c>
      <c r="F8" s="327" t="s">
        <v>426</v>
      </c>
      <c r="G8" s="327" t="s">
        <v>427</v>
      </c>
      <c r="H8" s="327" t="s">
        <v>428</v>
      </c>
      <c r="I8" s="327" t="s">
        <v>429</v>
      </c>
      <c r="J8" s="327" t="s">
        <v>430</v>
      </c>
      <c r="K8" s="327" t="s">
        <v>431</v>
      </c>
      <c r="L8" s="327" t="s">
        <v>432</v>
      </c>
      <c r="M8" s="282"/>
    </row>
    <row r="9" spans="1:13">
      <c r="A9" s="328"/>
      <c r="B9" s="325">
        <v>0.46527777777777773</v>
      </c>
      <c r="C9" s="326">
        <v>0.46527777777777773</v>
      </c>
      <c r="D9" s="360">
        <v>0.46527777777777773</v>
      </c>
      <c r="E9" s="329" t="s">
        <v>433</v>
      </c>
      <c r="F9" s="329" t="s">
        <v>434</v>
      </c>
      <c r="G9" s="329" t="s">
        <v>435</v>
      </c>
      <c r="H9" s="329" t="s">
        <v>436</v>
      </c>
      <c r="I9" s="329" t="s">
        <v>437</v>
      </c>
      <c r="J9" s="329" t="s">
        <v>438</v>
      </c>
      <c r="K9" s="329" t="s">
        <v>439</v>
      </c>
      <c r="L9" s="329" t="s">
        <v>440</v>
      </c>
      <c r="M9" s="282"/>
    </row>
    <row r="10" spans="1:13">
      <c r="A10" s="328"/>
      <c r="B10" s="325">
        <v>0.4826388888888889</v>
      </c>
      <c r="C10" s="326">
        <v>0.4826388888888889</v>
      </c>
      <c r="D10" s="360">
        <v>0.4826388888888889</v>
      </c>
      <c r="E10" s="329" t="s">
        <v>441</v>
      </c>
      <c r="F10" s="329" t="s">
        <v>442</v>
      </c>
      <c r="G10" s="329" t="s">
        <v>443</v>
      </c>
      <c r="H10" s="329" t="s">
        <v>444</v>
      </c>
      <c r="I10" s="329" t="s">
        <v>445</v>
      </c>
      <c r="J10" s="329" t="s">
        <v>446</v>
      </c>
      <c r="K10" s="329" t="s">
        <v>447</v>
      </c>
      <c r="L10" s="329" t="s">
        <v>448</v>
      </c>
      <c r="M10" s="282"/>
    </row>
    <row r="11" spans="1:13">
      <c r="A11" s="328"/>
      <c r="B11" s="325">
        <v>0.5</v>
      </c>
      <c r="C11" s="326">
        <v>0.5</v>
      </c>
      <c r="D11" s="360">
        <v>0.5</v>
      </c>
      <c r="E11" s="327" t="s">
        <v>449</v>
      </c>
      <c r="F11" s="327" t="s">
        <v>450</v>
      </c>
      <c r="G11" s="327" t="s">
        <v>451</v>
      </c>
      <c r="H11" s="327" t="s">
        <v>452</v>
      </c>
      <c r="I11" s="327" t="s">
        <v>453</v>
      </c>
      <c r="J11" s="327" t="s">
        <v>454</v>
      </c>
      <c r="K11" s="327" t="s">
        <v>455</v>
      </c>
      <c r="L11" s="327" t="s">
        <v>456</v>
      </c>
      <c r="M11" s="282"/>
    </row>
    <row r="12" spans="1:13">
      <c r="A12" s="328"/>
      <c r="B12" s="325">
        <v>0.51736111111111105</v>
      </c>
      <c r="C12" s="326">
        <v>0.51736111111111105</v>
      </c>
      <c r="D12" s="360">
        <v>0.51736111111111105</v>
      </c>
      <c r="E12" s="329" t="s">
        <v>457</v>
      </c>
      <c r="F12" s="329" t="s">
        <v>458</v>
      </c>
      <c r="G12" s="329" t="s">
        <v>459</v>
      </c>
      <c r="H12" s="329" t="s">
        <v>460</v>
      </c>
      <c r="I12" s="329" t="s">
        <v>461</v>
      </c>
      <c r="J12" s="329" t="s">
        <v>462</v>
      </c>
      <c r="K12" s="329" t="s">
        <v>463</v>
      </c>
      <c r="L12" s="329" t="s">
        <v>464</v>
      </c>
      <c r="M12" s="282"/>
    </row>
    <row r="13" spans="1:13">
      <c r="A13" s="328"/>
      <c r="B13" s="325">
        <v>0.53472222222222221</v>
      </c>
      <c r="C13" s="326">
        <v>0.53472222222222221</v>
      </c>
      <c r="D13" s="360">
        <v>0.53472222222222221</v>
      </c>
      <c r="E13" s="329" t="s">
        <v>465</v>
      </c>
      <c r="F13" s="329" t="s">
        <v>466</v>
      </c>
      <c r="G13" s="329" t="s">
        <v>467</v>
      </c>
      <c r="H13" s="329" t="s">
        <v>468</v>
      </c>
      <c r="I13" s="329" t="s">
        <v>469</v>
      </c>
      <c r="J13" s="329" t="s">
        <v>470</v>
      </c>
      <c r="K13" s="329" t="s">
        <v>471</v>
      </c>
      <c r="L13" s="329" t="s">
        <v>472</v>
      </c>
      <c r="M13" s="282"/>
    </row>
    <row r="14" spans="1:13">
      <c r="A14" s="285" t="s">
        <v>473</v>
      </c>
      <c r="B14" s="325">
        <v>0.5625</v>
      </c>
      <c r="C14" s="326">
        <v>0.5625</v>
      </c>
      <c r="D14" s="360">
        <v>0.5625</v>
      </c>
      <c r="E14" s="331" t="s">
        <v>474</v>
      </c>
      <c r="F14" s="413"/>
      <c r="G14" s="331" t="s">
        <v>474</v>
      </c>
      <c r="H14" s="330"/>
      <c r="I14" s="330"/>
      <c r="J14" s="331" t="s">
        <v>474</v>
      </c>
      <c r="K14" s="413"/>
      <c r="L14" s="331" t="s">
        <v>474</v>
      </c>
      <c r="M14" s="282"/>
    </row>
    <row r="15" spans="1:13">
      <c r="A15" s="287"/>
      <c r="B15" s="325">
        <v>0.57986111111111105</v>
      </c>
      <c r="C15" s="326">
        <v>0.57986111111111105</v>
      </c>
      <c r="D15" s="360">
        <v>0.57986111111111105</v>
      </c>
      <c r="E15" s="332" t="s">
        <v>475</v>
      </c>
      <c r="F15" s="332" t="s">
        <v>475</v>
      </c>
      <c r="G15" s="332" t="s">
        <v>475</v>
      </c>
      <c r="H15" s="332" t="s">
        <v>475</v>
      </c>
      <c r="I15" s="332" t="s">
        <v>475</v>
      </c>
      <c r="J15" s="332" t="s">
        <v>475</v>
      </c>
      <c r="K15" s="332" t="s">
        <v>475</v>
      </c>
      <c r="L15" s="332" t="s">
        <v>475</v>
      </c>
      <c r="M15" s="282"/>
    </row>
    <row r="16" spans="1:13">
      <c r="A16" s="333"/>
      <c r="B16" s="325">
        <v>0.60069444444444442</v>
      </c>
      <c r="C16" s="326">
        <v>0.60069444444444442</v>
      </c>
      <c r="D16" s="360">
        <v>0.60069444444444442</v>
      </c>
      <c r="E16" s="334" t="s">
        <v>476</v>
      </c>
      <c r="F16" s="334" t="s">
        <v>476</v>
      </c>
      <c r="G16" s="334" t="s">
        <v>476</v>
      </c>
      <c r="H16" s="334" t="s">
        <v>476</v>
      </c>
      <c r="I16" s="334" t="s">
        <v>476</v>
      </c>
      <c r="J16" s="334" t="s">
        <v>476</v>
      </c>
      <c r="K16" s="334" t="s">
        <v>476</v>
      </c>
      <c r="L16" s="334" t="s">
        <v>476</v>
      </c>
      <c r="M16" s="282"/>
    </row>
    <row r="17" spans="1:13">
      <c r="A17" s="328"/>
      <c r="B17" s="325">
        <v>0.62152777777777779</v>
      </c>
      <c r="C17" s="326">
        <v>0.62152777777777779</v>
      </c>
      <c r="D17" s="360">
        <v>0.62152777777777779</v>
      </c>
      <c r="E17" s="334" t="s">
        <v>477</v>
      </c>
      <c r="F17" s="334" t="s">
        <v>477</v>
      </c>
      <c r="G17" s="334" t="s">
        <v>477</v>
      </c>
      <c r="H17" s="334" t="s">
        <v>477</v>
      </c>
      <c r="I17" s="334" t="s">
        <v>477</v>
      </c>
      <c r="J17" s="334" t="s">
        <v>477</v>
      </c>
      <c r="K17" s="334" t="s">
        <v>477</v>
      </c>
      <c r="L17" s="334" t="s">
        <v>477</v>
      </c>
      <c r="M17" s="282"/>
    </row>
    <row r="18" spans="1:13">
      <c r="A18" s="328"/>
      <c r="B18" s="325">
        <v>0.64583333333333337</v>
      </c>
      <c r="C18" s="326">
        <v>0.64583333333333337</v>
      </c>
      <c r="D18" s="360">
        <v>0.64583333333333337</v>
      </c>
      <c r="E18" s="327" t="s">
        <v>478</v>
      </c>
      <c r="F18" s="327" t="s">
        <v>478</v>
      </c>
      <c r="G18" s="327" t="s">
        <v>478</v>
      </c>
      <c r="H18" s="327" t="s">
        <v>478</v>
      </c>
      <c r="I18" s="327" t="s">
        <v>478</v>
      </c>
      <c r="J18" s="327" t="s">
        <v>478</v>
      </c>
      <c r="K18" s="327" t="s">
        <v>478</v>
      </c>
      <c r="L18" s="327" t="s">
        <v>478</v>
      </c>
      <c r="M18" s="282"/>
    </row>
    <row r="19" spans="1:13">
      <c r="A19" s="328"/>
      <c r="B19" s="325">
        <v>0.66666666666666663</v>
      </c>
      <c r="C19" s="326">
        <v>0.67361111111111116</v>
      </c>
      <c r="D19" s="360">
        <v>0.66666666666666663</v>
      </c>
      <c r="E19" s="329" t="s">
        <v>479</v>
      </c>
      <c r="F19" s="329" t="s">
        <v>479</v>
      </c>
      <c r="G19" s="329" t="s">
        <v>479</v>
      </c>
      <c r="H19" s="329" t="s">
        <v>479</v>
      </c>
      <c r="I19" s="329" t="s">
        <v>479</v>
      </c>
      <c r="J19" s="329" t="s">
        <v>479</v>
      </c>
      <c r="K19" s="329" t="s">
        <v>479</v>
      </c>
      <c r="L19" s="329" t="s">
        <v>479</v>
      </c>
      <c r="M19" s="282"/>
    </row>
    <row r="20" spans="1:13">
      <c r="A20" s="328"/>
      <c r="B20" s="325">
        <v>0.6875</v>
      </c>
      <c r="C20" s="326">
        <v>0.70486111111111116</v>
      </c>
      <c r="D20" s="360">
        <v>0.6875</v>
      </c>
      <c r="E20" s="329" t="s">
        <v>480</v>
      </c>
      <c r="F20" s="329" t="s">
        <v>480</v>
      </c>
      <c r="G20" s="329" t="s">
        <v>480</v>
      </c>
      <c r="H20" s="329" t="s">
        <v>480</v>
      </c>
      <c r="I20" s="327" t="s">
        <v>481</v>
      </c>
      <c r="J20" s="327" t="s">
        <v>481</v>
      </c>
      <c r="K20" s="327" t="s">
        <v>481</v>
      </c>
      <c r="L20" s="327" t="s">
        <v>481</v>
      </c>
      <c r="M20" s="282"/>
    </row>
    <row r="21" spans="1:13">
      <c r="A21" s="328"/>
      <c r="B21" s="325">
        <v>0.70833333333333337</v>
      </c>
      <c r="C21" s="326">
        <v>0.73611111111111116</v>
      </c>
      <c r="D21" s="360">
        <v>0.70833333333333337</v>
      </c>
      <c r="E21" s="332" t="s">
        <v>482</v>
      </c>
      <c r="F21" s="332" t="s">
        <v>482</v>
      </c>
      <c r="G21" s="332" t="s">
        <v>483</v>
      </c>
      <c r="H21" s="332" t="s">
        <v>482</v>
      </c>
      <c r="I21" s="331" t="s">
        <v>484</v>
      </c>
      <c r="J21" s="331" t="s">
        <v>484</v>
      </c>
      <c r="K21" s="331" t="s">
        <v>484</v>
      </c>
      <c r="L21" s="331" t="s">
        <v>484</v>
      </c>
      <c r="M21" s="282"/>
    </row>
    <row r="22" spans="1:13">
      <c r="A22" s="328"/>
      <c r="B22" s="325">
        <v>0.72916666666666663</v>
      </c>
      <c r="C22" s="326">
        <v>0.75694444444444453</v>
      </c>
      <c r="D22" s="360">
        <v>0.72916666666666663</v>
      </c>
      <c r="E22" s="334" t="s">
        <v>485</v>
      </c>
      <c r="F22" s="413"/>
      <c r="G22" s="334" t="s">
        <v>485</v>
      </c>
      <c r="H22" s="333"/>
      <c r="I22" s="413"/>
      <c r="J22" s="334" t="s">
        <v>485</v>
      </c>
      <c r="K22" s="328"/>
      <c r="L22" s="334" t="s">
        <v>485</v>
      </c>
      <c r="M22" s="282"/>
    </row>
    <row r="23" spans="1:13">
      <c r="A23" s="335"/>
      <c r="B23" s="336"/>
      <c r="C23" s="336"/>
      <c r="D23" s="336"/>
      <c r="E23" s="337"/>
      <c r="F23" s="337"/>
      <c r="G23" s="337"/>
      <c r="H23" s="337"/>
      <c r="I23" s="337"/>
      <c r="J23" s="337"/>
      <c r="K23" s="337"/>
      <c r="L23" s="337"/>
      <c r="M23" s="282"/>
    </row>
    <row r="24" spans="1:13">
      <c r="A24" s="335"/>
      <c r="B24" s="336"/>
      <c r="C24" s="336"/>
      <c r="D24" s="336"/>
      <c r="E24" s="337"/>
      <c r="F24" s="337"/>
      <c r="G24" s="337"/>
      <c r="H24" s="337"/>
      <c r="I24" s="337"/>
      <c r="J24" s="337"/>
      <c r="K24" s="337"/>
      <c r="L24" s="337"/>
      <c r="M24" s="282"/>
    </row>
    <row r="25" spans="1:13">
      <c r="A25" s="289" t="s">
        <v>399</v>
      </c>
      <c r="B25" s="289" t="s">
        <v>504</v>
      </c>
      <c r="C25" s="289" t="s">
        <v>505</v>
      </c>
      <c r="D25" s="289" t="s">
        <v>400</v>
      </c>
      <c r="E25" s="290">
        <v>1</v>
      </c>
      <c r="F25" s="290">
        <v>2</v>
      </c>
      <c r="G25" s="290">
        <v>3</v>
      </c>
      <c r="H25" s="290">
        <v>4</v>
      </c>
      <c r="I25" s="284"/>
      <c r="J25" s="284"/>
      <c r="K25" s="284"/>
      <c r="L25" s="284"/>
      <c r="M25" s="282"/>
    </row>
    <row r="26" spans="1:13">
      <c r="A26" s="338"/>
      <c r="B26" s="339">
        <v>0.39583333333333331</v>
      </c>
      <c r="C26" s="339">
        <v>0.375</v>
      </c>
      <c r="D26" s="339">
        <v>0.39583333333333331</v>
      </c>
      <c r="E26" s="340" t="s">
        <v>486</v>
      </c>
      <c r="F26" s="340" t="s">
        <v>486</v>
      </c>
      <c r="G26" s="341" t="s">
        <v>487</v>
      </c>
      <c r="H26" s="341" t="s">
        <v>487</v>
      </c>
      <c r="I26" s="342"/>
      <c r="J26" s="343"/>
      <c r="K26" s="343"/>
      <c r="L26" s="343"/>
      <c r="M26" s="282"/>
    </row>
    <row r="27" spans="1:13">
      <c r="A27" s="338"/>
      <c r="B27" s="339">
        <v>0.41666666666666669</v>
      </c>
      <c r="C27" s="339">
        <v>0.39583333333333331</v>
      </c>
      <c r="D27" s="339">
        <v>0.41666666666666663</v>
      </c>
      <c r="E27" s="344" t="s">
        <v>488</v>
      </c>
      <c r="F27" s="344" t="s">
        <v>488</v>
      </c>
      <c r="G27" s="345" t="s">
        <v>489</v>
      </c>
      <c r="H27" s="345" t="s">
        <v>489</v>
      </c>
      <c r="I27" s="346"/>
      <c r="J27" s="343"/>
      <c r="K27" s="343"/>
      <c r="L27" s="343"/>
      <c r="M27" s="282"/>
    </row>
    <row r="28" spans="1:13">
      <c r="A28" s="289" t="s">
        <v>490</v>
      </c>
      <c r="B28" s="339">
        <v>0.4375</v>
      </c>
      <c r="C28" s="339">
        <v>0.4236111111111111</v>
      </c>
      <c r="D28" s="339">
        <v>0.4375</v>
      </c>
      <c r="E28" s="347" t="s">
        <v>491</v>
      </c>
      <c r="F28" s="347" t="s">
        <v>491</v>
      </c>
      <c r="G28" s="337"/>
      <c r="H28" s="348"/>
      <c r="I28" s="346"/>
      <c r="J28" s="343"/>
      <c r="K28" s="343"/>
      <c r="L28" s="343"/>
      <c r="M28" s="282"/>
    </row>
    <row r="29" spans="1:13">
      <c r="A29" s="349"/>
      <c r="B29" s="339">
        <v>0.45833333333333331</v>
      </c>
      <c r="C29" s="339">
        <v>0.44791666666666663</v>
      </c>
      <c r="D29" s="350">
        <v>0.45833333333333331</v>
      </c>
      <c r="E29" s="344" t="s">
        <v>492</v>
      </c>
      <c r="F29" s="345" t="s">
        <v>493</v>
      </c>
      <c r="G29" s="337"/>
      <c r="H29" s="351"/>
      <c r="I29" s="352"/>
      <c r="J29" s="282"/>
      <c r="K29" s="282"/>
      <c r="L29" s="282"/>
      <c r="M29" s="282"/>
    </row>
    <row r="30" spans="1:13">
      <c r="A30" s="349"/>
      <c r="B30" s="350">
        <v>0.47916666666666663</v>
      </c>
      <c r="C30" s="350">
        <v>0.47916666666666663</v>
      </c>
      <c r="D30" s="353" t="s">
        <v>494</v>
      </c>
      <c r="E30" s="340" t="s">
        <v>495</v>
      </c>
      <c r="F30" s="341" t="s">
        <v>496</v>
      </c>
      <c r="G30" s="337"/>
      <c r="H30" s="351"/>
      <c r="I30" s="352"/>
      <c r="J30" s="282"/>
      <c r="K30" s="282"/>
      <c r="L30" s="282"/>
      <c r="M30" s="282"/>
    </row>
    <row r="31" spans="1:13">
      <c r="A31" s="338"/>
      <c r="B31" s="353" t="s">
        <v>497</v>
      </c>
      <c r="C31" s="353" t="s">
        <v>497</v>
      </c>
      <c r="D31" s="353" t="s">
        <v>497</v>
      </c>
      <c r="E31" s="347" t="s">
        <v>498</v>
      </c>
      <c r="F31" s="354"/>
      <c r="G31" s="284"/>
      <c r="H31" s="351"/>
      <c r="I31" s="352"/>
      <c r="J31" s="282"/>
      <c r="K31" s="282"/>
      <c r="L31" s="282"/>
      <c r="M31" s="282"/>
    </row>
    <row r="32" spans="1:13">
      <c r="A32" s="292"/>
      <c r="B32" s="293"/>
      <c r="C32" s="293"/>
      <c r="D32" s="293"/>
      <c r="F32" s="291"/>
      <c r="G32" s="284"/>
      <c r="H32" s="284"/>
      <c r="I32" s="288"/>
      <c r="J32" s="288"/>
      <c r="K32" s="288"/>
      <c r="L32" s="288"/>
    </row>
    <row r="33" spans="1:16">
      <c r="O33" t="s">
        <v>518</v>
      </c>
    </row>
    <row r="34" spans="1:16" ht="18">
      <c r="A34" s="471" t="s">
        <v>549</v>
      </c>
      <c r="B34" s="471"/>
      <c r="C34" s="471"/>
      <c r="D34" s="471"/>
      <c r="E34" s="471"/>
      <c r="F34" s="471"/>
      <c r="G34" s="471"/>
      <c r="H34" s="471"/>
      <c r="I34" s="471"/>
      <c r="J34" s="471"/>
      <c r="K34" s="471"/>
      <c r="L34" s="471"/>
    </row>
    <row r="35" spans="1:16">
      <c r="A35" s="284"/>
      <c r="B35" s="284"/>
      <c r="C35" s="284"/>
      <c r="D35" s="284"/>
      <c r="E35" s="1"/>
      <c r="F35" s="1"/>
      <c r="G35" s="1"/>
      <c r="H35" s="1"/>
      <c r="I35" s="1"/>
      <c r="J35" s="1"/>
      <c r="K35" s="1"/>
      <c r="L35" s="284"/>
      <c r="N35">
        <f>COUNTIF($E$37:$L$54,O35)</f>
        <v>13</v>
      </c>
      <c r="O35">
        <v>1</v>
      </c>
      <c r="P35" t="s">
        <v>661</v>
      </c>
    </row>
    <row r="36" spans="1:16" ht="15.75" thickBot="1">
      <c r="A36" s="438" t="s">
        <v>399</v>
      </c>
      <c r="B36" s="438" t="s">
        <v>504</v>
      </c>
      <c r="C36" s="439" t="s">
        <v>505</v>
      </c>
      <c r="D36" s="440" t="s">
        <v>400</v>
      </c>
      <c r="E36" s="438">
        <v>1</v>
      </c>
      <c r="F36" s="438">
        <v>2</v>
      </c>
      <c r="G36" s="438">
        <v>3</v>
      </c>
      <c r="H36" s="438">
        <v>4</v>
      </c>
      <c r="I36" s="438">
        <v>5</v>
      </c>
      <c r="J36" s="438">
        <v>6</v>
      </c>
      <c r="K36" s="438">
        <v>7</v>
      </c>
      <c r="L36" s="438">
        <v>8</v>
      </c>
      <c r="N36">
        <f t="shared" ref="N36:N48" si="0">COUNTIF($E$37:$L$54,O36)</f>
        <v>13</v>
      </c>
      <c r="O36">
        <v>2</v>
      </c>
      <c r="P36" t="s">
        <v>659</v>
      </c>
    </row>
    <row r="37" spans="1:16">
      <c r="A37" s="441"/>
      <c r="B37" s="442">
        <v>0.39583333333333331</v>
      </c>
      <c r="C37" s="443">
        <v>0.39583333333333331</v>
      </c>
      <c r="D37" s="444">
        <v>0.39583333333333331</v>
      </c>
      <c r="E37" s="445">
        <v>3</v>
      </c>
      <c r="F37" s="445">
        <v>7</v>
      </c>
      <c r="G37" s="445">
        <v>1</v>
      </c>
      <c r="H37" s="445">
        <v>2</v>
      </c>
      <c r="I37" s="445">
        <v>5</v>
      </c>
      <c r="J37" s="445">
        <v>6</v>
      </c>
      <c r="K37" s="445">
        <v>4</v>
      </c>
      <c r="L37" s="446">
        <v>8</v>
      </c>
      <c r="N37">
        <f t="shared" si="0"/>
        <v>13</v>
      </c>
      <c r="O37">
        <v>3</v>
      </c>
      <c r="P37" t="s">
        <v>660</v>
      </c>
    </row>
    <row r="38" spans="1:16">
      <c r="A38" s="447"/>
      <c r="B38" s="325">
        <v>0.41319444444444442</v>
      </c>
      <c r="C38" s="326">
        <v>0.41319444444444442</v>
      </c>
      <c r="D38" s="360">
        <v>0.41319444444444442</v>
      </c>
      <c r="E38" s="426">
        <v>9</v>
      </c>
      <c r="F38" s="426">
        <v>11</v>
      </c>
      <c r="G38" s="426">
        <v>10</v>
      </c>
      <c r="H38" s="426">
        <v>3</v>
      </c>
      <c r="I38" s="426">
        <v>5</v>
      </c>
      <c r="J38" s="426">
        <v>6</v>
      </c>
      <c r="K38" s="426">
        <v>7</v>
      </c>
      <c r="L38" s="448">
        <v>8</v>
      </c>
      <c r="M38" s="469"/>
      <c r="N38">
        <f t="shared" si="0"/>
        <v>13</v>
      </c>
      <c r="O38">
        <v>4</v>
      </c>
      <c r="P38" t="s">
        <v>666</v>
      </c>
    </row>
    <row r="39" spans="1:16">
      <c r="A39" s="447"/>
      <c r="B39" s="325">
        <v>0.43055555555555558</v>
      </c>
      <c r="C39" s="326">
        <v>0.43055555555555558</v>
      </c>
      <c r="D39" s="360">
        <v>0.43055555555555558</v>
      </c>
      <c r="E39" s="426">
        <v>9</v>
      </c>
      <c r="F39" s="426">
        <v>2</v>
      </c>
      <c r="G39" s="426">
        <v>10</v>
      </c>
      <c r="H39" s="426">
        <v>11</v>
      </c>
      <c r="I39" s="426">
        <v>8</v>
      </c>
      <c r="J39" s="426">
        <v>6</v>
      </c>
      <c r="K39" s="426">
        <v>1</v>
      </c>
      <c r="L39" s="448">
        <v>7</v>
      </c>
      <c r="N39">
        <f t="shared" si="0"/>
        <v>12</v>
      </c>
      <c r="O39">
        <v>5</v>
      </c>
      <c r="P39" t="s">
        <v>662</v>
      </c>
    </row>
    <row r="40" spans="1:16">
      <c r="A40" s="447"/>
      <c r="B40" s="325">
        <v>0.44791666666666669</v>
      </c>
      <c r="C40" s="326">
        <v>0.44791666666666669</v>
      </c>
      <c r="D40" s="360">
        <v>0.44791666666666669</v>
      </c>
      <c r="E40" s="427">
        <v>3</v>
      </c>
      <c r="F40" s="427">
        <v>4</v>
      </c>
      <c r="G40" s="427">
        <v>8</v>
      </c>
      <c r="H40" s="427">
        <v>6</v>
      </c>
      <c r="I40" s="427">
        <v>7</v>
      </c>
      <c r="J40" s="427">
        <v>11</v>
      </c>
      <c r="K40" s="427">
        <v>5</v>
      </c>
      <c r="L40" s="449">
        <v>2</v>
      </c>
      <c r="N40">
        <f t="shared" si="0"/>
        <v>11</v>
      </c>
      <c r="O40">
        <v>6</v>
      </c>
      <c r="P40" t="s">
        <v>663</v>
      </c>
    </row>
    <row r="41" spans="1:16">
      <c r="A41" s="450"/>
      <c r="B41" s="434">
        <v>0.46527777777777773</v>
      </c>
      <c r="C41" s="326">
        <v>0.46527777777777773</v>
      </c>
      <c r="D41" s="360">
        <v>0.46527777777777773</v>
      </c>
      <c r="E41" s="426">
        <v>9</v>
      </c>
      <c r="F41" s="426">
        <v>10</v>
      </c>
      <c r="G41" s="426">
        <v>2</v>
      </c>
      <c r="H41" s="426">
        <v>11</v>
      </c>
      <c r="I41" s="426">
        <v>4</v>
      </c>
      <c r="J41" s="426">
        <v>5</v>
      </c>
      <c r="K41" s="426">
        <v>6</v>
      </c>
      <c r="L41" s="448">
        <v>7</v>
      </c>
      <c r="N41">
        <f t="shared" si="0"/>
        <v>8</v>
      </c>
      <c r="O41">
        <v>7</v>
      </c>
      <c r="P41" t="s">
        <v>664</v>
      </c>
    </row>
    <row r="42" spans="1:16">
      <c r="A42" s="450"/>
      <c r="B42" s="434">
        <v>0.4826388888888889</v>
      </c>
      <c r="C42" s="326">
        <v>0.4826388888888889</v>
      </c>
      <c r="D42" s="360">
        <v>0.4826388888888889</v>
      </c>
      <c r="E42" s="426">
        <v>9</v>
      </c>
      <c r="F42" s="426">
        <v>8</v>
      </c>
      <c r="G42" s="426">
        <v>10</v>
      </c>
      <c r="H42" s="426">
        <v>11</v>
      </c>
      <c r="I42" s="426">
        <v>1</v>
      </c>
      <c r="J42" s="426">
        <v>2</v>
      </c>
      <c r="K42" s="426">
        <v>3</v>
      </c>
      <c r="L42" s="448">
        <v>6</v>
      </c>
      <c r="N42">
        <f t="shared" si="0"/>
        <v>14</v>
      </c>
      <c r="O42">
        <v>8</v>
      </c>
      <c r="P42" t="s">
        <v>667</v>
      </c>
    </row>
    <row r="43" spans="1:16">
      <c r="A43" s="450"/>
      <c r="B43" s="434">
        <v>0.5</v>
      </c>
      <c r="C43" s="326">
        <v>0.5</v>
      </c>
      <c r="D43" s="360">
        <v>0.5</v>
      </c>
      <c r="E43" s="427">
        <v>1</v>
      </c>
      <c r="F43" s="427">
        <v>11</v>
      </c>
      <c r="G43" s="427">
        <v>10</v>
      </c>
      <c r="H43" s="427">
        <v>8</v>
      </c>
      <c r="I43" s="427">
        <v>5</v>
      </c>
      <c r="J43" s="427">
        <v>6</v>
      </c>
      <c r="K43" s="427">
        <v>7</v>
      </c>
      <c r="L43" s="449">
        <v>4</v>
      </c>
      <c r="N43">
        <f t="shared" si="0"/>
        <v>12</v>
      </c>
      <c r="O43">
        <v>9</v>
      </c>
      <c r="P43" t="s">
        <v>658</v>
      </c>
    </row>
    <row r="44" spans="1:16">
      <c r="A44" s="450"/>
      <c r="B44" s="434">
        <v>0.51736111111111105</v>
      </c>
      <c r="C44" s="326">
        <v>0.51736111111111105</v>
      </c>
      <c r="D44" s="360">
        <v>0.51736111111111105</v>
      </c>
      <c r="E44" s="426">
        <v>2</v>
      </c>
      <c r="F44" s="426">
        <v>3</v>
      </c>
      <c r="G44" s="426">
        <v>10</v>
      </c>
      <c r="H44" s="426">
        <v>5</v>
      </c>
      <c r="I44" s="426">
        <v>6</v>
      </c>
      <c r="J44" s="426">
        <v>7</v>
      </c>
      <c r="K44" s="426">
        <v>11</v>
      </c>
      <c r="L44" s="448">
        <v>9</v>
      </c>
      <c r="N44">
        <f t="shared" si="0"/>
        <v>12</v>
      </c>
      <c r="O44">
        <v>10</v>
      </c>
      <c r="P44" t="s">
        <v>665</v>
      </c>
    </row>
    <row r="45" spans="1:16">
      <c r="A45" s="447"/>
      <c r="B45" s="325">
        <v>0.53472222222222221</v>
      </c>
      <c r="C45" s="326">
        <v>0.53472222222222221</v>
      </c>
      <c r="D45" s="360">
        <v>0.53472222222222221</v>
      </c>
      <c r="E45" s="426">
        <v>2</v>
      </c>
      <c r="F45" s="426">
        <v>10</v>
      </c>
      <c r="G45" s="426">
        <v>9</v>
      </c>
      <c r="H45" s="426">
        <v>8</v>
      </c>
      <c r="I45" s="426">
        <v>5</v>
      </c>
      <c r="J45" s="426">
        <v>7</v>
      </c>
      <c r="K45" s="426">
        <v>4</v>
      </c>
      <c r="L45" s="448">
        <v>1</v>
      </c>
      <c r="N45">
        <f t="shared" si="0"/>
        <v>13</v>
      </c>
      <c r="O45">
        <v>11</v>
      </c>
      <c r="P45" t="s">
        <v>668</v>
      </c>
    </row>
    <row r="46" spans="1:16">
      <c r="A46" s="451" t="s">
        <v>473</v>
      </c>
      <c r="B46" s="325">
        <v>0.5625</v>
      </c>
      <c r="C46" s="326">
        <v>0.5625</v>
      </c>
      <c r="D46" s="360">
        <v>0.5625</v>
      </c>
      <c r="E46" s="428">
        <v>1</v>
      </c>
      <c r="F46" s="429"/>
      <c r="G46" s="428">
        <v>2</v>
      </c>
      <c r="H46" s="430"/>
      <c r="I46" s="430"/>
      <c r="J46" s="428">
        <v>3</v>
      </c>
      <c r="K46" s="429"/>
      <c r="L46" s="452">
        <v>4</v>
      </c>
      <c r="N46">
        <f t="shared" si="0"/>
        <v>2</v>
      </c>
      <c r="O46">
        <v>12</v>
      </c>
      <c r="P46" t="s">
        <v>669</v>
      </c>
    </row>
    <row r="47" spans="1:16">
      <c r="A47" s="453"/>
      <c r="B47" s="325">
        <v>0.57986111111111105</v>
      </c>
      <c r="C47" s="326">
        <v>0.57986111111111105</v>
      </c>
      <c r="D47" s="360">
        <v>0.57986111111111105</v>
      </c>
      <c r="E47" s="431">
        <v>9</v>
      </c>
      <c r="F47" s="431">
        <v>2</v>
      </c>
      <c r="G47" s="431">
        <v>3</v>
      </c>
      <c r="H47" s="431">
        <v>4</v>
      </c>
      <c r="I47" s="431">
        <v>5</v>
      </c>
      <c r="J47" s="431">
        <v>11</v>
      </c>
      <c r="K47" s="431">
        <v>6</v>
      </c>
      <c r="L47" s="454">
        <v>8</v>
      </c>
      <c r="N47">
        <f t="shared" si="0"/>
        <v>0</v>
      </c>
      <c r="O47">
        <v>13</v>
      </c>
    </row>
    <row r="48" spans="1:16">
      <c r="A48" s="455"/>
      <c r="B48" s="325">
        <v>0.60069444444444442</v>
      </c>
      <c r="C48" s="326">
        <v>0.60069444444444442</v>
      </c>
      <c r="D48" s="360">
        <v>0.60069444444444442</v>
      </c>
      <c r="E48" s="432">
        <v>10</v>
      </c>
      <c r="F48" s="432">
        <v>8</v>
      </c>
      <c r="G48" s="432">
        <v>9</v>
      </c>
      <c r="H48" s="432">
        <v>1</v>
      </c>
      <c r="I48" s="432">
        <v>11</v>
      </c>
      <c r="J48" s="432">
        <v>2</v>
      </c>
      <c r="K48" s="432">
        <v>3</v>
      </c>
      <c r="L48" s="456">
        <v>4</v>
      </c>
      <c r="N48">
        <f t="shared" si="0"/>
        <v>0</v>
      </c>
      <c r="O48">
        <v>14</v>
      </c>
    </row>
    <row r="49" spans="1:15">
      <c r="A49" s="447"/>
      <c r="B49" s="325">
        <v>0.62152777777777779</v>
      </c>
      <c r="C49" s="326">
        <v>0.62152777777777779</v>
      </c>
      <c r="D49" s="360">
        <v>0.62152777777777779</v>
      </c>
      <c r="E49" s="432">
        <v>9</v>
      </c>
      <c r="F49" s="432">
        <v>2</v>
      </c>
      <c r="G49" s="432">
        <v>3</v>
      </c>
      <c r="H49" s="432">
        <v>4</v>
      </c>
      <c r="I49" s="432">
        <v>5</v>
      </c>
      <c r="J49" s="432">
        <v>12</v>
      </c>
      <c r="K49" s="432">
        <v>1</v>
      </c>
      <c r="L49" s="456">
        <v>10</v>
      </c>
    </row>
    <row r="50" spans="1:15">
      <c r="A50" s="447"/>
      <c r="B50" s="325">
        <v>0.64583333333333337</v>
      </c>
      <c r="C50" s="326">
        <v>0.64583333333333337</v>
      </c>
      <c r="D50" s="360">
        <v>0.64583333333333337</v>
      </c>
      <c r="E50" s="427">
        <v>2</v>
      </c>
      <c r="F50" s="427">
        <v>11</v>
      </c>
      <c r="G50" s="427">
        <v>3</v>
      </c>
      <c r="H50" s="427">
        <v>1</v>
      </c>
      <c r="I50" s="427">
        <v>4</v>
      </c>
      <c r="J50" s="427">
        <v>5</v>
      </c>
      <c r="K50" s="427">
        <v>6</v>
      </c>
      <c r="L50" s="449">
        <v>8</v>
      </c>
    </row>
    <row r="51" spans="1:15">
      <c r="A51" s="447"/>
      <c r="B51" s="325">
        <v>0.66666666666666663</v>
      </c>
      <c r="C51" s="326">
        <v>0.67361111111111116</v>
      </c>
      <c r="D51" s="360">
        <v>0.66666666666666663</v>
      </c>
      <c r="E51" s="426">
        <v>9</v>
      </c>
      <c r="F51" s="426">
        <v>1</v>
      </c>
      <c r="G51" s="426">
        <v>10</v>
      </c>
      <c r="H51" s="426">
        <v>4</v>
      </c>
      <c r="I51" s="426">
        <v>3</v>
      </c>
      <c r="J51" s="426">
        <v>6</v>
      </c>
      <c r="K51" s="426">
        <v>8</v>
      </c>
      <c r="L51" s="448">
        <v>11</v>
      </c>
    </row>
    <row r="52" spans="1:15">
      <c r="A52" s="447"/>
      <c r="B52" s="325">
        <v>0.6875</v>
      </c>
      <c r="C52" s="326">
        <v>0.70486111111111116</v>
      </c>
      <c r="D52" s="360">
        <v>0.6875</v>
      </c>
      <c r="E52" s="426">
        <v>12</v>
      </c>
      <c r="F52" s="426">
        <v>11</v>
      </c>
      <c r="G52" s="426">
        <v>8</v>
      </c>
      <c r="H52" s="426">
        <v>1</v>
      </c>
      <c r="I52" s="427">
        <v>2</v>
      </c>
      <c r="J52" s="427">
        <v>3</v>
      </c>
      <c r="K52" s="427">
        <v>4</v>
      </c>
      <c r="L52" s="449">
        <v>5</v>
      </c>
    </row>
    <row r="53" spans="1:15">
      <c r="A53" s="447"/>
      <c r="B53" s="325">
        <v>0.70833333333333337</v>
      </c>
      <c r="C53" s="326">
        <v>0.73611111111111116</v>
      </c>
      <c r="D53" s="360">
        <v>0.70833333333333337</v>
      </c>
      <c r="E53" s="431">
        <v>9</v>
      </c>
      <c r="F53" s="431">
        <v>4</v>
      </c>
      <c r="G53" s="431">
        <v>10</v>
      </c>
      <c r="H53" s="431">
        <v>3</v>
      </c>
      <c r="I53" s="428">
        <v>8</v>
      </c>
      <c r="J53" s="428">
        <v>5</v>
      </c>
      <c r="K53" s="428">
        <v>1</v>
      </c>
      <c r="L53" s="452">
        <v>11</v>
      </c>
    </row>
    <row r="54" spans="1:15" ht="15.75" thickBot="1">
      <c r="A54" s="457"/>
      <c r="B54" s="458">
        <v>0.72916666666666663</v>
      </c>
      <c r="C54" s="459">
        <v>0.75694444444444453</v>
      </c>
      <c r="D54" s="460">
        <v>0.72916666666666663</v>
      </c>
      <c r="E54" s="461">
        <v>9</v>
      </c>
      <c r="F54" s="462"/>
      <c r="G54" s="461">
        <v>10</v>
      </c>
      <c r="H54" s="463"/>
      <c r="I54" s="462"/>
      <c r="J54" s="461">
        <v>1</v>
      </c>
      <c r="K54" s="464"/>
      <c r="L54" s="465">
        <v>8</v>
      </c>
    </row>
    <row r="55" spans="1:15">
      <c r="A55" s="335"/>
      <c r="B55" s="336"/>
      <c r="C55" s="336"/>
      <c r="D55" s="336"/>
      <c r="E55" s="337"/>
      <c r="F55" s="337"/>
      <c r="G55" s="337"/>
      <c r="H55" s="337"/>
      <c r="I55" s="337"/>
      <c r="L55" s="337"/>
    </row>
    <row r="56" spans="1:15">
      <c r="A56" s="335"/>
      <c r="B56" s="336"/>
      <c r="C56" s="336"/>
      <c r="D56" s="336"/>
      <c r="E56" s="337"/>
      <c r="F56" s="337"/>
      <c r="G56" s="337"/>
      <c r="H56" s="337"/>
      <c r="I56" s="337"/>
      <c r="L56" s="337"/>
      <c r="O56" t="s">
        <v>120</v>
      </c>
    </row>
    <row r="57" spans="1:15">
      <c r="A57" s="289" t="s">
        <v>399</v>
      </c>
      <c r="B57" s="289" t="s">
        <v>504</v>
      </c>
      <c r="C57" s="289" t="s">
        <v>505</v>
      </c>
      <c r="D57" s="289" t="s">
        <v>400</v>
      </c>
      <c r="E57" s="290">
        <v>1</v>
      </c>
      <c r="F57" s="290">
        <v>2</v>
      </c>
      <c r="G57" s="290">
        <v>3</v>
      </c>
      <c r="H57" s="290">
        <v>4</v>
      </c>
      <c r="I57" s="284"/>
      <c r="L57" s="284"/>
    </row>
    <row r="58" spans="1:15">
      <c r="A58" s="338"/>
      <c r="B58" s="339">
        <v>0.375</v>
      </c>
      <c r="C58" s="339">
        <v>0.375</v>
      </c>
      <c r="D58" s="339">
        <v>0.39583333333333331</v>
      </c>
      <c r="E58" s="340" t="s">
        <v>556</v>
      </c>
      <c r="F58" s="340" t="s">
        <v>551</v>
      </c>
      <c r="G58" s="341" t="s">
        <v>552</v>
      </c>
      <c r="H58" s="341" t="s">
        <v>553</v>
      </c>
      <c r="I58" s="342"/>
      <c r="L58" s="343"/>
    </row>
    <row r="59" spans="1:15">
      <c r="A59" s="338"/>
      <c r="B59" s="339">
        <v>0.39583333333333331</v>
      </c>
      <c r="C59" s="339">
        <v>0.39583333333333331</v>
      </c>
      <c r="D59" s="339">
        <v>0.41666666666666663</v>
      </c>
      <c r="E59" s="344" t="s">
        <v>556</v>
      </c>
      <c r="F59" s="344" t="s">
        <v>551</v>
      </c>
      <c r="G59" s="345" t="s">
        <v>552</v>
      </c>
      <c r="H59" s="345" t="s">
        <v>553</v>
      </c>
      <c r="I59" s="346"/>
      <c r="L59" s="343"/>
    </row>
    <row r="60" spans="1:15">
      <c r="A60" s="289" t="s">
        <v>490</v>
      </c>
      <c r="B60" s="339">
        <v>0.4236111111111111</v>
      </c>
      <c r="C60" s="339">
        <v>0.4236111111111111</v>
      </c>
      <c r="D60" s="339">
        <v>0.4375</v>
      </c>
      <c r="E60" s="347" t="s">
        <v>556</v>
      </c>
      <c r="F60" s="347" t="s">
        <v>551</v>
      </c>
      <c r="G60" s="337"/>
      <c r="H60" s="348"/>
      <c r="I60" s="346"/>
      <c r="L60" s="343"/>
    </row>
    <row r="61" spans="1:15">
      <c r="A61" s="349"/>
      <c r="B61" s="466">
        <v>0.44791666666666663</v>
      </c>
      <c r="C61" s="339">
        <v>0.44791666666666663</v>
      </c>
      <c r="D61" s="350">
        <v>0.45833333333333331</v>
      </c>
      <c r="E61" s="344" t="s">
        <v>552</v>
      </c>
      <c r="F61" s="345" t="s">
        <v>553</v>
      </c>
      <c r="G61" s="337"/>
      <c r="H61" s="351"/>
      <c r="I61" s="352"/>
      <c r="L61" s="282"/>
    </row>
    <row r="62" spans="1:15">
      <c r="A62" s="349"/>
      <c r="B62" s="466">
        <v>0.47916666666666663</v>
      </c>
      <c r="C62" s="350">
        <v>0.47916666666666663</v>
      </c>
      <c r="D62" s="353" t="s">
        <v>494</v>
      </c>
      <c r="E62" s="340" t="s">
        <v>552</v>
      </c>
      <c r="F62" s="341" t="s">
        <v>553</v>
      </c>
      <c r="G62" s="337"/>
      <c r="H62" s="351"/>
      <c r="I62" s="352"/>
      <c r="L62" s="282"/>
    </row>
    <row r="63" spans="1:15">
      <c r="A63" s="338"/>
      <c r="B63" s="467" t="s">
        <v>497</v>
      </c>
      <c r="C63" s="353" t="s">
        <v>497</v>
      </c>
      <c r="D63" s="353" t="s">
        <v>497</v>
      </c>
      <c r="E63" s="347" t="s">
        <v>556</v>
      </c>
      <c r="F63" s="354"/>
      <c r="G63" s="284"/>
      <c r="H63" s="351"/>
      <c r="I63" s="352"/>
      <c r="L63" s="282"/>
    </row>
    <row r="65" spans="2:17">
      <c r="E65" t="s">
        <v>557</v>
      </c>
    </row>
    <row r="69" spans="2:17">
      <c r="E69" s="1" t="s">
        <v>550</v>
      </c>
      <c r="F69" s="1" t="s">
        <v>551</v>
      </c>
      <c r="G69" s="1" t="s">
        <v>552</v>
      </c>
      <c r="H69" s="1" t="s">
        <v>553</v>
      </c>
      <c r="I69" s="1" t="s">
        <v>554</v>
      </c>
      <c r="J69" s="1"/>
      <c r="K69" s="1" t="s">
        <v>555</v>
      </c>
    </row>
    <row r="71" spans="2:17">
      <c r="B71" s="325">
        <v>0.375</v>
      </c>
      <c r="C71" s="326">
        <v>0.39583333333333331</v>
      </c>
      <c r="D71" s="360">
        <v>0.39583333333333331</v>
      </c>
      <c r="E71" s="430">
        <v>1</v>
      </c>
      <c r="F71" s="430">
        <v>3</v>
      </c>
      <c r="G71" s="430">
        <v>5</v>
      </c>
      <c r="H71" s="430">
        <v>7</v>
      </c>
      <c r="I71" s="430">
        <v>2</v>
      </c>
      <c r="J71" s="430">
        <v>6</v>
      </c>
      <c r="K71" s="430">
        <v>8</v>
      </c>
      <c r="L71" s="430">
        <v>13</v>
      </c>
      <c r="N71">
        <f>COUNTIF($E$71:$L$88,P71)</f>
        <v>10</v>
      </c>
      <c r="P71" s="192">
        <v>1</v>
      </c>
      <c r="Q71" t="s">
        <v>519</v>
      </c>
    </row>
    <row r="72" spans="2:17">
      <c r="B72" s="325">
        <v>0.40277777777777773</v>
      </c>
      <c r="C72" s="326">
        <v>0.41319444444444442</v>
      </c>
      <c r="D72" s="360">
        <v>0.41319444444444442</v>
      </c>
      <c r="E72" s="430">
        <v>1</v>
      </c>
      <c r="F72" s="430">
        <v>3</v>
      </c>
      <c r="G72" s="430">
        <v>5</v>
      </c>
      <c r="H72" s="430">
        <v>7</v>
      </c>
      <c r="I72" s="430">
        <v>2</v>
      </c>
      <c r="J72" s="430">
        <v>6</v>
      </c>
      <c r="K72" s="430">
        <v>8</v>
      </c>
      <c r="L72" s="430">
        <v>13</v>
      </c>
      <c r="N72">
        <f t="shared" ref="N72:N84" si="1">COUNTIF($E$71:$L$88,P72)</f>
        <v>10</v>
      </c>
      <c r="P72" s="192">
        <v>2</v>
      </c>
      <c r="Q72" t="s">
        <v>522</v>
      </c>
    </row>
    <row r="73" spans="2:17">
      <c r="B73" s="435">
        <v>0.43055555555555552</v>
      </c>
      <c r="C73" s="326">
        <v>0.43055555555555558</v>
      </c>
      <c r="D73" s="360">
        <v>0.43055555555555558</v>
      </c>
      <c r="E73" s="430">
        <v>1</v>
      </c>
      <c r="F73" s="430">
        <v>3</v>
      </c>
      <c r="G73" s="430">
        <v>5</v>
      </c>
      <c r="H73" s="430">
        <v>7</v>
      </c>
      <c r="I73" s="430">
        <v>11</v>
      </c>
      <c r="J73" s="430">
        <v>10</v>
      </c>
      <c r="K73" s="430">
        <v>14</v>
      </c>
      <c r="L73" s="430">
        <v>13</v>
      </c>
      <c r="N73">
        <f t="shared" si="1"/>
        <v>10</v>
      </c>
      <c r="P73">
        <v>3</v>
      </c>
      <c r="Q73" t="s">
        <v>521</v>
      </c>
    </row>
    <row r="74" spans="2:17">
      <c r="B74" s="435">
        <v>0.45833333333333331</v>
      </c>
      <c r="C74" s="326">
        <v>0.44791666666666669</v>
      </c>
      <c r="D74" s="360">
        <v>0.44791666666666669</v>
      </c>
      <c r="E74" s="430">
        <v>2</v>
      </c>
      <c r="F74" s="430">
        <v>4</v>
      </c>
      <c r="G74" s="430">
        <v>6</v>
      </c>
      <c r="H74" s="430">
        <v>8</v>
      </c>
      <c r="I74" s="430">
        <v>11</v>
      </c>
      <c r="J74" s="430">
        <v>9</v>
      </c>
      <c r="K74" s="430">
        <v>14</v>
      </c>
      <c r="L74" s="430">
        <v>12</v>
      </c>
      <c r="N74">
        <f t="shared" si="1"/>
        <v>8</v>
      </c>
      <c r="P74" s="192">
        <v>4</v>
      </c>
      <c r="Q74" t="s">
        <v>520</v>
      </c>
    </row>
    <row r="75" spans="2:17">
      <c r="B75" s="434">
        <v>0.4861111111111111</v>
      </c>
      <c r="C75" s="326">
        <v>0.46527777777777773</v>
      </c>
      <c r="D75" s="360">
        <v>0.46527777777777773</v>
      </c>
      <c r="E75" s="430">
        <v>2</v>
      </c>
      <c r="F75" s="430">
        <v>4</v>
      </c>
      <c r="G75" s="430">
        <v>6</v>
      </c>
      <c r="H75" s="430">
        <v>8</v>
      </c>
      <c r="I75" s="328">
        <v>11</v>
      </c>
      <c r="J75" s="328">
        <v>9</v>
      </c>
      <c r="K75" s="430">
        <v>14</v>
      </c>
      <c r="L75" s="430">
        <v>12</v>
      </c>
      <c r="N75">
        <f t="shared" si="1"/>
        <v>10</v>
      </c>
      <c r="P75" s="192">
        <v>5</v>
      </c>
      <c r="Q75" t="s">
        <v>523</v>
      </c>
    </row>
    <row r="76" spans="2:17">
      <c r="B76" s="434">
        <v>0.51388888888888884</v>
      </c>
      <c r="C76" s="326">
        <v>0.4826388888888889</v>
      </c>
      <c r="D76" s="360">
        <v>0.4826388888888889</v>
      </c>
      <c r="E76" s="430">
        <v>2</v>
      </c>
      <c r="F76" s="430">
        <v>4</v>
      </c>
      <c r="G76" s="430">
        <v>6</v>
      </c>
      <c r="H76" s="430">
        <v>8</v>
      </c>
      <c r="I76" s="430">
        <v>10</v>
      </c>
      <c r="J76" s="430">
        <v>9</v>
      </c>
      <c r="K76" s="430">
        <v>13</v>
      </c>
      <c r="L76" s="430">
        <v>12</v>
      </c>
      <c r="N76">
        <f t="shared" si="1"/>
        <v>10</v>
      </c>
      <c r="P76">
        <v>6</v>
      </c>
      <c r="Q76" t="s">
        <v>524</v>
      </c>
    </row>
    <row r="77" spans="2:17">
      <c r="B77" s="434">
        <v>0.54166666666666663</v>
      </c>
      <c r="C77" s="326">
        <v>0.5</v>
      </c>
      <c r="D77" s="360">
        <v>0.5</v>
      </c>
      <c r="E77" s="430">
        <v>1</v>
      </c>
      <c r="F77" s="430">
        <v>3</v>
      </c>
      <c r="G77" s="430">
        <v>5</v>
      </c>
      <c r="H77" s="430">
        <v>7</v>
      </c>
      <c r="I77" s="430">
        <v>10</v>
      </c>
      <c r="J77" s="430">
        <v>11</v>
      </c>
      <c r="K77" s="430">
        <v>13</v>
      </c>
      <c r="L77" s="430">
        <v>14</v>
      </c>
      <c r="N77">
        <f t="shared" si="1"/>
        <v>9</v>
      </c>
      <c r="P77">
        <v>7</v>
      </c>
      <c r="Q77" t="s">
        <v>525</v>
      </c>
    </row>
    <row r="78" spans="2:17">
      <c r="B78" s="434">
        <v>0.56944444444444442</v>
      </c>
      <c r="C78" s="326">
        <v>0.51736111111111105</v>
      </c>
      <c r="D78" s="360">
        <v>0.51736111111111105</v>
      </c>
      <c r="E78" s="430">
        <v>1</v>
      </c>
      <c r="F78" s="437">
        <v>3</v>
      </c>
      <c r="G78" s="430">
        <v>5</v>
      </c>
      <c r="H78" s="430">
        <v>7</v>
      </c>
      <c r="I78" s="430">
        <v>9</v>
      </c>
      <c r="J78" s="430">
        <v>11</v>
      </c>
      <c r="K78" s="430">
        <v>12</v>
      </c>
      <c r="L78" s="430">
        <v>14</v>
      </c>
      <c r="N78">
        <f t="shared" si="1"/>
        <v>9</v>
      </c>
      <c r="P78" s="192">
        <v>8</v>
      </c>
      <c r="Q78" t="s">
        <v>526</v>
      </c>
    </row>
    <row r="79" spans="2:17">
      <c r="B79" s="435">
        <v>0.59722222222222221</v>
      </c>
      <c r="C79" s="326">
        <v>0.53472222222222221</v>
      </c>
      <c r="D79" s="360">
        <v>0.53472222222222221</v>
      </c>
      <c r="E79" s="430">
        <v>1</v>
      </c>
      <c r="F79" s="430">
        <v>3</v>
      </c>
      <c r="G79" s="430">
        <v>5</v>
      </c>
      <c r="H79" s="430">
        <v>7</v>
      </c>
      <c r="I79" s="430">
        <v>9</v>
      </c>
      <c r="J79" s="430">
        <v>10</v>
      </c>
      <c r="K79" s="430">
        <v>12</v>
      </c>
      <c r="L79" s="430">
        <v>13</v>
      </c>
      <c r="N79">
        <f t="shared" si="1"/>
        <v>10</v>
      </c>
      <c r="P79">
        <v>9</v>
      </c>
      <c r="Q79" t="s">
        <v>527</v>
      </c>
    </row>
    <row r="80" spans="2:17">
      <c r="B80" s="435">
        <v>0.625</v>
      </c>
      <c r="C80" s="326">
        <v>0.5625</v>
      </c>
      <c r="D80" s="360">
        <v>0.5625</v>
      </c>
      <c r="E80" s="430">
        <v>1</v>
      </c>
      <c r="F80" s="433"/>
      <c r="G80" s="430">
        <v>5</v>
      </c>
      <c r="H80" s="433"/>
      <c r="I80" s="433"/>
      <c r="J80" s="430">
        <v>10</v>
      </c>
      <c r="K80" s="433"/>
      <c r="L80" s="430">
        <v>13</v>
      </c>
      <c r="N80">
        <f t="shared" si="1"/>
        <v>10</v>
      </c>
      <c r="P80">
        <v>10</v>
      </c>
      <c r="Q80" t="s">
        <v>528</v>
      </c>
    </row>
    <row r="81" spans="2:17">
      <c r="B81" s="435">
        <v>0.64583333333333326</v>
      </c>
      <c r="C81" s="326">
        <v>0.57986111111111105</v>
      </c>
      <c r="D81" s="360">
        <v>0.57986111111111105</v>
      </c>
      <c r="E81" s="430">
        <v>2</v>
      </c>
      <c r="F81" s="430">
        <v>4</v>
      </c>
      <c r="G81" s="430">
        <v>6</v>
      </c>
      <c r="H81" s="430">
        <v>8</v>
      </c>
      <c r="I81" s="430">
        <v>11</v>
      </c>
      <c r="J81" s="430">
        <v>10</v>
      </c>
      <c r="K81" s="430">
        <v>14</v>
      </c>
      <c r="L81" s="430">
        <v>3</v>
      </c>
      <c r="N81">
        <f t="shared" si="1"/>
        <v>10</v>
      </c>
      <c r="P81" s="192">
        <v>11</v>
      </c>
      <c r="Q81" t="s">
        <v>529</v>
      </c>
    </row>
    <row r="82" spans="2:17">
      <c r="B82" s="435">
        <v>0.66666666666666663</v>
      </c>
      <c r="C82" s="326">
        <v>0.60069444444444442</v>
      </c>
      <c r="D82" s="360">
        <v>0.60069444444444442</v>
      </c>
      <c r="E82" s="430">
        <v>2</v>
      </c>
      <c r="F82" s="430">
        <v>4</v>
      </c>
      <c r="G82" s="430">
        <v>6</v>
      </c>
      <c r="H82" s="430">
        <v>8</v>
      </c>
      <c r="I82" s="430">
        <v>11</v>
      </c>
      <c r="J82" s="430">
        <v>9</v>
      </c>
      <c r="K82" s="430">
        <v>14</v>
      </c>
      <c r="L82" s="430">
        <v>12</v>
      </c>
      <c r="N82">
        <f t="shared" si="1"/>
        <v>10</v>
      </c>
      <c r="P82">
        <v>12</v>
      </c>
      <c r="Q82" t="s">
        <v>530</v>
      </c>
    </row>
    <row r="83" spans="2:17">
      <c r="B83" s="435">
        <v>0.6875</v>
      </c>
      <c r="C83" s="326">
        <v>0.62152777777777779</v>
      </c>
      <c r="D83" s="360">
        <v>0.62152777777777779</v>
      </c>
      <c r="E83" s="430">
        <v>1</v>
      </c>
      <c r="F83" s="430">
        <v>4</v>
      </c>
      <c r="G83" s="430">
        <v>5</v>
      </c>
      <c r="H83" s="430">
        <v>8</v>
      </c>
      <c r="I83" s="430">
        <v>11</v>
      </c>
      <c r="J83" s="430">
        <v>9</v>
      </c>
      <c r="K83" s="430">
        <v>14</v>
      </c>
      <c r="L83" s="430">
        <v>12</v>
      </c>
      <c r="N83">
        <f t="shared" si="1"/>
        <v>10</v>
      </c>
      <c r="P83">
        <v>13</v>
      </c>
      <c r="Q83" t="s">
        <v>531</v>
      </c>
    </row>
    <row r="84" spans="2:17">
      <c r="B84" s="325">
        <v>0.70833333333333326</v>
      </c>
      <c r="C84" s="326">
        <v>0.64583333333333337</v>
      </c>
      <c r="D84" s="360">
        <v>0.64583333333333337</v>
      </c>
      <c r="E84" s="430">
        <v>1</v>
      </c>
      <c r="F84" s="430">
        <v>3</v>
      </c>
      <c r="G84" s="430">
        <v>5</v>
      </c>
      <c r="H84" s="430">
        <v>7</v>
      </c>
      <c r="I84" s="430">
        <v>10</v>
      </c>
      <c r="J84" s="430">
        <v>9</v>
      </c>
      <c r="K84" s="430">
        <v>13</v>
      </c>
      <c r="L84" s="430">
        <v>12</v>
      </c>
      <c r="N84">
        <f t="shared" si="1"/>
        <v>10</v>
      </c>
      <c r="P84">
        <v>14</v>
      </c>
      <c r="Q84" t="s">
        <v>532</v>
      </c>
    </row>
    <row r="85" spans="2:17">
      <c r="B85" s="325">
        <v>0.73611111111111105</v>
      </c>
      <c r="C85" s="326">
        <v>0.67361111111111116</v>
      </c>
      <c r="D85" s="360">
        <v>0.66666666666666663</v>
      </c>
      <c r="E85" s="430">
        <v>1</v>
      </c>
      <c r="F85" s="430">
        <v>3</v>
      </c>
      <c r="G85" s="430">
        <v>5</v>
      </c>
      <c r="H85" s="430">
        <v>7</v>
      </c>
      <c r="I85" s="430">
        <v>10</v>
      </c>
      <c r="J85" s="430">
        <v>11</v>
      </c>
      <c r="K85" s="430">
        <v>13</v>
      </c>
      <c r="L85" s="430">
        <v>14</v>
      </c>
    </row>
    <row r="86" spans="2:17">
      <c r="B86" s="325">
        <v>0.76736111111111105</v>
      </c>
      <c r="C86" s="326">
        <v>0.70486111111111116</v>
      </c>
      <c r="D86" s="360">
        <v>0.6875</v>
      </c>
      <c r="E86" s="430">
        <v>2</v>
      </c>
      <c r="F86" s="430">
        <v>4</v>
      </c>
      <c r="G86" s="430">
        <v>6</v>
      </c>
      <c r="H86" s="430">
        <v>7</v>
      </c>
      <c r="I86" s="430">
        <v>9</v>
      </c>
      <c r="J86" s="430">
        <v>11</v>
      </c>
      <c r="K86" s="430">
        <v>12</v>
      </c>
      <c r="L86" s="430">
        <v>14</v>
      </c>
    </row>
    <row r="87" spans="2:17">
      <c r="B87" s="325">
        <v>0.79166666666666663</v>
      </c>
      <c r="C87" s="326">
        <v>0.73611111111111116</v>
      </c>
      <c r="D87" s="360">
        <v>0.70833333333333337</v>
      </c>
      <c r="E87" s="430">
        <v>2</v>
      </c>
      <c r="F87" s="430">
        <v>4</v>
      </c>
      <c r="G87" s="430">
        <v>6</v>
      </c>
      <c r="H87" s="430">
        <v>8</v>
      </c>
      <c r="I87" s="430">
        <v>9</v>
      </c>
      <c r="J87" s="430">
        <v>10</v>
      </c>
      <c r="K87" s="430">
        <v>12</v>
      </c>
      <c r="L87" s="430">
        <v>13</v>
      </c>
    </row>
    <row r="88" spans="2:17">
      <c r="B88" s="325">
        <v>0.8125</v>
      </c>
      <c r="C88" s="326">
        <v>0.75694444444444453</v>
      </c>
      <c r="D88" s="360">
        <v>0.72916666666666663</v>
      </c>
      <c r="E88" s="430">
        <v>2</v>
      </c>
      <c r="F88" s="433"/>
      <c r="G88" s="430">
        <v>6</v>
      </c>
      <c r="H88" s="433"/>
      <c r="I88" s="433"/>
      <c r="J88" s="430">
        <v>10</v>
      </c>
      <c r="K88" s="433"/>
      <c r="L88" s="430">
        <v>3</v>
      </c>
    </row>
  </sheetData>
  <mergeCells count="3">
    <mergeCell ref="A1:L1"/>
    <mergeCell ref="A2:L2"/>
    <mergeCell ref="A34:L34"/>
  </mergeCells>
  <conditionalFormatting sqref="E71:L71">
    <cfRule type="duplicateValues" dxfId="62" priority="18"/>
  </conditionalFormatting>
  <conditionalFormatting sqref="E72:L72">
    <cfRule type="duplicateValues" dxfId="61" priority="17"/>
  </conditionalFormatting>
  <conditionalFormatting sqref="E73:L73">
    <cfRule type="duplicateValues" dxfId="60" priority="16"/>
  </conditionalFormatting>
  <conditionalFormatting sqref="E74:L74">
    <cfRule type="duplicateValues" dxfId="59" priority="15"/>
  </conditionalFormatting>
  <conditionalFormatting sqref="E75:L75">
    <cfRule type="duplicateValues" dxfId="58" priority="14"/>
  </conditionalFormatting>
  <conditionalFormatting sqref="E76:L76">
    <cfRule type="duplicateValues" dxfId="57" priority="13"/>
  </conditionalFormatting>
  <conditionalFormatting sqref="E77:L77">
    <cfRule type="duplicateValues" dxfId="56" priority="12"/>
  </conditionalFormatting>
  <conditionalFormatting sqref="E78:L78">
    <cfRule type="duplicateValues" dxfId="55" priority="11"/>
  </conditionalFormatting>
  <conditionalFormatting sqref="E79:L79">
    <cfRule type="duplicateValues" dxfId="54" priority="10"/>
  </conditionalFormatting>
  <conditionalFormatting sqref="E80:L80">
    <cfRule type="duplicateValues" dxfId="53" priority="9"/>
  </conditionalFormatting>
  <conditionalFormatting sqref="E81:L81">
    <cfRule type="duplicateValues" dxfId="52" priority="8"/>
  </conditionalFormatting>
  <conditionalFormatting sqref="E82:L82">
    <cfRule type="duplicateValues" dxfId="51" priority="7"/>
  </conditionalFormatting>
  <conditionalFormatting sqref="E83:L83">
    <cfRule type="duplicateValues" dxfId="50" priority="6"/>
  </conditionalFormatting>
  <conditionalFormatting sqref="E84:L84">
    <cfRule type="duplicateValues" dxfId="49" priority="5"/>
  </conditionalFormatting>
  <conditionalFormatting sqref="E85:L85">
    <cfRule type="duplicateValues" dxfId="48" priority="4"/>
  </conditionalFormatting>
  <conditionalFormatting sqref="E86:L86">
    <cfRule type="duplicateValues" dxfId="47" priority="3"/>
  </conditionalFormatting>
  <conditionalFormatting sqref="E87:L87">
    <cfRule type="duplicateValues" dxfId="46" priority="2"/>
  </conditionalFormatting>
  <conditionalFormatting sqref="E88:L88">
    <cfRule type="duplicateValues" dxfId="45" priority="1"/>
  </conditionalFormatting>
  <pageMargins left="0.35433070866141736" right="0.47244094488188981" top="0.35433070866141736" bottom="0.31496062992125984" header="0.19685039370078741" footer="0.15748031496062992"/>
  <pageSetup paperSize="9" scale="90" orientation="landscape" horizontalDpi="300" verticalDpi="300" r:id="rId1"/>
  <rowBreaks count="2" manualBreakCount="2">
    <brk id="32" max="11" man="1"/>
    <brk id="68" max="11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1:J190"/>
  <sheetViews>
    <sheetView showGridLines="0" view="pageBreakPreview" zoomScale="60" workbookViewId="0">
      <selection activeCell="E5" sqref="E5"/>
    </sheetView>
  </sheetViews>
  <sheetFormatPr defaultRowHeight="18.75"/>
  <cols>
    <col min="1" max="1" width="11.7109375" style="4" customWidth="1"/>
    <col min="2" max="2" width="5" style="4" customWidth="1"/>
    <col min="3" max="3" width="21.42578125" style="4" customWidth="1"/>
    <col min="4" max="4" width="15.42578125" style="4" customWidth="1"/>
    <col min="5" max="5" width="45" style="5" customWidth="1"/>
    <col min="6" max="6" width="13.140625" style="5" customWidth="1"/>
    <col min="7" max="7" width="45" style="4" customWidth="1"/>
    <col min="8" max="8" width="15.85546875" style="4" customWidth="1"/>
    <col min="9" max="9" width="21.140625" style="5" customWidth="1"/>
    <col min="10" max="10" width="17.5703125" style="5" customWidth="1"/>
    <col min="11" max="11" width="18.7109375" style="4" customWidth="1"/>
    <col min="12" max="12" width="17.28515625" style="4" customWidth="1"/>
    <col min="13" max="16384" width="9.140625" style="4"/>
  </cols>
  <sheetData>
    <row r="1" spans="3:10" ht="46.5">
      <c r="C1" s="476" t="s">
        <v>0</v>
      </c>
      <c r="D1" s="476"/>
      <c r="E1" s="476"/>
      <c r="F1" s="476"/>
      <c r="G1" s="476"/>
      <c r="H1" s="476"/>
      <c r="I1" s="476"/>
      <c r="J1" s="202"/>
    </row>
    <row r="2" spans="3:10" ht="31.5">
      <c r="F2" s="363" t="s">
        <v>645</v>
      </c>
    </row>
    <row r="3" spans="3:10" ht="36">
      <c r="C3" s="362" t="s">
        <v>387</v>
      </c>
      <c r="D3" s="363" t="s">
        <v>672</v>
      </c>
      <c r="F3" s="299" t="s">
        <v>130</v>
      </c>
      <c r="H3" s="408" t="s">
        <v>515</v>
      </c>
      <c r="I3" s="363">
        <v>2014</v>
      </c>
    </row>
    <row r="5" spans="3:10" ht="31.5">
      <c r="C5" s="4" t="s">
        <v>386</v>
      </c>
      <c r="E5" s="5">
        <f>32-COUNTBLANK(E8:E39)</f>
        <v>32</v>
      </c>
      <c r="F5" s="363" t="s">
        <v>49</v>
      </c>
    </row>
    <row r="6" spans="3:10">
      <c r="E6" s="4"/>
      <c r="F6" s="4"/>
      <c r="H6" s="5"/>
      <c r="J6" s="4"/>
    </row>
    <row r="7" spans="3:10" s="364" customFormat="1" ht="65.25" customHeight="1">
      <c r="C7" s="369" t="s">
        <v>55</v>
      </c>
      <c r="D7" s="369" t="s">
        <v>2</v>
      </c>
      <c r="E7" s="369" t="s">
        <v>3</v>
      </c>
      <c r="F7" s="369" t="s">
        <v>4</v>
      </c>
      <c r="G7" s="369" t="s">
        <v>5</v>
      </c>
      <c r="H7" s="369" t="s">
        <v>6</v>
      </c>
      <c r="I7" s="407" t="s">
        <v>7</v>
      </c>
      <c r="J7" s="407" t="s">
        <v>514</v>
      </c>
    </row>
    <row r="8" spans="3:10" s="361" customFormat="1" ht="35.1" customHeight="1">
      <c r="C8" s="365">
        <f>RANK(H8,$H$8:$H$39,1)</f>
        <v>1</v>
      </c>
      <c r="D8" s="365">
        <v>1</v>
      </c>
      <c r="E8" s="365" t="s">
        <v>558</v>
      </c>
      <c r="F8" s="365">
        <v>2002</v>
      </c>
      <c r="G8" s="365" t="s">
        <v>588</v>
      </c>
      <c r="H8" s="366">
        <v>1</v>
      </c>
      <c r="I8" s="419">
        <v>398.3</v>
      </c>
      <c r="J8" s="404">
        <f>H8</f>
        <v>1</v>
      </c>
    </row>
    <row r="9" spans="3:10" s="361" customFormat="1" ht="35.1" customHeight="1">
      <c r="C9" s="365">
        <f t="shared" ref="C9:C39" si="0">RANK(H9,$H$8:$H$39,1)</f>
        <v>2</v>
      </c>
      <c r="D9" s="365">
        <v>2</v>
      </c>
      <c r="E9" s="365" t="s">
        <v>559</v>
      </c>
      <c r="F9" s="365">
        <v>2001</v>
      </c>
      <c r="G9" s="365" t="s">
        <v>589</v>
      </c>
      <c r="H9" s="366">
        <v>2</v>
      </c>
      <c r="I9" s="419">
        <v>285.69</v>
      </c>
      <c r="J9" s="404">
        <f t="shared" ref="J9:J39" si="1">H9</f>
        <v>2</v>
      </c>
    </row>
    <row r="10" spans="3:10" s="361" customFormat="1" ht="35.1" customHeight="1">
      <c r="C10" s="365">
        <f t="shared" si="0"/>
        <v>3</v>
      </c>
      <c r="D10" s="365">
        <v>3</v>
      </c>
      <c r="E10" s="365" t="s">
        <v>560</v>
      </c>
      <c r="F10" s="365">
        <v>2001</v>
      </c>
      <c r="G10" s="365" t="s">
        <v>590</v>
      </c>
      <c r="H10" s="403">
        <v>3</v>
      </c>
      <c r="I10" s="419">
        <v>283.54000000000002</v>
      </c>
      <c r="J10" s="404">
        <f t="shared" si="1"/>
        <v>3</v>
      </c>
    </row>
    <row r="11" spans="3:10" s="361" customFormat="1" ht="35.1" customHeight="1">
      <c r="C11" s="365">
        <f t="shared" si="0"/>
        <v>4</v>
      </c>
      <c r="D11" s="365">
        <v>4</v>
      </c>
      <c r="E11" s="365" t="s">
        <v>561</v>
      </c>
      <c r="F11" s="365">
        <v>2001</v>
      </c>
      <c r="G11" s="365" t="s">
        <v>591</v>
      </c>
      <c r="H11" s="403">
        <v>4</v>
      </c>
      <c r="I11" s="419">
        <v>244</v>
      </c>
      <c r="J11" s="404">
        <f t="shared" si="1"/>
        <v>4</v>
      </c>
    </row>
    <row r="12" spans="3:10" s="361" customFormat="1" ht="35.1" customHeight="1">
      <c r="C12" s="365">
        <f t="shared" si="0"/>
        <v>5</v>
      </c>
      <c r="D12" s="365">
        <v>5</v>
      </c>
      <c r="E12" s="365" t="s">
        <v>562</v>
      </c>
      <c r="F12" s="365">
        <v>2001</v>
      </c>
      <c r="G12" s="365" t="s">
        <v>592</v>
      </c>
      <c r="H12" s="403">
        <v>5</v>
      </c>
      <c r="I12" s="419">
        <v>202.47</v>
      </c>
      <c r="J12" s="404">
        <f t="shared" si="1"/>
        <v>5</v>
      </c>
    </row>
    <row r="13" spans="3:10" s="361" customFormat="1" ht="35.1" customHeight="1">
      <c r="C13" s="365">
        <f t="shared" si="0"/>
        <v>6</v>
      </c>
      <c r="D13" s="365">
        <v>6</v>
      </c>
      <c r="E13" s="365" t="s">
        <v>563</v>
      </c>
      <c r="F13" s="365">
        <v>2001</v>
      </c>
      <c r="G13" s="365" t="s">
        <v>593</v>
      </c>
      <c r="H13" s="403">
        <v>6</v>
      </c>
      <c r="I13" s="419">
        <v>196.82</v>
      </c>
      <c r="J13" s="404">
        <f t="shared" si="1"/>
        <v>6</v>
      </c>
    </row>
    <row r="14" spans="3:10" s="361" customFormat="1" ht="35.1" customHeight="1">
      <c r="C14" s="365">
        <f t="shared" si="0"/>
        <v>7</v>
      </c>
      <c r="D14" s="365">
        <v>7</v>
      </c>
      <c r="E14" s="365" t="s">
        <v>564</v>
      </c>
      <c r="F14" s="365">
        <v>2001</v>
      </c>
      <c r="G14" s="365" t="s">
        <v>594</v>
      </c>
      <c r="H14" s="403">
        <v>7</v>
      </c>
      <c r="I14" s="419">
        <v>176.05</v>
      </c>
      <c r="J14" s="404">
        <f t="shared" si="1"/>
        <v>7</v>
      </c>
    </row>
    <row r="15" spans="3:10" s="361" customFormat="1" ht="35.1" customHeight="1">
      <c r="C15" s="365">
        <f t="shared" si="0"/>
        <v>8</v>
      </c>
      <c r="D15" s="365">
        <v>8</v>
      </c>
      <c r="E15" s="365" t="s">
        <v>565</v>
      </c>
      <c r="F15" s="365">
        <v>2001</v>
      </c>
      <c r="G15" s="365" t="s">
        <v>595</v>
      </c>
      <c r="H15" s="403">
        <v>8</v>
      </c>
      <c r="I15" s="419">
        <v>154.6</v>
      </c>
      <c r="J15" s="404">
        <f t="shared" si="1"/>
        <v>8</v>
      </c>
    </row>
    <row r="16" spans="3:10" s="361" customFormat="1" ht="35.1" customHeight="1">
      <c r="C16" s="365">
        <f t="shared" si="0"/>
        <v>9</v>
      </c>
      <c r="D16" s="365">
        <v>9</v>
      </c>
      <c r="E16" s="365" t="s">
        <v>566</v>
      </c>
      <c r="F16" s="365">
        <v>2001</v>
      </c>
      <c r="G16" s="365" t="s">
        <v>596</v>
      </c>
      <c r="H16" s="403">
        <v>9</v>
      </c>
      <c r="I16" s="419">
        <v>152.49</v>
      </c>
      <c r="J16" s="404">
        <f t="shared" si="1"/>
        <v>9</v>
      </c>
    </row>
    <row r="17" spans="3:10" s="361" customFormat="1" ht="35.1" customHeight="1">
      <c r="C17" s="365">
        <f t="shared" si="0"/>
        <v>10</v>
      </c>
      <c r="D17" s="365">
        <v>10</v>
      </c>
      <c r="E17" s="365" t="s">
        <v>567</v>
      </c>
      <c r="F17" s="365">
        <v>2002</v>
      </c>
      <c r="G17" s="365" t="s">
        <v>597</v>
      </c>
      <c r="H17" s="403">
        <v>10</v>
      </c>
      <c r="I17" s="419">
        <v>128.26</v>
      </c>
      <c r="J17" s="404">
        <f t="shared" si="1"/>
        <v>10</v>
      </c>
    </row>
    <row r="18" spans="3:10" s="361" customFormat="1" ht="35.1" customHeight="1">
      <c r="C18" s="365">
        <f t="shared" si="0"/>
        <v>11</v>
      </c>
      <c r="D18" s="365">
        <v>11</v>
      </c>
      <c r="E18" s="365" t="s">
        <v>568</v>
      </c>
      <c r="F18" s="365">
        <v>2001</v>
      </c>
      <c r="G18" s="365" t="s">
        <v>598</v>
      </c>
      <c r="H18" s="403">
        <v>11</v>
      </c>
      <c r="I18" s="419">
        <v>125.6</v>
      </c>
      <c r="J18" s="404">
        <f t="shared" si="1"/>
        <v>11</v>
      </c>
    </row>
    <row r="19" spans="3:10" s="361" customFormat="1" ht="35.1" customHeight="1">
      <c r="C19" s="365">
        <f t="shared" si="0"/>
        <v>12</v>
      </c>
      <c r="D19" s="365">
        <v>12</v>
      </c>
      <c r="E19" s="365" t="s">
        <v>569</v>
      </c>
      <c r="F19" s="365">
        <v>2003</v>
      </c>
      <c r="G19" s="365" t="s">
        <v>599</v>
      </c>
      <c r="H19" s="403">
        <v>12</v>
      </c>
      <c r="I19" s="419">
        <v>121.26</v>
      </c>
      <c r="J19" s="404">
        <f t="shared" si="1"/>
        <v>12</v>
      </c>
    </row>
    <row r="20" spans="3:10" s="361" customFormat="1" ht="35.1" customHeight="1">
      <c r="C20" s="365">
        <f t="shared" si="0"/>
        <v>13</v>
      </c>
      <c r="D20" s="365">
        <v>13</v>
      </c>
      <c r="E20" s="365" t="s">
        <v>570</v>
      </c>
      <c r="F20" s="365">
        <v>2003</v>
      </c>
      <c r="G20" s="365" t="s">
        <v>600</v>
      </c>
      <c r="H20" s="403">
        <v>13</v>
      </c>
      <c r="I20" s="419">
        <v>120.11</v>
      </c>
      <c r="J20" s="404">
        <f t="shared" si="1"/>
        <v>13</v>
      </c>
    </row>
    <row r="21" spans="3:10" s="361" customFormat="1" ht="35.1" customHeight="1">
      <c r="C21" s="365">
        <f t="shared" si="0"/>
        <v>14</v>
      </c>
      <c r="D21" s="365">
        <v>14</v>
      </c>
      <c r="E21" s="365" t="s">
        <v>571</v>
      </c>
      <c r="F21" s="365">
        <v>2001</v>
      </c>
      <c r="G21" s="365" t="s">
        <v>601</v>
      </c>
      <c r="H21" s="403">
        <v>14</v>
      </c>
      <c r="I21" s="419">
        <v>111.5</v>
      </c>
      <c r="J21" s="404">
        <f t="shared" si="1"/>
        <v>14</v>
      </c>
    </row>
    <row r="22" spans="3:10" s="361" customFormat="1" ht="35.1" customHeight="1">
      <c r="C22" s="365">
        <f t="shared" si="0"/>
        <v>15</v>
      </c>
      <c r="D22" s="365">
        <v>15</v>
      </c>
      <c r="E22" s="365" t="s">
        <v>572</v>
      </c>
      <c r="F22" s="365">
        <v>2002</v>
      </c>
      <c r="G22" s="365" t="s">
        <v>599</v>
      </c>
      <c r="H22" s="419">
        <v>15</v>
      </c>
      <c r="I22" s="419">
        <v>108.51</v>
      </c>
      <c r="J22" s="419">
        <f t="shared" ref="J22:J38" si="2">H22</f>
        <v>15</v>
      </c>
    </row>
    <row r="23" spans="3:10" s="361" customFormat="1" ht="35.1" customHeight="1">
      <c r="C23" s="365">
        <f t="shared" si="0"/>
        <v>16</v>
      </c>
      <c r="D23" s="365">
        <v>16</v>
      </c>
      <c r="E23" s="365" t="s">
        <v>573</v>
      </c>
      <c r="F23" s="365">
        <v>2001</v>
      </c>
      <c r="G23" s="365" t="s">
        <v>602</v>
      </c>
      <c r="H23" s="419">
        <v>16</v>
      </c>
      <c r="I23" s="419">
        <v>106.88</v>
      </c>
      <c r="J23" s="419">
        <f t="shared" si="2"/>
        <v>16</v>
      </c>
    </row>
    <row r="24" spans="3:10" s="361" customFormat="1" ht="35.1" customHeight="1">
      <c r="C24" s="365">
        <f t="shared" si="0"/>
        <v>17</v>
      </c>
      <c r="D24" s="365">
        <v>17</v>
      </c>
      <c r="E24" s="365" t="s">
        <v>574</v>
      </c>
      <c r="F24" s="365">
        <v>2002</v>
      </c>
      <c r="G24" s="365" t="s">
        <v>599</v>
      </c>
      <c r="H24" s="419">
        <v>17</v>
      </c>
      <c r="I24" s="419">
        <v>101.2</v>
      </c>
      <c r="J24" s="419">
        <f t="shared" si="2"/>
        <v>17</v>
      </c>
    </row>
    <row r="25" spans="3:10" s="361" customFormat="1" ht="35.1" customHeight="1">
      <c r="C25" s="365">
        <f t="shared" si="0"/>
        <v>18</v>
      </c>
      <c r="D25" s="365">
        <v>18</v>
      </c>
      <c r="E25" s="365" t="s">
        <v>575</v>
      </c>
      <c r="F25" s="365">
        <v>2001</v>
      </c>
      <c r="G25" s="365" t="s">
        <v>596</v>
      </c>
      <c r="H25" s="419">
        <v>18</v>
      </c>
      <c r="I25" s="419">
        <v>98.33</v>
      </c>
      <c r="J25" s="419">
        <f t="shared" si="2"/>
        <v>18</v>
      </c>
    </row>
    <row r="26" spans="3:10" s="361" customFormat="1" ht="35.1" customHeight="1">
      <c r="C26" s="365">
        <f t="shared" si="0"/>
        <v>19</v>
      </c>
      <c r="D26" s="365">
        <v>19</v>
      </c>
      <c r="E26" s="365" t="s">
        <v>576</v>
      </c>
      <c r="F26" s="365">
        <v>2003</v>
      </c>
      <c r="G26" s="365" t="s">
        <v>596</v>
      </c>
      <c r="H26" s="419">
        <v>19</v>
      </c>
      <c r="I26" s="419">
        <v>90.72</v>
      </c>
      <c r="J26" s="419">
        <f t="shared" si="2"/>
        <v>19</v>
      </c>
    </row>
    <row r="27" spans="3:10" s="361" customFormat="1" ht="35.1" customHeight="1">
      <c r="C27" s="365">
        <f t="shared" si="0"/>
        <v>20</v>
      </c>
      <c r="D27" s="365">
        <v>20</v>
      </c>
      <c r="E27" s="365" t="s">
        <v>577</v>
      </c>
      <c r="F27" s="365">
        <v>2002</v>
      </c>
      <c r="G27" s="365" t="s">
        <v>593</v>
      </c>
      <c r="H27" s="419">
        <v>20</v>
      </c>
      <c r="I27" s="419">
        <v>89.76</v>
      </c>
      <c r="J27" s="419">
        <f t="shared" si="2"/>
        <v>20</v>
      </c>
    </row>
    <row r="28" spans="3:10" s="361" customFormat="1" ht="35.1" customHeight="1">
      <c r="C28" s="365">
        <f t="shared" si="0"/>
        <v>21</v>
      </c>
      <c r="D28" s="365">
        <v>21</v>
      </c>
      <c r="E28" s="365" t="s">
        <v>578</v>
      </c>
      <c r="F28" s="365">
        <v>2003</v>
      </c>
      <c r="G28" s="365" t="s">
        <v>593</v>
      </c>
      <c r="H28" s="419">
        <v>21</v>
      </c>
      <c r="I28" s="419">
        <v>89</v>
      </c>
      <c r="J28" s="419">
        <f t="shared" si="2"/>
        <v>21</v>
      </c>
    </row>
    <row r="29" spans="3:10" s="361" customFormat="1" ht="35.1" customHeight="1">
      <c r="C29" s="365">
        <f t="shared" si="0"/>
        <v>22</v>
      </c>
      <c r="D29" s="365">
        <v>22</v>
      </c>
      <c r="E29" s="365" t="s">
        <v>671</v>
      </c>
      <c r="F29" s="365">
        <v>2002</v>
      </c>
      <c r="G29" s="365" t="s">
        <v>602</v>
      </c>
      <c r="H29" s="419">
        <v>22</v>
      </c>
      <c r="I29" s="419">
        <v>89</v>
      </c>
      <c r="J29" s="419">
        <f t="shared" si="2"/>
        <v>22</v>
      </c>
    </row>
    <row r="30" spans="3:10" s="361" customFormat="1" ht="35.1" customHeight="1">
      <c r="C30" s="365">
        <f t="shared" si="0"/>
        <v>23</v>
      </c>
      <c r="D30" s="365">
        <v>23</v>
      </c>
      <c r="E30" s="365" t="s">
        <v>579</v>
      </c>
      <c r="F30" s="365">
        <v>2001</v>
      </c>
      <c r="G30" s="365" t="s">
        <v>603</v>
      </c>
      <c r="H30" s="419">
        <v>23</v>
      </c>
      <c r="I30" s="419">
        <v>74.849999999999994</v>
      </c>
      <c r="J30" s="419">
        <f t="shared" si="2"/>
        <v>23</v>
      </c>
    </row>
    <row r="31" spans="3:10" s="361" customFormat="1" ht="35.1" customHeight="1">
      <c r="C31" s="365">
        <f t="shared" si="0"/>
        <v>24</v>
      </c>
      <c r="D31" s="365">
        <v>24</v>
      </c>
      <c r="E31" s="365" t="s">
        <v>580</v>
      </c>
      <c r="F31" s="365">
        <v>2001</v>
      </c>
      <c r="G31" s="365" t="s">
        <v>590</v>
      </c>
      <c r="H31" s="419">
        <v>24</v>
      </c>
      <c r="I31" s="419">
        <v>74.64</v>
      </c>
      <c r="J31" s="419">
        <f t="shared" si="2"/>
        <v>24</v>
      </c>
    </row>
    <row r="32" spans="3:10" s="361" customFormat="1" ht="35.1" customHeight="1">
      <c r="C32" s="365">
        <f t="shared" si="0"/>
        <v>32</v>
      </c>
      <c r="D32" s="365">
        <v>25</v>
      </c>
      <c r="E32" s="365" t="s">
        <v>643</v>
      </c>
      <c r="F32" s="365">
        <v>2001</v>
      </c>
      <c r="G32" s="365" t="s">
        <v>644</v>
      </c>
      <c r="H32" s="419">
        <v>33</v>
      </c>
      <c r="I32" s="419">
        <v>59.9</v>
      </c>
      <c r="J32" s="419">
        <f t="shared" si="2"/>
        <v>33</v>
      </c>
    </row>
    <row r="33" spans="3:10" s="361" customFormat="1" ht="35.1" customHeight="1">
      <c r="C33" s="365">
        <f t="shared" si="0"/>
        <v>25</v>
      </c>
      <c r="D33" s="365">
        <v>26</v>
      </c>
      <c r="E33" s="365" t="s">
        <v>581</v>
      </c>
      <c r="F33" s="365">
        <v>2002</v>
      </c>
      <c r="G33" s="365" t="s">
        <v>605</v>
      </c>
      <c r="H33" s="419">
        <v>26</v>
      </c>
      <c r="I33" s="419">
        <v>74.069999999999993</v>
      </c>
      <c r="J33" s="419">
        <f t="shared" si="2"/>
        <v>26</v>
      </c>
    </row>
    <row r="34" spans="3:10" s="361" customFormat="1" ht="35.1" customHeight="1">
      <c r="C34" s="365">
        <f t="shared" si="0"/>
        <v>26</v>
      </c>
      <c r="D34" s="365">
        <v>27</v>
      </c>
      <c r="E34" s="365" t="s">
        <v>582</v>
      </c>
      <c r="F34" s="365">
        <v>2001</v>
      </c>
      <c r="G34" s="365" t="s">
        <v>602</v>
      </c>
      <c r="H34" s="419">
        <v>27</v>
      </c>
      <c r="I34" s="419">
        <v>73.39</v>
      </c>
      <c r="J34" s="419">
        <f t="shared" si="2"/>
        <v>27</v>
      </c>
    </row>
    <row r="35" spans="3:10" s="361" customFormat="1" ht="35.1" customHeight="1">
      <c r="C35" s="365">
        <f t="shared" si="0"/>
        <v>27</v>
      </c>
      <c r="D35" s="365">
        <v>28</v>
      </c>
      <c r="E35" s="365" t="s">
        <v>583</v>
      </c>
      <c r="F35" s="365">
        <v>2001</v>
      </c>
      <c r="G35" s="365" t="s">
        <v>602</v>
      </c>
      <c r="H35" s="419">
        <v>28</v>
      </c>
      <c r="I35" s="419">
        <v>71.91</v>
      </c>
      <c r="J35" s="419">
        <f t="shared" si="2"/>
        <v>28</v>
      </c>
    </row>
    <row r="36" spans="3:10" s="361" customFormat="1" ht="35.1" customHeight="1">
      <c r="C36" s="365">
        <f t="shared" si="0"/>
        <v>28</v>
      </c>
      <c r="D36" s="365">
        <v>29</v>
      </c>
      <c r="E36" s="365" t="s">
        <v>584</v>
      </c>
      <c r="F36" s="365">
        <v>2001</v>
      </c>
      <c r="G36" s="365" t="s">
        <v>606</v>
      </c>
      <c r="H36" s="419">
        <v>29</v>
      </c>
      <c r="I36" s="419">
        <v>68.900000000000006</v>
      </c>
      <c r="J36" s="419">
        <f t="shared" si="2"/>
        <v>29</v>
      </c>
    </row>
    <row r="37" spans="3:10" s="361" customFormat="1" ht="35.1" customHeight="1">
      <c r="C37" s="365">
        <f t="shared" si="0"/>
        <v>29</v>
      </c>
      <c r="D37" s="365">
        <v>30</v>
      </c>
      <c r="E37" s="365" t="s">
        <v>585</v>
      </c>
      <c r="F37" s="365">
        <v>2001</v>
      </c>
      <c r="G37" s="365" t="s">
        <v>588</v>
      </c>
      <c r="H37" s="419">
        <v>30</v>
      </c>
      <c r="I37" s="419">
        <v>68.3</v>
      </c>
      <c r="J37" s="419">
        <f t="shared" si="2"/>
        <v>30</v>
      </c>
    </row>
    <row r="38" spans="3:10" s="361" customFormat="1" ht="35.1" customHeight="1">
      <c r="C38" s="365">
        <f t="shared" si="0"/>
        <v>30</v>
      </c>
      <c r="D38" s="365">
        <v>31</v>
      </c>
      <c r="E38" s="377" t="s">
        <v>586</v>
      </c>
      <c r="F38" s="420">
        <v>2002</v>
      </c>
      <c r="G38" s="377" t="s">
        <v>607</v>
      </c>
      <c r="H38" s="420">
        <v>31</v>
      </c>
      <c r="I38" s="420">
        <v>60.74</v>
      </c>
      <c r="J38" s="419">
        <f t="shared" si="2"/>
        <v>31</v>
      </c>
    </row>
    <row r="39" spans="3:10" s="361" customFormat="1" ht="35.1" customHeight="1">
      <c r="C39" s="365">
        <f t="shared" si="0"/>
        <v>31</v>
      </c>
      <c r="D39" s="365">
        <v>32</v>
      </c>
      <c r="E39" s="377" t="s">
        <v>587</v>
      </c>
      <c r="F39" s="420">
        <v>2002</v>
      </c>
      <c r="G39" s="377" t="s">
        <v>606</v>
      </c>
      <c r="H39" s="420">
        <v>32</v>
      </c>
      <c r="I39" s="420">
        <v>60.32</v>
      </c>
      <c r="J39" s="404">
        <f t="shared" si="1"/>
        <v>32</v>
      </c>
    </row>
    <row r="42" spans="3:10" ht="31.5">
      <c r="C42" s="4" t="s">
        <v>386</v>
      </c>
      <c r="E42" s="5">
        <f>24-COUNTBLANK(E45:E68)</f>
        <v>24</v>
      </c>
      <c r="F42" s="362" t="s">
        <v>50</v>
      </c>
    </row>
    <row r="43" spans="3:10">
      <c r="E43" s="4"/>
      <c r="F43" s="4"/>
      <c r="H43" s="5"/>
      <c r="J43" s="4"/>
    </row>
    <row r="44" spans="3:10" s="361" customFormat="1" ht="66.75" customHeight="1">
      <c r="C44" s="369" t="s">
        <v>55</v>
      </c>
      <c r="D44" s="369" t="s">
        <v>2</v>
      </c>
      <c r="E44" s="369" t="s">
        <v>3</v>
      </c>
      <c r="F44" s="369" t="s">
        <v>4</v>
      </c>
      <c r="G44" s="369" t="s">
        <v>5</v>
      </c>
      <c r="H44" s="370" t="s">
        <v>6</v>
      </c>
      <c r="I44" s="407" t="s">
        <v>7</v>
      </c>
      <c r="J44" s="407" t="s">
        <v>514</v>
      </c>
    </row>
    <row r="45" spans="3:10" s="361" customFormat="1" ht="35.1" customHeight="1">
      <c r="C45" s="365">
        <f>RANK(H45,$H$45:$H$68,1)</f>
        <v>1</v>
      </c>
      <c r="D45" s="365">
        <v>1</v>
      </c>
      <c r="E45" s="365" t="s">
        <v>619</v>
      </c>
      <c r="F45" s="365">
        <v>2001</v>
      </c>
      <c r="G45" s="365" t="s">
        <v>608</v>
      </c>
      <c r="H45" s="366">
        <v>1</v>
      </c>
      <c r="I45" s="367">
        <v>496</v>
      </c>
      <c r="J45" s="404">
        <f>50+H45</f>
        <v>51</v>
      </c>
    </row>
    <row r="46" spans="3:10" s="361" customFormat="1" ht="35.1" customHeight="1">
      <c r="C46" s="365">
        <f t="shared" ref="C46:C68" si="3">RANK(H46,$H$45:$H$68,1)</f>
        <v>2</v>
      </c>
      <c r="D46" s="365">
        <v>2</v>
      </c>
      <c r="E46" s="365" t="s">
        <v>620</v>
      </c>
      <c r="F46" s="365">
        <v>2002</v>
      </c>
      <c r="G46" s="365" t="s">
        <v>609</v>
      </c>
      <c r="H46" s="366">
        <v>2</v>
      </c>
      <c r="I46" s="367">
        <v>307.63</v>
      </c>
      <c r="J46" s="468">
        <f t="shared" ref="J46:J68" si="4">50+H46</f>
        <v>52</v>
      </c>
    </row>
    <row r="47" spans="3:10" s="361" customFormat="1" ht="35.1" customHeight="1">
      <c r="C47" s="365">
        <f t="shared" si="3"/>
        <v>3</v>
      </c>
      <c r="D47" s="365">
        <v>3</v>
      </c>
      <c r="E47" s="365" t="s">
        <v>621</v>
      </c>
      <c r="F47" s="365">
        <v>2001</v>
      </c>
      <c r="G47" s="365" t="s">
        <v>610</v>
      </c>
      <c r="H47" s="403">
        <v>3</v>
      </c>
      <c r="I47" s="367">
        <v>252.63</v>
      </c>
      <c r="J47" s="468">
        <f t="shared" si="4"/>
        <v>53</v>
      </c>
    </row>
    <row r="48" spans="3:10" s="361" customFormat="1" ht="35.1" customHeight="1">
      <c r="C48" s="365">
        <f t="shared" si="3"/>
        <v>4</v>
      </c>
      <c r="D48" s="365">
        <v>4</v>
      </c>
      <c r="E48" s="365" t="s">
        <v>622</v>
      </c>
      <c r="F48" s="365">
        <v>2002</v>
      </c>
      <c r="G48" s="365" t="s">
        <v>611</v>
      </c>
      <c r="H48" s="403">
        <v>4</v>
      </c>
      <c r="I48" s="367">
        <v>207.64</v>
      </c>
      <c r="J48" s="468">
        <f t="shared" si="4"/>
        <v>54</v>
      </c>
    </row>
    <row r="49" spans="3:10" s="361" customFormat="1" ht="35.1" customHeight="1">
      <c r="C49" s="365">
        <f t="shared" si="3"/>
        <v>5</v>
      </c>
      <c r="D49" s="365">
        <v>5</v>
      </c>
      <c r="E49" s="365" t="s">
        <v>623</v>
      </c>
      <c r="F49" s="365">
        <v>2002</v>
      </c>
      <c r="G49" s="365" t="s">
        <v>589</v>
      </c>
      <c r="H49" s="403">
        <v>5</v>
      </c>
      <c r="I49" s="367">
        <v>194.54</v>
      </c>
      <c r="J49" s="468">
        <f t="shared" si="4"/>
        <v>55</v>
      </c>
    </row>
    <row r="50" spans="3:10" s="361" customFormat="1" ht="35.1" customHeight="1">
      <c r="C50" s="365">
        <f t="shared" si="3"/>
        <v>6</v>
      </c>
      <c r="D50" s="365">
        <v>6</v>
      </c>
      <c r="E50" s="365" t="s">
        <v>624</v>
      </c>
      <c r="F50" s="365">
        <v>2001</v>
      </c>
      <c r="G50" s="365" t="s">
        <v>599</v>
      </c>
      <c r="H50" s="403">
        <v>6</v>
      </c>
      <c r="I50" s="367">
        <v>180.71</v>
      </c>
      <c r="J50" s="468">
        <f t="shared" si="4"/>
        <v>56</v>
      </c>
    </row>
    <row r="51" spans="3:10" s="361" customFormat="1" ht="35.1" customHeight="1">
      <c r="C51" s="365">
        <f t="shared" si="3"/>
        <v>7</v>
      </c>
      <c r="D51" s="365">
        <v>7</v>
      </c>
      <c r="E51" s="365" t="s">
        <v>625</v>
      </c>
      <c r="F51" s="365">
        <v>2002</v>
      </c>
      <c r="G51" s="365" t="s">
        <v>596</v>
      </c>
      <c r="H51" s="403">
        <v>7</v>
      </c>
      <c r="I51" s="367">
        <v>177.93</v>
      </c>
      <c r="J51" s="468">
        <f t="shared" si="4"/>
        <v>57</v>
      </c>
    </row>
    <row r="52" spans="3:10" s="361" customFormat="1" ht="35.1" customHeight="1">
      <c r="C52" s="365">
        <f t="shared" si="3"/>
        <v>8</v>
      </c>
      <c r="D52" s="365">
        <v>8</v>
      </c>
      <c r="E52" s="365" t="s">
        <v>626</v>
      </c>
      <c r="F52" s="365">
        <v>2002</v>
      </c>
      <c r="G52" s="365" t="s">
        <v>610</v>
      </c>
      <c r="H52" s="403">
        <v>8</v>
      </c>
      <c r="I52" s="367">
        <v>165.9</v>
      </c>
      <c r="J52" s="468">
        <f t="shared" si="4"/>
        <v>58</v>
      </c>
    </row>
    <row r="53" spans="3:10" s="361" customFormat="1" ht="35.1" customHeight="1">
      <c r="C53" s="365">
        <f t="shared" si="3"/>
        <v>9</v>
      </c>
      <c r="D53" s="365">
        <v>9</v>
      </c>
      <c r="E53" s="365" t="s">
        <v>627</v>
      </c>
      <c r="F53" s="365">
        <v>2003</v>
      </c>
      <c r="G53" s="365" t="s">
        <v>602</v>
      </c>
      <c r="H53" s="403">
        <v>9</v>
      </c>
      <c r="I53" s="367">
        <v>157.03</v>
      </c>
      <c r="J53" s="468">
        <f t="shared" si="4"/>
        <v>59</v>
      </c>
    </row>
    <row r="54" spans="3:10" s="361" customFormat="1" ht="35.1" customHeight="1">
      <c r="C54" s="365">
        <f t="shared" si="3"/>
        <v>10</v>
      </c>
      <c r="D54" s="365">
        <v>10</v>
      </c>
      <c r="E54" s="365" t="s">
        <v>628</v>
      </c>
      <c r="F54" s="365">
        <v>2001</v>
      </c>
      <c r="G54" s="365" t="s">
        <v>608</v>
      </c>
      <c r="H54" s="403">
        <v>10</v>
      </c>
      <c r="I54" s="367">
        <v>138.46</v>
      </c>
      <c r="J54" s="468">
        <f t="shared" si="4"/>
        <v>60</v>
      </c>
    </row>
    <row r="55" spans="3:10" s="361" customFormat="1" ht="35.1" customHeight="1">
      <c r="C55" s="365">
        <f t="shared" si="3"/>
        <v>11</v>
      </c>
      <c r="D55" s="365">
        <v>11</v>
      </c>
      <c r="E55" s="365" t="s">
        <v>629</v>
      </c>
      <c r="F55" s="365">
        <v>2001</v>
      </c>
      <c r="G55" s="365" t="s">
        <v>589</v>
      </c>
      <c r="H55" s="403">
        <v>11</v>
      </c>
      <c r="I55" s="367">
        <v>135.35</v>
      </c>
      <c r="J55" s="468">
        <f t="shared" si="4"/>
        <v>61</v>
      </c>
    </row>
    <row r="56" spans="3:10" s="361" customFormat="1" ht="35.1" customHeight="1">
      <c r="C56" s="365">
        <f t="shared" si="3"/>
        <v>12</v>
      </c>
      <c r="D56" s="365">
        <v>12</v>
      </c>
      <c r="E56" s="365" t="s">
        <v>630</v>
      </c>
      <c r="F56" s="365">
        <v>2002</v>
      </c>
      <c r="G56" s="365" t="s">
        <v>605</v>
      </c>
      <c r="H56" s="403">
        <v>12</v>
      </c>
      <c r="I56" s="367">
        <v>133.78</v>
      </c>
      <c r="J56" s="468">
        <f t="shared" si="4"/>
        <v>62</v>
      </c>
    </row>
    <row r="57" spans="3:10" s="361" customFormat="1" ht="35.1" customHeight="1">
      <c r="C57" s="365">
        <f t="shared" si="3"/>
        <v>13</v>
      </c>
      <c r="D57" s="365">
        <v>13</v>
      </c>
      <c r="E57" s="365" t="s">
        <v>631</v>
      </c>
      <c r="F57" s="365">
        <v>2001</v>
      </c>
      <c r="G57" s="365" t="s">
        <v>612</v>
      </c>
      <c r="H57" s="403">
        <v>13</v>
      </c>
      <c r="I57" s="367">
        <v>113.65</v>
      </c>
      <c r="J57" s="468">
        <f t="shared" si="4"/>
        <v>63</v>
      </c>
    </row>
    <row r="58" spans="3:10" s="361" customFormat="1" ht="35.1" customHeight="1">
      <c r="C58" s="365">
        <f t="shared" si="3"/>
        <v>14</v>
      </c>
      <c r="D58" s="365">
        <v>14</v>
      </c>
      <c r="E58" s="365" t="s">
        <v>632</v>
      </c>
      <c r="F58" s="365">
        <v>2002</v>
      </c>
      <c r="G58" s="365" t="s">
        <v>613</v>
      </c>
      <c r="H58" s="403">
        <v>14</v>
      </c>
      <c r="I58" s="367">
        <v>98.75</v>
      </c>
      <c r="J58" s="468">
        <f t="shared" si="4"/>
        <v>64</v>
      </c>
    </row>
    <row r="59" spans="3:10" s="361" customFormat="1" ht="35.1" customHeight="1">
      <c r="C59" s="365">
        <f t="shared" si="3"/>
        <v>15</v>
      </c>
      <c r="D59" s="365">
        <v>15</v>
      </c>
      <c r="E59" s="365" t="s">
        <v>633</v>
      </c>
      <c r="F59" s="365">
        <v>2003</v>
      </c>
      <c r="G59" s="365" t="s">
        <v>604</v>
      </c>
      <c r="H59" s="403">
        <v>15</v>
      </c>
      <c r="I59" s="367">
        <v>93.38</v>
      </c>
      <c r="J59" s="468">
        <f t="shared" si="4"/>
        <v>65</v>
      </c>
    </row>
    <row r="60" spans="3:10" s="361" customFormat="1" ht="35.1" customHeight="1">
      <c r="C60" s="365">
        <f t="shared" si="3"/>
        <v>16</v>
      </c>
      <c r="D60" s="365">
        <v>16</v>
      </c>
      <c r="E60" s="365" t="s">
        <v>634</v>
      </c>
      <c r="F60" s="365">
        <v>2001</v>
      </c>
      <c r="G60" s="365" t="s">
        <v>614</v>
      </c>
      <c r="H60" s="403">
        <v>16</v>
      </c>
      <c r="I60" s="367">
        <v>91.77</v>
      </c>
      <c r="J60" s="468">
        <f t="shared" si="4"/>
        <v>66</v>
      </c>
    </row>
    <row r="61" spans="3:10" s="361" customFormat="1" ht="35.1" customHeight="1">
      <c r="C61" s="365">
        <f t="shared" si="3"/>
        <v>17</v>
      </c>
      <c r="D61" s="365">
        <v>17</v>
      </c>
      <c r="E61" s="365" t="s">
        <v>635</v>
      </c>
      <c r="F61" s="365">
        <v>2001</v>
      </c>
      <c r="G61" s="365" t="s">
        <v>615</v>
      </c>
      <c r="H61" s="403">
        <v>17</v>
      </c>
      <c r="I61" s="367">
        <v>87.84</v>
      </c>
      <c r="J61" s="468">
        <f t="shared" si="4"/>
        <v>67</v>
      </c>
    </row>
    <row r="62" spans="3:10" s="361" customFormat="1" ht="35.1" customHeight="1">
      <c r="C62" s="365">
        <f t="shared" si="3"/>
        <v>18</v>
      </c>
      <c r="D62" s="365">
        <v>18</v>
      </c>
      <c r="E62" s="365" t="s">
        <v>636</v>
      </c>
      <c r="F62" s="365">
        <v>2001</v>
      </c>
      <c r="G62" s="365" t="s">
        <v>588</v>
      </c>
      <c r="H62" s="403">
        <v>18</v>
      </c>
      <c r="I62" s="367">
        <v>79.099999999999994</v>
      </c>
      <c r="J62" s="468">
        <f t="shared" si="4"/>
        <v>68</v>
      </c>
    </row>
    <row r="63" spans="3:10" s="361" customFormat="1" ht="35.1" customHeight="1">
      <c r="C63" s="365">
        <f t="shared" si="3"/>
        <v>19</v>
      </c>
      <c r="D63" s="365">
        <v>19</v>
      </c>
      <c r="E63" s="365" t="s">
        <v>637</v>
      </c>
      <c r="F63" s="365">
        <v>2002</v>
      </c>
      <c r="G63" s="365" t="s">
        <v>591</v>
      </c>
      <c r="H63" s="403">
        <v>19</v>
      </c>
      <c r="I63" s="367">
        <v>78.19</v>
      </c>
      <c r="J63" s="468">
        <f t="shared" si="4"/>
        <v>69</v>
      </c>
    </row>
    <row r="64" spans="3:10" s="361" customFormat="1" ht="35.1" customHeight="1">
      <c r="C64" s="365">
        <f t="shared" si="3"/>
        <v>20</v>
      </c>
      <c r="D64" s="365">
        <v>20</v>
      </c>
      <c r="E64" s="365" t="s">
        <v>638</v>
      </c>
      <c r="F64" s="365">
        <v>2003</v>
      </c>
      <c r="G64" s="365" t="s">
        <v>616</v>
      </c>
      <c r="H64" s="403">
        <v>20</v>
      </c>
      <c r="I64" s="367">
        <v>76.44</v>
      </c>
      <c r="J64" s="468">
        <f t="shared" si="4"/>
        <v>70</v>
      </c>
    </row>
    <row r="65" spans="1:10" s="361" customFormat="1" ht="35.1" customHeight="1">
      <c r="C65" s="365">
        <f t="shared" si="3"/>
        <v>21</v>
      </c>
      <c r="D65" s="365">
        <v>21</v>
      </c>
      <c r="E65" s="365" t="s">
        <v>639</v>
      </c>
      <c r="F65" s="365">
        <v>2001</v>
      </c>
      <c r="G65" s="365" t="s">
        <v>617</v>
      </c>
      <c r="H65" s="403">
        <v>21</v>
      </c>
      <c r="I65" s="367">
        <v>72.400000000000006</v>
      </c>
      <c r="J65" s="468">
        <f t="shared" si="4"/>
        <v>71</v>
      </c>
    </row>
    <row r="66" spans="1:10" s="361" customFormat="1" ht="35.1" customHeight="1">
      <c r="C66" s="365">
        <f t="shared" si="3"/>
        <v>22</v>
      </c>
      <c r="D66" s="365">
        <v>22</v>
      </c>
      <c r="E66" s="365" t="s">
        <v>640</v>
      </c>
      <c r="F66" s="365">
        <v>2003</v>
      </c>
      <c r="G66" s="365" t="s">
        <v>605</v>
      </c>
      <c r="H66" s="403">
        <v>22</v>
      </c>
      <c r="I66" s="367">
        <v>69.599999999999994</v>
      </c>
      <c r="J66" s="468">
        <f t="shared" si="4"/>
        <v>72</v>
      </c>
    </row>
    <row r="67" spans="1:10" s="361" customFormat="1" ht="35.1" customHeight="1">
      <c r="C67" s="365">
        <f t="shared" si="3"/>
        <v>23</v>
      </c>
      <c r="D67" s="365">
        <v>23</v>
      </c>
      <c r="E67" s="365" t="s">
        <v>641</v>
      </c>
      <c r="F67" s="365">
        <v>2001</v>
      </c>
      <c r="G67" s="365" t="s">
        <v>618</v>
      </c>
      <c r="H67" s="403">
        <v>23</v>
      </c>
      <c r="I67" s="367">
        <v>68.58</v>
      </c>
      <c r="J67" s="468">
        <f t="shared" si="4"/>
        <v>73</v>
      </c>
    </row>
    <row r="68" spans="1:10" s="361" customFormat="1" ht="35.1" customHeight="1">
      <c r="C68" s="365">
        <f t="shared" si="3"/>
        <v>24</v>
      </c>
      <c r="D68" s="365">
        <v>24</v>
      </c>
      <c r="E68" s="365" t="s">
        <v>642</v>
      </c>
      <c r="F68" s="365">
        <v>2003</v>
      </c>
      <c r="G68" s="365" t="s">
        <v>599</v>
      </c>
      <c r="H68" s="403">
        <v>24</v>
      </c>
      <c r="I68" s="367">
        <v>67.63</v>
      </c>
      <c r="J68" s="468">
        <f t="shared" si="4"/>
        <v>74</v>
      </c>
    </row>
    <row r="71" spans="1:10">
      <c r="D71" s="5"/>
      <c r="J71" s="4"/>
    </row>
    <row r="72" spans="1:10" ht="31.5">
      <c r="C72" s="4" t="s">
        <v>386</v>
      </c>
      <c r="E72" s="5">
        <f>16-COUNTBLANK(E75:E106)/2</f>
        <v>16</v>
      </c>
      <c r="F72" s="362" t="s">
        <v>51</v>
      </c>
    </row>
    <row r="73" spans="1:10">
      <c r="D73" s="17"/>
      <c r="E73" s="17"/>
      <c r="F73" s="4"/>
      <c r="J73" s="4"/>
    </row>
    <row r="74" spans="1:10" s="361" customFormat="1" ht="79.5" customHeight="1">
      <c r="A74" s="361" t="s">
        <v>11</v>
      </c>
      <c r="C74" s="372" t="s">
        <v>55</v>
      </c>
      <c r="D74" s="373" t="s">
        <v>52</v>
      </c>
      <c r="E74" s="372" t="s">
        <v>3</v>
      </c>
      <c r="F74" s="372" t="s">
        <v>4</v>
      </c>
      <c r="G74" s="372" t="s">
        <v>5</v>
      </c>
      <c r="H74" s="373" t="s">
        <v>54</v>
      </c>
      <c r="I74" s="373" t="s">
        <v>53</v>
      </c>
    </row>
    <row r="75" spans="1:10" s="361" customFormat="1" ht="35.1" customHeight="1">
      <c r="A75" s="361">
        <f>IF(ISERROR(10*C75+1)=TRUE,"",10*C75+1)</f>
        <v>51</v>
      </c>
      <c r="C75" s="472">
        <f>IF(ISERROR(RANK(I75,$I$75:$I$106,0))=TRUE,"",RANK(I75,$I$75:$I$106,0))</f>
        <v>5</v>
      </c>
      <c r="D75" s="366">
        <v>9</v>
      </c>
      <c r="E75" s="365" t="str">
        <f>IF(ISERROR(VLOOKUP(D75,$D$8:$J$39,2,0))=TRUE,"",VLOOKUP(D75,$D$8:$J$39,2,0))</f>
        <v>HURKA Rastislav</v>
      </c>
      <c r="F75" s="365">
        <f>IF(ISERROR(VLOOKUP(D75,$D$8:$I$39,3,0))=TRUE," ",VLOOKUP(D75,$D$8:$I$39,3,0))</f>
        <v>2001</v>
      </c>
      <c r="G75" s="365" t="str">
        <f>IF(ISERROR(VLOOKUP(D75,$D$8:$I$39,4,0))=TRUE," ",VLOOKUP(D75,$D$8:$I$39,4,0))</f>
        <v>STO VALALIKY</v>
      </c>
      <c r="H75" s="366">
        <f>IF(ISERROR(VLOOKUP(D75,$D$8:$I$39,6,0))=TRUE," ",VLOOKUP(D75,$D$8:$I$39,6,0))</f>
        <v>152.49</v>
      </c>
      <c r="I75" s="473">
        <f>IF(SUM(H75:H76)=0,"",SUM(H75:H76))</f>
        <v>263.99</v>
      </c>
    </row>
    <row r="76" spans="1:10" s="361" customFormat="1" ht="35.1" customHeight="1">
      <c r="A76" s="361">
        <f>IF(ISERROR(10*C75+2)=TRUE,"",10*C75+2)</f>
        <v>52</v>
      </c>
      <c r="C76" s="472"/>
      <c r="D76" s="366">
        <v>14</v>
      </c>
      <c r="E76" s="365" t="str">
        <f t="shared" ref="E76:E106" si="5">IF(ISERROR(VLOOKUP(D76,$D$8:$J$39,2,0))=TRUE,"",VLOOKUP(D76,$D$8:$J$39,2,0))</f>
        <v>JALOVECKÝ Marek</v>
      </c>
      <c r="F76" s="365">
        <f>IF(ISERROR(VLOOKUP(D76,$D$8:$I$39,3,0))=TRUE," ",VLOOKUP(D76,$D$8:$I$39,3,0))</f>
        <v>2001</v>
      </c>
      <c r="G76" s="365" t="str">
        <f>IF(ISERROR(VLOOKUP(D76,$D$8:$I$39,4,0))=TRUE," ",VLOOKUP(D76,$D$8:$I$39,4,0))</f>
        <v>STK ZŠ NA BIELENISKU PEZINOK</v>
      </c>
      <c r="H76" s="366">
        <f>IF(ISERROR(VLOOKUP(D76,$D$8:$I$39,6,0))=TRUE," ",VLOOKUP(D76,$D$8:$I$39,6,0))</f>
        <v>111.5</v>
      </c>
      <c r="I76" s="473"/>
    </row>
    <row r="77" spans="1:10" s="361" customFormat="1" ht="35.1" customHeight="1">
      <c r="A77" s="361">
        <f>IF(ISERROR(10*C77+1)=TRUE,"",10*C77+1)</f>
        <v>101</v>
      </c>
      <c r="C77" s="472">
        <f t="shared" ref="C77" si="6">IF(ISERROR(RANK(I77,$I$75:$I$106,0))=TRUE,"",RANK(I77,$I$75:$I$106,0))</f>
        <v>10</v>
      </c>
      <c r="D77" s="366">
        <v>19</v>
      </c>
      <c r="E77" s="365" t="str">
        <f t="shared" si="5"/>
        <v>PACH Kamil</v>
      </c>
      <c r="F77" s="365">
        <f t="shared" ref="F77:F106" si="7">IF(ISERROR(VLOOKUP(D77,$D$8:$I$39,3,0))=TRUE," ",VLOOKUP(D77,$D$8:$I$39,3,0))</f>
        <v>2003</v>
      </c>
      <c r="G77" s="365" t="str">
        <f t="shared" ref="G77:G106" si="8">IF(ISERROR(VLOOKUP(D77,$D$8:$I$39,4,0))=TRUE," ",VLOOKUP(D77,$D$8:$I$39,4,0))</f>
        <v>STO VALALIKY</v>
      </c>
      <c r="H77" s="366">
        <f t="shared" ref="H77:H106" si="9">IF(ISERROR(VLOOKUP(D77,$D$8:$I$39,6,0))=TRUE," ",VLOOKUP(D77,$D$8:$I$39,6,0))</f>
        <v>90.72</v>
      </c>
      <c r="I77" s="474">
        <f t="shared" ref="I77" si="10">IF(SUM(H77:H78)=0,"",SUM(H77:H78))</f>
        <v>179.72</v>
      </c>
    </row>
    <row r="78" spans="1:10" s="361" customFormat="1" ht="35.1" customHeight="1">
      <c r="A78" s="361">
        <f>IF(ISERROR(10*C77+2)=TRUE,"",10*C77+2)</f>
        <v>102</v>
      </c>
      <c r="C78" s="472"/>
      <c r="D78" s="366">
        <v>21</v>
      </c>
      <c r="E78" s="365" t="str">
        <f t="shared" si="5"/>
        <v>DELINČAK Filip</v>
      </c>
      <c r="F78" s="365">
        <f t="shared" si="7"/>
        <v>2003</v>
      </c>
      <c r="G78" s="365" t="str">
        <f t="shared" si="8"/>
        <v>MSK ČADCA</v>
      </c>
      <c r="H78" s="366">
        <f t="shared" si="9"/>
        <v>89</v>
      </c>
      <c r="I78" s="475"/>
    </row>
    <row r="79" spans="1:10" s="361" customFormat="1" ht="35.1" customHeight="1">
      <c r="A79" s="361">
        <f>IF(ISERROR(10*C79+1)=TRUE,"",10*C79+1)</f>
        <v>111</v>
      </c>
      <c r="C79" s="472">
        <f t="shared" ref="C79" si="11">IF(ISERROR(RANK(I79,$I$75:$I$106,0))=TRUE,"",RANK(I79,$I$75:$I$106,0))</f>
        <v>11</v>
      </c>
      <c r="D79" s="366">
        <v>18</v>
      </c>
      <c r="E79" s="365" t="str">
        <f t="shared" si="5"/>
        <v>VICO Dávid</v>
      </c>
      <c r="F79" s="365">
        <f t="shared" si="7"/>
        <v>2001</v>
      </c>
      <c r="G79" s="365" t="str">
        <f t="shared" si="8"/>
        <v>STO VALALIKY</v>
      </c>
      <c r="H79" s="366">
        <f t="shared" si="9"/>
        <v>98.33</v>
      </c>
      <c r="I79" s="474">
        <f t="shared" ref="I79" si="12">IF(SUM(H79:H80)=0,"",SUM(H79:H80))</f>
        <v>172.39999999999998</v>
      </c>
    </row>
    <row r="80" spans="1:10" s="361" customFormat="1" ht="35.1" customHeight="1">
      <c r="A80" s="361">
        <f>IF(ISERROR(10*C79+2)=TRUE,"",10*C79+2)</f>
        <v>112</v>
      </c>
      <c r="C80" s="472"/>
      <c r="D80" s="366">
        <v>26</v>
      </c>
      <c r="E80" s="365" t="str">
        <f t="shared" si="5"/>
        <v>KLUČÁR Matej</v>
      </c>
      <c r="F80" s="365">
        <f t="shared" si="7"/>
        <v>2002</v>
      </c>
      <c r="G80" s="365" t="str">
        <f t="shared" si="8"/>
        <v>TTC MAJCICHOV</v>
      </c>
      <c r="H80" s="366">
        <f t="shared" si="9"/>
        <v>74.069999999999993</v>
      </c>
      <c r="I80" s="475"/>
    </row>
    <row r="81" spans="1:9" s="361" customFormat="1" ht="35.1" customHeight="1">
      <c r="A81" s="361">
        <f>IF(ISERROR(10*C81+1)=TRUE,"",10*C81+1)</f>
        <v>11</v>
      </c>
      <c r="C81" s="472">
        <f t="shared" ref="C81" si="13">IF(ISERROR(RANK(I81,$I$75:$I$106,0))=TRUE,"",RANK(I81,$I$75:$I$106,0))</f>
        <v>1</v>
      </c>
      <c r="D81" s="366">
        <v>1</v>
      </c>
      <c r="E81" s="365" t="str">
        <f t="shared" si="5"/>
        <v>DIKO Dalibor</v>
      </c>
      <c r="F81" s="365">
        <f t="shared" si="7"/>
        <v>2002</v>
      </c>
      <c r="G81" s="365" t="str">
        <f t="shared" si="8"/>
        <v>TJ ORAVAN NÁMESTOVO</v>
      </c>
      <c r="H81" s="366">
        <f t="shared" si="9"/>
        <v>398.3</v>
      </c>
      <c r="I81" s="474">
        <f t="shared" ref="I81" si="14">IF(SUM(H81:H82)=0,"",SUM(H81:H82))</f>
        <v>683.99</v>
      </c>
    </row>
    <row r="82" spans="1:9" s="361" customFormat="1" ht="35.1" customHeight="1">
      <c r="A82" s="361">
        <f>IF(ISERROR(10*C81+2)=TRUE,"",10*C81+2)</f>
        <v>12</v>
      </c>
      <c r="C82" s="472"/>
      <c r="D82" s="366">
        <v>2</v>
      </c>
      <c r="E82" s="365" t="str">
        <f t="shared" si="5"/>
        <v>KYSEL Martin</v>
      </c>
      <c r="F82" s="365">
        <f t="shared" si="7"/>
        <v>2001</v>
      </c>
      <c r="G82" s="365" t="str">
        <f t="shared" si="8"/>
        <v>MSTK TVRDOŠÍN</v>
      </c>
      <c r="H82" s="366">
        <f t="shared" si="9"/>
        <v>285.69</v>
      </c>
      <c r="I82" s="475"/>
    </row>
    <row r="83" spans="1:9" s="361" customFormat="1" ht="35.1" customHeight="1">
      <c r="A83" s="361">
        <f>IF(ISERROR(10*C83+1)=TRUE,"",10*C83+1)</f>
        <v>141</v>
      </c>
      <c r="C83" s="472">
        <f t="shared" ref="C83" si="15">IF(ISERROR(RANK(I83,$I$75:$I$106,0))=TRUE,"",RANK(I83,$I$75:$I$106,0))</f>
        <v>14</v>
      </c>
      <c r="D83" s="366">
        <v>30</v>
      </c>
      <c r="E83" s="365" t="str">
        <f t="shared" si="5"/>
        <v>ZAJAC Jakub</v>
      </c>
      <c r="F83" s="365">
        <f t="shared" si="7"/>
        <v>2001</v>
      </c>
      <c r="G83" s="365" t="str">
        <f t="shared" si="8"/>
        <v>TJ ORAVAN NÁMESTOVO</v>
      </c>
      <c r="H83" s="366">
        <f t="shared" si="9"/>
        <v>68.3</v>
      </c>
      <c r="I83" s="474">
        <f t="shared" ref="I83" si="16">IF(SUM(H83:H84)=0,"",SUM(H83:H84))</f>
        <v>143.14999999999998</v>
      </c>
    </row>
    <row r="84" spans="1:9" s="361" customFormat="1" ht="35.1" customHeight="1">
      <c r="A84" s="361">
        <f>IF(ISERROR(10*C83+2)=TRUE,"",10*C83+2)</f>
        <v>142</v>
      </c>
      <c r="C84" s="472"/>
      <c r="D84" s="366">
        <v>23</v>
      </c>
      <c r="E84" s="365" t="str">
        <f t="shared" si="5"/>
        <v>MAKÚCH Damian</v>
      </c>
      <c r="F84" s="365">
        <f t="shared" si="7"/>
        <v>2001</v>
      </c>
      <c r="G84" s="365" t="str">
        <f t="shared" si="8"/>
        <v>TJ ORAVAN NÁMESTOVO/TATRAN KRUŠETNICA</v>
      </c>
      <c r="H84" s="366">
        <f t="shared" si="9"/>
        <v>74.849999999999994</v>
      </c>
      <c r="I84" s="475"/>
    </row>
    <row r="85" spans="1:9" s="361" customFormat="1" ht="35.1" customHeight="1">
      <c r="A85" s="361">
        <f>IF(ISERROR(10*C85+1)=TRUE,"",10*C85+1)</f>
        <v>21</v>
      </c>
      <c r="C85" s="472">
        <f t="shared" ref="C85" si="17">IF(ISERROR(RANK(I85,$I$75:$I$106,0))=TRUE,"",RANK(I85,$I$75:$I$106,0))</f>
        <v>2</v>
      </c>
      <c r="D85" s="366">
        <v>4</v>
      </c>
      <c r="E85" s="365" t="str">
        <f t="shared" si="5"/>
        <v>PINDURA Tobiáš</v>
      </c>
      <c r="F85" s="365">
        <f t="shared" si="7"/>
        <v>2001</v>
      </c>
      <c r="G85" s="365" t="str">
        <f t="shared" si="8"/>
        <v>ŠKST RUŽOMBEROK</v>
      </c>
      <c r="H85" s="366">
        <f t="shared" si="9"/>
        <v>244</v>
      </c>
      <c r="I85" s="474">
        <f t="shared" ref="I85" si="18">IF(SUM(H85:H86)=0,"",SUM(H85:H86))</f>
        <v>440.82</v>
      </c>
    </row>
    <row r="86" spans="1:9" s="361" customFormat="1" ht="35.1" customHeight="1">
      <c r="A86" s="361">
        <f>IF(ISERROR(10*C85+2)=TRUE,"",10*C85+2)</f>
        <v>22</v>
      </c>
      <c r="C86" s="472"/>
      <c r="D86" s="366">
        <v>6</v>
      </c>
      <c r="E86" s="365" t="str">
        <f t="shared" si="5"/>
        <v>CYPRICH Samuel</v>
      </c>
      <c r="F86" s="365">
        <f t="shared" si="7"/>
        <v>2001</v>
      </c>
      <c r="G86" s="365" t="str">
        <f t="shared" si="8"/>
        <v>MSK ČADCA</v>
      </c>
      <c r="H86" s="366">
        <f t="shared" si="9"/>
        <v>196.82</v>
      </c>
      <c r="I86" s="475"/>
    </row>
    <row r="87" spans="1:9" s="361" customFormat="1" ht="35.1" customHeight="1">
      <c r="A87" s="361">
        <f>IF(ISERROR(10*C87+1)=TRUE,"",10*C87+1)</f>
        <v>121</v>
      </c>
      <c r="C87" s="472">
        <f t="shared" ref="C87" si="19">IF(ISERROR(RANK(I87,$I$75:$I$106,0))=TRUE,"",RANK(I87,$I$75:$I$106,0))</f>
        <v>12</v>
      </c>
      <c r="D87" s="366">
        <v>24</v>
      </c>
      <c r="E87" s="365" t="str">
        <f t="shared" si="5"/>
        <v>FEČO Michal</v>
      </c>
      <c r="F87" s="365">
        <f t="shared" si="7"/>
        <v>2001</v>
      </c>
      <c r="G87" s="365" t="str">
        <f t="shared" si="8"/>
        <v>MŠK VSTK VRANOV NAD TOPĽOU</v>
      </c>
      <c r="H87" s="366">
        <f t="shared" si="9"/>
        <v>74.64</v>
      </c>
      <c r="I87" s="474">
        <f t="shared" ref="I87" si="20">IF(SUM(H87:H88)=0,"",SUM(H87:H88))</f>
        <v>164.4</v>
      </c>
    </row>
    <row r="88" spans="1:9" s="361" customFormat="1" ht="35.1" customHeight="1">
      <c r="A88" s="361">
        <f>IF(ISERROR(10*C87+2)=TRUE,"",10*C87+2)</f>
        <v>122</v>
      </c>
      <c r="C88" s="472"/>
      <c r="D88" s="366">
        <v>20</v>
      </c>
      <c r="E88" s="365" t="str">
        <f t="shared" si="5"/>
        <v>KAPUSTA Martin</v>
      </c>
      <c r="F88" s="365">
        <f t="shared" si="7"/>
        <v>2002</v>
      </c>
      <c r="G88" s="365" t="str">
        <f t="shared" si="8"/>
        <v>MSK ČADCA</v>
      </c>
      <c r="H88" s="366">
        <f t="shared" si="9"/>
        <v>89.76</v>
      </c>
      <c r="I88" s="475"/>
    </row>
    <row r="89" spans="1:9" s="361" customFormat="1" ht="35.1" customHeight="1">
      <c r="A89" s="361">
        <f>IF(ISERROR(10*C89+1)=TRUE,"",10*C89+1)</f>
        <v>151</v>
      </c>
      <c r="C89" s="472">
        <f t="shared" ref="C89" si="21">IF(ISERROR(RANK(I89,$I$75:$I$106,0))=TRUE,"",RANK(I89,$I$75:$I$106,0))</f>
        <v>15</v>
      </c>
      <c r="D89" s="366">
        <v>29</v>
      </c>
      <c r="E89" s="365" t="str">
        <f t="shared" si="5"/>
        <v>MARUNIAK Martin</v>
      </c>
      <c r="F89" s="365">
        <f t="shared" si="7"/>
        <v>2001</v>
      </c>
      <c r="G89" s="365" t="str">
        <f t="shared" si="8"/>
        <v>MSTK VTJ MARTIN</v>
      </c>
      <c r="H89" s="366">
        <f t="shared" si="9"/>
        <v>68.900000000000006</v>
      </c>
      <c r="I89" s="474">
        <f t="shared" ref="I89" si="22">IF(SUM(H89:H90)=0,"",SUM(H89:H90))</f>
        <v>129.22</v>
      </c>
    </row>
    <row r="90" spans="1:9" s="361" customFormat="1" ht="35.1" customHeight="1">
      <c r="A90" s="361">
        <f>IF(ISERROR(10*C89+2)=TRUE,"",10*C89+2)</f>
        <v>152</v>
      </c>
      <c r="C90" s="472"/>
      <c r="D90" s="366">
        <v>32</v>
      </c>
      <c r="E90" s="365" t="str">
        <f t="shared" si="5"/>
        <v>KALINKA Timotej</v>
      </c>
      <c r="F90" s="365">
        <f t="shared" si="7"/>
        <v>2002</v>
      </c>
      <c r="G90" s="365" t="str">
        <f t="shared" si="8"/>
        <v>MSTK VTJ MARTIN</v>
      </c>
      <c r="H90" s="366">
        <f t="shared" si="9"/>
        <v>60.32</v>
      </c>
      <c r="I90" s="475"/>
    </row>
    <row r="91" spans="1:9" s="361" customFormat="1" ht="35.1" customHeight="1">
      <c r="A91" s="361">
        <f>IF(ISERROR(10*C91+1)=TRUE,"",10*C91+1)</f>
        <v>61</v>
      </c>
      <c r="C91" s="472">
        <f t="shared" ref="C91" si="23">IF(ISERROR(RANK(I91,$I$75:$I$106,0))=TRUE,"",RANK(I91,$I$75:$I$106,0))</f>
        <v>6</v>
      </c>
      <c r="D91" s="366">
        <v>10</v>
      </c>
      <c r="E91" s="365" t="str">
        <f t="shared" si="5"/>
        <v>ĎANOVSKÝ Martin</v>
      </c>
      <c r="F91" s="365">
        <f t="shared" si="7"/>
        <v>2002</v>
      </c>
      <c r="G91" s="365" t="str">
        <f t="shared" si="8"/>
        <v>LOKOMOTÍVA VRÚTKY</v>
      </c>
      <c r="H91" s="366">
        <f t="shared" si="9"/>
        <v>128.26</v>
      </c>
      <c r="I91" s="474">
        <f t="shared" ref="I91" si="24">IF(SUM(H91:H92)=0,"",SUM(H91:H92))</f>
        <v>253.85999999999999</v>
      </c>
    </row>
    <row r="92" spans="1:9" s="361" customFormat="1" ht="35.1" customHeight="1">
      <c r="A92" s="361">
        <f>IF(ISERROR(10*C91+2)=TRUE,"",10*C91+2)</f>
        <v>62</v>
      </c>
      <c r="C92" s="472"/>
      <c r="D92" s="366">
        <v>11</v>
      </c>
      <c r="E92" s="365" t="str">
        <f t="shared" si="5"/>
        <v>MILAN Martin</v>
      </c>
      <c r="F92" s="365">
        <f t="shared" si="7"/>
        <v>2001</v>
      </c>
      <c r="G92" s="365" t="str">
        <f t="shared" si="8"/>
        <v>1.PPC FORTUNA KEŽMAROK/TJ OBCE SPIŠSKÝ ŠTIAVNIK</v>
      </c>
      <c r="H92" s="366">
        <f t="shared" si="9"/>
        <v>125.6</v>
      </c>
      <c r="I92" s="475"/>
    </row>
    <row r="93" spans="1:9" s="361" customFormat="1" ht="35.1" customHeight="1">
      <c r="A93" s="361">
        <f>IF(ISERROR(10*C93+1)=TRUE,"",10*C93+1)</f>
        <v>41</v>
      </c>
      <c r="C93" s="472">
        <f t="shared" ref="C93" si="25">IF(ISERROR(RANK(I93,$I$75:$I$106,0))=TRUE,"",RANK(I93,$I$75:$I$106,0))</f>
        <v>4</v>
      </c>
      <c r="D93" s="366">
        <v>5</v>
      </c>
      <c r="E93" s="365" t="str">
        <f t="shared" si="5"/>
        <v>PETRÍK Filip</v>
      </c>
      <c r="F93" s="365">
        <f t="shared" si="7"/>
        <v>2001</v>
      </c>
      <c r="G93" s="365" t="str">
        <f t="shared" si="8"/>
        <v>KST PLUS40 TREBIŠOV/ŠKST MICHALOVCE</v>
      </c>
      <c r="H93" s="366">
        <f t="shared" si="9"/>
        <v>202.47</v>
      </c>
      <c r="I93" s="474">
        <f t="shared" ref="I93" si="26">IF(SUM(H93:H94)=0,"",SUM(H93:H94))</f>
        <v>378.52</v>
      </c>
    </row>
    <row r="94" spans="1:9" s="361" customFormat="1" ht="35.1" customHeight="1">
      <c r="A94" s="361">
        <f>IF(ISERROR(10*C93+2)=TRUE,"",10*C93+2)</f>
        <v>42</v>
      </c>
      <c r="C94" s="472"/>
      <c r="D94" s="366">
        <v>7</v>
      </c>
      <c r="E94" s="365" t="str">
        <f t="shared" si="5"/>
        <v>TUREK Teodor</v>
      </c>
      <c r="F94" s="365">
        <f t="shared" si="7"/>
        <v>2001</v>
      </c>
      <c r="G94" s="365" t="str">
        <f t="shared" si="8"/>
        <v>ŠK ŠOG NITRA</v>
      </c>
      <c r="H94" s="366">
        <f t="shared" si="9"/>
        <v>176.05</v>
      </c>
      <c r="I94" s="475"/>
    </row>
    <row r="95" spans="1:9" s="361" customFormat="1" ht="35.1" customHeight="1">
      <c r="A95" s="361">
        <f>IF(ISERROR(10*C95+1)=TRUE,"",10*C95+1)</f>
        <v>31</v>
      </c>
      <c r="C95" s="472">
        <f t="shared" ref="C95" si="27">IF(ISERROR(RANK(I95,$I$75:$I$106,0))=TRUE,"",RANK(I95,$I$75:$I$106,0))</f>
        <v>3</v>
      </c>
      <c r="D95" s="366">
        <v>3</v>
      </c>
      <c r="E95" s="365" t="str">
        <f t="shared" si="5"/>
        <v>FEČO Samuel</v>
      </c>
      <c r="F95" s="365">
        <f t="shared" si="7"/>
        <v>2001</v>
      </c>
      <c r="G95" s="365" t="str">
        <f t="shared" si="8"/>
        <v>MŠK VSTK VRANOV NAD TOPĽOU</v>
      </c>
      <c r="H95" s="366">
        <f t="shared" si="9"/>
        <v>283.54000000000002</v>
      </c>
      <c r="I95" s="474">
        <f t="shared" ref="I95" si="28">IF(SUM(H95:H96)=0,"",SUM(H95:H96))</f>
        <v>438.14</v>
      </c>
    </row>
    <row r="96" spans="1:9" s="361" customFormat="1" ht="35.1" customHeight="1">
      <c r="A96" s="361">
        <f>IF(ISERROR(10*C95+2)=TRUE,"",10*C95+2)</f>
        <v>32</v>
      </c>
      <c r="C96" s="472"/>
      <c r="D96" s="366">
        <v>8</v>
      </c>
      <c r="E96" s="365" t="str">
        <f t="shared" si="5"/>
        <v>PAPÁNEK Martin</v>
      </c>
      <c r="F96" s="365">
        <f t="shared" si="7"/>
        <v>2001</v>
      </c>
      <c r="G96" s="365" t="str">
        <f t="shared" si="8"/>
        <v>STK NOVÁ BAŇA/PODLUŽANY</v>
      </c>
      <c r="H96" s="366">
        <f t="shared" si="9"/>
        <v>154.6</v>
      </c>
      <c r="I96" s="475"/>
    </row>
    <row r="97" spans="1:10" s="361" customFormat="1" ht="35.1" customHeight="1">
      <c r="A97" s="361">
        <f>IF(ISERROR(10*C97+1)=TRUE,"",10*C97+1)</f>
        <v>71</v>
      </c>
      <c r="C97" s="472">
        <f t="shared" ref="C97" si="29">IF(ISERROR(RANK(I97,$I$75:$I$106,0))=TRUE,"",RANK(I97,$I$75:$I$106,0))</f>
        <v>7</v>
      </c>
      <c r="D97" s="366">
        <v>13</v>
      </c>
      <c r="E97" s="365" t="str">
        <f t="shared" si="5"/>
        <v>KLAJBER Adam</v>
      </c>
      <c r="F97" s="365">
        <f t="shared" si="7"/>
        <v>2003</v>
      </c>
      <c r="G97" s="365" t="str">
        <f t="shared" si="8"/>
        <v>SŠK POPROČ</v>
      </c>
      <c r="H97" s="366">
        <f t="shared" si="9"/>
        <v>120.11</v>
      </c>
      <c r="I97" s="474">
        <f t="shared" ref="I97" si="30">IF(SUM(H97:H98)=0,"",SUM(H97:H98))</f>
        <v>241.37</v>
      </c>
    </row>
    <row r="98" spans="1:10" s="361" customFormat="1" ht="35.1" customHeight="1">
      <c r="A98" s="361">
        <f>IF(ISERROR(10*C97+2)=TRUE,"",10*C97+2)</f>
        <v>72</v>
      </c>
      <c r="C98" s="472"/>
      <c r="D98" s="366">
        <v>12</v>
      </c>
      <c r="E98" s="365" t="str">
        <f t="shared" si="5"/>
        <v>IVANČO Félix</v>
      </c>
      <c r="F98" s="365">
        <f t="shared" si="7"/>
        <v>2003</v>
      </c>
      <c r="G98" s="365" t="str">
        <f t="shared" si="8"/>
        <v>MSK MALACKY</v>
      </c>
      <c r="H98" s="366">
        <f t="shared" si="9"/>
        <v>121.26</v>
      </c>
      <c r="I98" s="475"/>
    </row>
    <row r="99" spans="1:10" s="361" customFormat="1" ht="35.1" customHeight="1">
      <c r="A99" s="361">
        <f>IF(ISERROR(10*C99+1)=TRUE,"",10*C99+1)</f>
        <v>81</v>
      </c>
      <c r="C99" s="472">
        <f t="shared" ref="C99" si="31">IF(ISERROR(RANK(I99,$I$75:$I$106,0))=TRUE,"",RANK(I99,$I$75:$I$106,0))</f>
        <v>8</v>
      </c>
      <c r="D99" s="366">
        <v>15</v>
      </c>
      <c r="E99" s="365" t="str">
        <f t="shared" si="5"/>
        <v>FUSEK Patrik</v>
      </c>
      <c r="F99" s="365">
        <f t="shared" si="7"/>
        <v>2002</v>
      </c>
      <c r="G99" s="365" t="str">
        <f t="shared" si="8"/>
        <v>MSK MALACKY</v>
      </c>
      <c r="H99" s="366">
        <f t="shared" si="9"/>
        <v>108.51</v>
      </c>
      <c r="I99" s="474">
        <f t="shared" ref="I99" si="32">IF(SUM(H99:H100)=0,"",SUM(H99:H100))</f>
        <v>209.71</v>
      </c>
    </row>
    <row r="100" spans="1:10" s="361" customFormat="1" ht="35.1" customHeight="1">
      <c r="A100" s="361">
        <f>IF(ISERROR(10*C99+2)=TRUE,"",10*C99+2)</f>
        <v>82</v>
      </c>
      <c r="C100" s="472"/>
      <c r="D100" s="366">
        <v>17</v>
      </c>
      <c r="E100" s="365" t="str">
        <f t="shared" si="5"/>
        <v>FREUND Andrej</v>
      </c>
      <c r="F100" s="365">
        <f t="shared" si="7"/>
        <v>2002</v>
      </c>
      <c r="G100" s="365" t="str">
        <f t="shared" si="8"/>
        <v>MSK MALACKY</v>
      </c>
      <c r="H100" s="366">
        <f t="shared" si="9"/>
        <v>101.2</v>
      </c>
      <c r="I100" s="475"/>
    </row>
    <row r="101" spans="1:10" s="361" customFormat="1" ht="35.1" customHeight="1">
      <c r="A101" s="361">
        <f>IF(ISERROR(10*C101+1)=TRUE,"",10*C101+1)</f>
        <v>131</v>
      </c>
      <c r="C101" s="472">
        <f t="shared" ref="C101" si="33">IF(ISERROR(RANK(I101,$I$75:$I$106,0))=TRUE,"",RANK(I101,$I$75:$I$106,0))</f>
        <v>13</v>
      </c>
      <c r="D101" s="366">
        <v>27</v>
      </c>
      <c r="E101" s="365" t="str">
        <f t="shared" si="5"/>
        <v>MACKO Miroslav</v>
      </c>
      <c r="F101" s="365">
        <f t="shared" si="7"/>
        <v>2001</v>
      </c>
      <c r="G101" s="365" t="str">
        <f t="shared" si="8"/>
        <v>ŠKST KARLOVA VES</v>
      </c>
      <c r="H101" s="366">
        <f t="shared" si="9"/>
        <v>73.39</v>
      </c>
      <c r="I101" s="474">
        <f t="shared" ref="I101" si="34">IF(SUM(H101:H102)=0,"",SUM(H101:H102))</f>
        <v>145.30000000000001</v>
      </c>
    </row>
    <row r="102" spans="1:10" s="361" customFormat="1" ht="35.1" customHeight="1">
      <c r="A102" s="361">
        <f>IF(ISERROR(10*C101+2)=TRUE,"",10*C101+2)</f>
        <v>132</v>
      </c>
      <c r="C102" s="472"/>
      <c r="D102" s="366">
        <v>28</v>
      </c>
      <c r="E102" s="365" t="str">
        <f t="shared" si="5"/>
        <v>GREGOR Jakub</v>
      </c>
      <c r="F102" s="365">
        <f t="shared" si="7"/>
        <v>2001</v>
      </c>
      <c r="G102" s="365" t="str">
        <f t="shared" si="8"/>
        <v>ŠKST KARLOVA VES</v>
      </c>
      <c r="H102" s="366">
        <f t="shared" si="9"/>
        <v>71.91</v>
      </c>
      <c r="I102" s="475"/>
    </row>
    <row r="103" spans="1:10" s="361" customFormat="1" ht="35.1" customHeight="1">
      <c r="A103" s="361">
        <f>IF(ISERROR(10*C103+1)=TRUE,"",10*C103+1)</f>
        <v>91</v>
      </c>
      <c r="C103" s="472">
        <f t="shared" ref="C103" si="35">IF(ISERROR(RANK(I103,$I$75:$I$106,0))=TRUE,"",RANK(I103,$I$75:$I$106,0))</f>
        <v>9</v>
      </c>
      <c r="D103" s="366">
        <v>16</v>
      </c>
      <c r="E103" s="365" t="str">
        <f t="shared" si="5"/>
        <v>SUCHA Tomáš</v>
      </c>
      <c r="F103" s="365">
        <f t="shared" si="7"/>
        <v>2001</v>
      </c>
      <c r="G103" s="365" t="str">
        <f t="shared" si="8"/>
        <v>ŠKST KARLOVA VES</v>
      </c>
      <c r="H103" s="366">
        <f t="shared" si="9"/>
        <v>106.88</v>
      </c>
      <c r="I103" s="474">
        <f t="shared" ref="I103" si="36">IF(SUM(H103:H104)=0,"",SUM(H103:H104))</f>
        <v>195.88</v>
      </c>
    </row>
    <row r="104" spans="1:10" s="361" customFormat="1" ht="35.1" customHeight="1">
      <c r="A104" s="361">
        <f>IF(ISERROR(10*C103+2)=TRUE,"",10*C103+2)</f>
        <v>92</v>
      </c>
      <c r="C104" s="472"/>
      <c r="D104" s="366">
        <v>22</v>
      </c>
      <c r="E104" s="365" t="str">
        <f t="shared" si="5"/>
        <v>MIKLUŠČÁK Benjamín</v>
      </c>
      <c r="F104" s="365">
        <f t="shared" si="7"/>
        <v>2002</v>
      </c>
      <c r="G104" s="365" t="str">
        <f t="shared" si="8"/>
        <v>ŠKST KARLOVA VES</v>
      </c>
      <c r="H104" s="366">
        <f t="shared" si="9"/>
        <v>89</v>
      </c>
      <c r="I104" s="475"/>
    </row>
    <row r="105" spans="1:10" s="361" customFormat="1" ht="35.1" customHeight="1">
      <c r="A105" s="361">
        <f>IF(ISERROR(10*C105+1)=TRUE,"",10*C105+1)</f>
        <v>161</v>
      </c>
      <c r="C105" s="472">
        <f t="shared" ref="C105" si="37">IF(ISERROR(RANK(I105,$I$75:$I$106,0))=TRUE,"",RANK(I105,$I$75:$I$106,0))</f>
        <v>16</v>
      </c>
      <c r="D105" s="366">
        <v>25</v>
      </c>
      <c r="E105" s="365" t="str">
        <f t="shared" si="5"/>
        <v>TRŇAN Jakub</v>
      </c>
      <c r="F105" s="365">
        <f t="shared" si="7"/>
        <v>2001</v>
      </c>
      <c r="G105" s="365" t="str">
        <f t="shared" si="8"/>
        <v>STK RYBNÍK</v>
      </c>
      <c r="H105" s="366">
        <f t="shared" si="9"/>
        <v>59.9</v>
      </c>
      <c r="I105" s="474">
        <f t="shared" ref="I105" si="38">IF(SUM(H105:H106)=0,"",SUM(H105:H106))</f>
        <v>120.64</v>
      </c>
    </row>
    <row r="106" spans="1:10" s="361" customFormat="1" ht="35.1" customHeight="1">
      <c r="A106" s="361">
        <f>IF(ISERROR(10*C105+2)=TRUE,"",10*C105+2)</f>
        <v>162</v>
      </c>
      <c r="C106" s="472"/>
      <c r="D106" s="366">
        <v>31</v>
      </c>
      <c r="E106" s="365" t="str">
        <f t="shared" si="5"/>
        <v>TRUBÁČIK Tomáš</v>
      </c>
      <c r="F106" s="365">
        <f t="shared" si="7"/>
        <v>2002</v>
      </c>
      <c r="G106" s="365" t="str">
        <f t="shared" si="8"/>
        <v>CVČ ZLATÉ MORAVCE</v>
      </c>
      <c r="H106" s="366">
        <f t="shared" si="9"/>
        <v>60.74</v>
      </c>
      <c r="I106" s="475"/>
    </row>
    <row r="107" spans="1:10" s="361" customFormat="1" ht="28.5">
      <c r="D107" s="206"/>
      <c r="E107" s="206"/>
      <c r="I107" s="206"/>
      <c r="J107" s="206"/>
    </row>
    <row r="108" spans="1:10" s="361" customFormat="1" ht="28.5">
      <c r="D108" s="206"/>
      <c r="E108" s="206"/>
      <c r="I108" s="206"/>
      <c r="J108" s="206"/>
    </row>
    <row r="109" spans="1:10" s="361" customFormat="1" ht="28.5">
      <c r="D109" s="206"/>
      <c r="E109" s="206"/>
      <c r="F109" s="206"/>
      <c r="I109" s="206"/>
    </row>
    <row r="110" spans="1:10" s="361" customFormat="1" ht="28.5">
      <c r="C110" s="361" t="s">
        <v>386</v>
      </c>
      <c r="E110" s="206">
        <f>12-COUNTBLANK(E113:E136)/2</f>
        <v>12</v>
      </c>
      <c r="F110" s="361" t="s">
        <v>396</v>
      </c>
      <c r="I110" s="206"/>
      <c r="J110" s="206"/>
    </row>
    <row r="111" spans="1:10" s="361" customFormat="1" ht="28.5">
      <c r="D111" s="371"/>
      <c r="E111" s="371"/>
      <c r="I111" s="206"/>
    </row>
    <row r="112" spans="1:10" s="361" customFormat="1" ht="78.75">
      <c r="C112" s="372" t="s">
        <v>55</v>
      </c>
      <c r="D112" s="373" t="s">
        <v>57</v>
      </c>
      <c r="E112" s="372" t="s">
        <v>3</v>
      </c>
      <c r="F112" s="372" t="s">
        <v>4</v>
      </c>
      <c r="G112" s="372" t="s">
        <v>5</v>
      </c>
      <c r="H112" s="373" t="s">
        <v>54</v>
      </c>
      <c r="I112" s="373" t="s">
        <v>53</v>
      </c>
    </row>
    <row r="113" spans="1:9" s="361" customFormat="1" ht="35.1" customHeight="1">
      <c r="A113" s="361">
        <f>IF(ISERROR(10*C113+1)=TRUE,"",10*C113+1)</f>
        <v>41</v>
      </c>
      <c r="C113" s="472">
        <f>IF(ISERROR(RANK(I113,$I$113:$I$136,0))=TRUE,"",RANK(I113,$I$113:$I$136,0))</f>
        <v>4</v>
      </c>
      <c r="D113" s="366">
        <v>7</v>
      </c>
      <c r="E113" s="365" t="str">
        <f>IF(ISERROR(VLOOKUP(D113,$D$45:$J$68,2,0))=TRUE,"", VLOOKUP(D113,$D$45:$J$68,2,0))</f>
        <v>MAJERSKÁ Alena</v>
      </c>
      <c r="F113" s="365">
        <f>IF(ISERROR(VLOOKUP(D113,$D$45:$I$68,3,0))=TRUE," ",VLOOKUP(D113,$D$45:$I$68,3,0))</f>
        <v>2002</v>
      </c>
      <c r="G113" s="365" t="str">
        <f>IF(ISERROR(VLOOKUP(D113,$D$45:$I$68,4,0))=TRUE," ",VLOOKUP(D113,$D$45:$I$68,4,0))</f>
        <v>STO VALALIKY</v>
      </c>
      <c r="H113" s="366">
        <f>IF(ISERROR(VLOOKUP(D113,$D$45:$I$68,6,0))=TRUE," ",VLOOKUP(D113,$D$45:$I$68,6,0))</f>
        <v>177.93</v>
      </c>
      <c r="I113" s="473">
        <f>IF(SUM(H113:H114)=0,"",SUM(H113:H114))</f>
        <v>311.71000000000004</v>
      </c>
    </row>
    <row r="114" spans="1:9" s="361" customFormat="1" ht="35.1" customHeight="1">
      <c r="A114" s="361">
        <f>IF(ISERROR(10*C113+2)=TRUE,"",10*C113+2)</f>
        <v>42</v>
      </c>
      <c r="C114" s="472"/>
      <c r="D114" s="366">
        <v>12</v>
      </c>
      <c r="E114" s="365" t="str">
        <f t="shared" ref="E114:E136" si="39">IF(ISERROR(VLOOKUP(D114,$D$45:$J$68,2,0))=TRUE,"", VLOOKUP(D114,$D$45:$J$68,2,0))</f>
        <v>GAŠPARÍKOVÁ Lucia</v>
      </c>
      <c r="F114" s="365">
        <f t="shared" ref="F114:F136" si="40">IF(ISERROR(VLOOKUP(D114,$D$45:$I$68,3,0))=TRUE," ",VLOOKUP(D114,$D$45:$I$68,3,0))</f>
        <v>2002</v>
      </c>
      <c r="G114" s="365" t="str">
        <f t="shared" ref="G114:G136" si="41">IF(ISERROR(VLOOKUP(D114,$D$45:$I$68,4,0))=TRUE," ",VLOOKUP(D114,$D$45:$I$68,4,0))</f>
        <v>TTC MAJCICHOV</v>
      </c>
      <c r="H114" s="366">
        <f t="shared" ref="H114:H136" si="42">IF(ISERROR(VLOOKUP(D114,$D$45:$I$68,6,0))=TRUE," ",VLOOKUP(D114,$D$45:$I$68,6,0))</f>
        <v>133.78</v>
      </c>
      <c r="I114" s="473"/>
    </row>
    <row r="115" spans="1:9" s="361" customFormat="1" ht="35.1" customHeight="1">
      <c r="A115" s="361">
        <f>IF(ISERROR(10*C115+1)=TRUE,"",10*C115+1)</f>
        <v>121</v>
      </c>
      <c r="C115" s="472">
        <f t="shared" ref="C115" si="43">IF(ISERROR(RANK(I115,$I$113:$I$136,0))=TRUE,"",RANK(I115,$I$113:$I$136,0))</f>
        <v>12</v>
      </c>
      <c r="D115" s="366">
        <v>22</v>
      </c>
      <c r="E115" s="365" t="str">
        <f t="shared" si="39"/>
        <v>SISKOVÁ Zuzana</v>
      </c>
      <c r="F115" s="365">
        <f t="shared" si="40"/>
        <v>2003</v>
      </c>
      <c r="G115" s="365" t="str">
        <f t="shared" si="41"/>
        <v>TTC MAJCICHOV</v>
      </c>
      <c r="H115" s="366">
        <f t="shared" si="42"/>
        <v>69.599999999999994</v>
      </c>
      <c r="I115" s="473">
        <f t="shared" ref="I115" si="44">IF(SUM(H115:H116)=0,"",SUM(H115:H116))</f>
        <v>142</v>
      </c>
    </row>
    <row r="116" spans="1:9" s="361" customFormat="1" ht="35.1" customHeight="1">
      <c r="A116" s="361">
        <f>IF(ISERROR(10*C115+2)=TRUE,"",10*C115+2)</f>
        <v>122</v>
      </c>
      <c r="C116" s="472"/>
      <c r="D116" s="366">
        <v>21</v>
      </c>
      <c r="E116" s="365" t="str">
        <f t="shared" si="39"/>
        <v>GORFOLOVÁ Viktória</v>
      </c>
      <c r="F116" s="365">
        <f t="shared" si="40"/>
        <v>2001</v>
      </c>
      <c r="G116" s="365" t="str">
        <f t="shared" si="41"/>
        <v>GASTO METALFIN GALANTA</v>
      </c>
      <c r="H116" s="366">
        <f t="shared" si="42"/>
        <v>72.400000000000006</v>
      </c>
      <c r="I116" s="473"/>
    </row>
    <row r="117" spans="1:9" s="361" customFormat="1" ht="35.1" customHeight="1">
      <c r="A117" s="361">
        <f>IF(ISERROR(10*C117+1)=TRUE,"",10*C117+1)</f>
        <v>21</v>
      </c>
      <c r="C117" s="472">
        <f t="shared" ref="C117" si="45">IF(ISERROR(RANK(I117,$I$113:$I$136,0))=TRUE,"",RANK(I117,$I$113:$I$136,0))</f>
        <v>2</v>
      </c>
      <c r="D117" s="366">
        <v>2</v>
      </c>
      <c r="E117" s="365" t="str">
        <f t="shared" si="39"/>
        <v>PEKOVÁ Zuzana</v>
      </c>
      <c r="F117" s="365">
        <f t="shared" si="40"/>
        <v>2002</v>
      </c>
      <c r="G117" s="365" t="str">
        <f t="shared" si="41"/>
        <v>KST VIKTÓRIA TRNAVA</v>
      </c>
      <c r="H117" s="366">
        <f t="shared" si="42"/>
        <v>307.63</v>
      </c>
      <c r="I117" s="473">
        <f t="shared" ref="I117" si="46">IF(SUM(H117:H118)=0,"",SUM(H117:H118))</f>
        <v>502.16999999999996</v>
      </c>
    </row>
    <row r="118" spans="1:9" s="361" customFormat="1" ht="35.1" customHeight="1">
      <c r="A118" s="361">
        <f>IF(ISERROR(10*C117+2)=TRUE,"",10*C117+2)</f>
        <v>22</v>
      </c>
      <c r="C118" s="472"/>
      <c r="D118" s="366">
        <v>5</v>
      </c>
      <c r="E118" s="365" t="str">
        <f t="shared" si="39"/>
        <v>DIVINSKÁ Natália</v>
      </c>
      <c r="F118" s="365">
        <f t="shared" si="40"/>
        <v>2002</v>
      </c>
      <c r="G118" s="365" t="str">
        <f t="shared" si="41"/>
        <v>MSTK TVRDOŠÍN</v>
      </c>
      <c r="H118" s="366">
        <f t="shared" si="42"/>
        <v>194.54</v>
      </c>
      <c r="I118" s="473"/>
    </row>
    <row r="119" spans="1:9" s="361" customFormat="1" ht="35.1" customHeight="1">
      <c r="A119" s="361">
        <f>IF(ISERROR(10*C119+1)=TRUE,"",10*C119+1)</f>
        <v>51</v>
      </c>
      <c r="C119" s="472">
        <f t="shared" ref="C119" si="47">IF(ISERROR(RANK(I119,$I$113:$I$136,0))=TRUE,"",RANK(I119,$I$113:$I$136,0))</f>
        <v>5</v>
      </c>
      <c r="D119" s="366">
        <v>11</v>
      </c>
      <c r="E119" s="365" t="str">
        <f t="shared" si="39"/>
        <v>CHYLOVÁ Sabína</v>
      </c>
      <c r="F119" s="365">
        <f t="shared" si="40"/>
        <v>2001</v>
      </c>
      <c r="G119" s="365" t="str">
        <f t="shared" si="41"/>
        <v>MSTK TVRDOŠÍN</v>
      </c>
      <c r="H119" s="366">
        <f t="shared" si="42"/>
        <v>135.35</v>
      </c>
      <c r="I119" s="473">
        <f t="shared" ref="I119" si="48">IF(SUM(H119:H120)=0,"",SUM(H119:H120))</f>
        <v>273.81</v>
      </c>
    </row>
    <row r="120" spans="1:9" s="361" customFormat="1" ht="35.1" customHeight="1">
      <c r="A120" s="361">
        <f>IF(ISERROR(10*C119+2)=TRUE,"",10*C119+2)</f>
        <v>52</v>
      </c>
      <c r="C120" s="472"/>
      <c r="D120" s="366">
        <v>10</v>
      </c>
      <c r="E120" s="365" t="str">
        <f t="shared" si="39"/>
        <v>PAPCUNOVÁ Viktória</v>
      </c>
      <c r="F120" s="365">
        <f t="shared" si="40"/>
        <v>2001</v>
      </c>
      <c r="G120" s="365" t="str">
        <f t="shared" si="41"/>
        <v>ŠSTK JUNIOR ČAŇA</v>
      </c>
      <c r="H120" s="366">
        <f t="shared" si="42"/>
        <v>138.46</v>
      </c>
      <c r="I120" s="473"/>
    </row>
    <row r="121" spans="1:9" s="361" customFormat="1" ht="35.1" customHeight="1">
      <c r="A121" s="361">
        <f>IF(ISERROR(10*C121+1)=TRUE,"",10*C121+1)</f>
        <v>101</v>
      </c>
      <c r="C121" s="472">
        <f t="shared" ref="C121" si="49">IF(ISERROR(RANK(I121,$I$113:$I$136,0))=TRUE,"",RANK(I121,$I$113:$I$136,0))</f>
        <v>10</v>
      </c>
      <c r="D121" s="366">
        <v>18</v>
      </c>
      <c r="E121" s="365" t="str">
        <f t="shared" si="39"/>
        <v>GALČÍKOVÁ Sára</v>
      </c>
      <c r="F121" s="365">
        <f t="shared" si="40"/>
        <v>2001</v>
      </c>
      <c r="G121" s="365" t="str">
        <f t="shared" si="41"/>
        <v>TJ ORAVAN NÁMESTOVO</v>
      </c>
      <c r="H121" s="366">
        <f t="shared" si="42"/>
        <v>79.099999999999994</v>
      </c>
      <c r="I121" s="473">
        <f t="shared" ref="I121" si="50">IF(SUM(H121:H122)=0,"",SUM(H121:H122))</f>
        <v>170.87</v>
      </c>
    </row>
    <row r="122" spans="1:9" s="361" customFormat="1" ht="35.1" customHeight="1">
      <c r="A122" s="361">
        <f>IF(ISERROR(10*C121+2)=TRUE,"",10*C121+2)</f>
        <v>102</v>
      </c>
      <c r="C122" s="472"/>
      <c r="D122" s="366">
        <v>16</v>
      </c>
      <c r="E122" s="365" t="str">
        <f t="shared" si="39"/>
        <v>VOJTASOVA Patrícia</v>
      </c>
      <c r="F122" s="365">
        <f t="shared" si="40"/>
        <v>2001</v>
      </c>
      <c r="G122" s="365" t="str">
        <f t="shared" si="41"/>
        <v>ZŠ LIETAVSKÁ LÚČKA</v>
      </c>
      <c r="H122" s="366">
        <f t="shared" si="42"/>
        <v>91.77</v>
      </c>
      <c r="I122" s="473"/>
    </row>
    <row r="123" spans="1:9" s="361" customFormat="1" ht="35.1" customHeight="1">
      <c r="A123" s="361">
        <f>IF(ISERROR(10*C123+1)=TRUE,"",10*C123+1)</f>
        <v>111</v>
      </c>
      <c r="C123" s="472">
        <f t="shared" ref="C123" si="51">IF(ISERROR(RANK(I123,$I$113:$I$136,0))=TRUE,"",RANK(I123,$I$113:$I$136,0))</f>
        <v>11</v>
      </c>
      <c r="D123" s="366">
        <v>19</v>
      </c>
      <c r="E123" s="365" t="str">
        <f t="shared" si="39"/>
        <v>PISARČIKOVÁ Frederika</v>
      </c>
      <c r="F123" s="365">
        <f t="shared" si="40"/>
        <v>2002</v>
      </c>
      <c r="G123" s="365" t="str">
        <f t="shared" si="41"/>
        <v>ŠKST RUŽOMBEROK</v>
      </c>
      <c r="H123" s="366">
        <f t="shared" si="42"/>
        <v>78.19</v>
      </c>
      <c r="I123" s="473">
        <f t="shared" ref="I123" si="52">IF(SUM(H123:H124)=0,"",SUM(H123:H124))</f>
        <v>146.76999999999998</v>
      </c>
    </row>
    <row r="124" spans="1:9" s="361" customFormat="1" ht="35.1" customHeight="1">
      <c r="A124" s="361">
        <f>IF(ISERROR(10*C123+2)=TRUE,"",10*C123+2)</f>
        <v>112</v>
      </c>
      <c r="C124" s="472"/>
      <c r="D124" s="366">
        <v>23</v>
      </c>
      <c r="E124" s="365" t="str">
        <f t="shared" si="39"/>
        <v>HUDÁKOVÁ Ivana</v>
      </c>
      <c r="F124" s="365">
        <f t="shared" si="40"/>
        <v>2001</v>
      </c>
      <c r="G124" s="365" t="str">
        <f t="shared" si="41"/>
        <v>ZŠ VYŠNÝ ŽIPOV</v>
      </c>
      <c r="H124" s="366">
        <f t="shared" si="42"/>
        <v>68.58</v>
      </c>
      <c r="I124" s="473"/>
    </row>
    <row r="125" spans="1:9" s="361" customFormat="1" ht="35.1" customHeight="1">
      <c r="A125" s="361">
        <f>IF(ISERROR(10*C125+1)=TRUE,"",10*C125+1)</f>
        <v>11</v>
      </c>
      <c r="C125" s="472">
        <f t="shared" ref="C125" si="53">IF(ISERROR(RANK(I125,$I$113:$I$136,0))=TRUE,"",RANK(I125,$I$113:$I$136,0))</f>
        <v>1</v>
      </c>
      <c r="D125" s="366">
        <v>1</v>
      </c>
      <c r="E125" s="365" t="str">
        <f t="shared" si="39"/>
        <v>LABOŠOVÁ Ema</v>
      </c>
      <c r="F125" s="365">
        <f t="shared" si="40"/>
        <v>2001</v>
      </c>
      <c r="G125" s="365" t="str">
        <f t="shared" si="41"/>
        <v>ŠSTK JUNIOR ČAŇA</v>
      </c>
      <c r="H125" s="366">
        <f t="shared" si="42"/>
        <v>496</v>
      </c>
      <c r="I125" s="473">
        <f t="shared" ref="I125" si="54">IF(SUM(H125:H126)=0,"",SUM(H125:H126))</f>
        <v>748.63</v>
      </c>
    </row>
    <row r="126" spans="1:9" s="361" customFormat="1" ht="35.1" customHeight="1">
      <c r="A126" s="361">
        <f>IF(ISERROR(10*C125+2)=TRUE,"",10*C125+2)</f>
        <v>12</v>
      </c>
      <c r="C126" s="472"/>
      <c r="D126" s="366">
        <v>3</v>
      </c>
      <c r="E126" s="365" t="str">
        <f t="shared" si="39"/>
        <v>ŠINKAROVÁ Dáša</v>
      </c>
      <c r="F126" s="365">
        <f t="shared" si="40"/>
        <v>2001</v>
      </c>
      <c r="G126" s="365" t="str">
        <f t="shared" si="41"/>
        <v>ŠKST MICHALOVCE</v>
      </c>
      <c r="H126" s="366">
        <f t="shared" si="42"/>
        <v>252.63</v>
      </c>
      <c r="I126" s="473"/>
    </row>
    <row r="127" spans="1:9" s="361" customFormat="1" ht="35.1" customHeight="1">
      <c r="A127" s="361">
        <f>IF(ISERROR(10*C127+1)=TRUE,"",10*C127+1)</f>
        <v>31</v>
      </c>
      <c r="C127" s="472">
        <f t="shared" ref="C127" si="55">IF(ISERROR(RANK(I127,$I$113:$I$136,0))=TRUE,"",RANK(I127,$I$113:$I$136,0))</f>
        <v>3</v>
      </c>
      <c r="D127" s="366">
        <v>4</v>
      </c>
      <c r="E127" s="365" t="str">
        <f t="shared" si="39"/>
        <v>DZELINSKA Júlia</v>
      </c>
      <c r="F127" s="365">
        <f t="shared" si="40"/>
        <v>2002</v>
      </c>
      <c r="G127" s="365" t="str">
        <f t="shared" si="41"/>
        <v>ŠKST MICHALOVCE/STK LOKOMOTÍVA KOŠICE</v>
      </c>
      <c r="H127" s="366">
        <f t="shared" si="42"/>
        <v>207.64</v>
      </c>
      <c r="I127" s="473">
        <f t="shared" ref="I127" si="56">IF(SUM(H127:H128)=0,"",SUM(H127:H128))</f>
        <v>373.53999999999996</v>
      </c>
    </row>
    <row r="128" spans="1:9" s="361" customFormat="1" ht="35.1" customHeight="1">
      <c r="A128" s="361">
        <f>IF(ISERROR(10*C127+2)=TRUE,"",10*C127+2)</f>
        <v>32</v>
      </c>
      <c r="C128" s="472"/>
      <c r="D128" s="366">
        <v>8</v>
      </c>
      <c r="E128" s="365" t="str">
        <f t="shared" si="39"/>
        <v>TEREZKOVÁ Jana</v>
      </c>
      <c r="F128" s="365">
        <f t="shared" si="40"/>
        <v>2002</v>
      </c>
      <c r="G128" s="365" t="str">
        <f t="shared" si="41"/>
        <v>ŠKST MICHALOVCE</v>
      </c>
      <c r="H128" s="366">
        <f t="shared" si="42"/>
        <v>165.9</v>
      </c>
      <c r="I128" s="473"/>
    </row>
    <row r="129" spans="1:10" s="361" customFormat="1" ht="35.1" customHeight="1">
      <c r="A129" s="361">
        <f>IF(ISERROR(10*C129+1)=TRUE,"",10*C129+1)</f>
        <v>71</v>
      </c>
      <c r="C129" s="472">
        <f t="shared" ref="C129" si="57">IF(ISERROR(RANK(I129,$I$113:$I$136,0))=TRUE,"",RANK(I129,$I$113:$I$136,0))</f>
        <v>7</v>
      </c>
      <c r="D129" s="366">
        <v>9</v>
      </c>
      <c r="E129" s="365" t="str">
        <f t="shared" si="39"/>
        <v>SLOBODNÍKOVÁ Hana</v>
      </c>
      <c r="F129" s="365">
        <f t="shared" si="40"/>
        <v>2003</v>
      </c>
      <c r="G129" s="365" t="str">
        <f t="shared" si="41"/>
        <v>ŠKST KARLOVA VES</v>
      </c>
      <c r="H129" s="366">
        <f t="shared" si="42"/>
        <v>157.03</v>
      </c>
      <c r="I129" s="473">
        <f t="shared" ref="I129" si="58">IF(SUM(H129:H130)=0,"",SUM(H129:H130))</f>
        <v>233.47</v>
      </c>
    </row>
    <row r="130" spans="1:10" s="361" customFormat="1" ht="35.1" customHeight="1">
      <c r="A130" s="361">
        <f>IF(ISERROR(10*C129+2)=TRUE,"",10*C129+2)</f>
        <v>72</v>
      </c>
      <c r="C130" s="472"/>
      <c r="D130" s="366">
        <v>20</v>
      </c>
      <c r="E130" s="365" t="str">
        <f t="shared" si="39"/>
        <v>LACENOVÁ Renáta</v>
      </c>
      <c r="F130" s="365">
        <f t="shared" si="40"/>
        <v>2003</v>
      </c>
      <c r="G130" s="365" t="str">
        <f t="shared" si="41"/>
        <v>ŠKST TOPOĽČANY</v>
      </c>
      <c r="H130" s="366">
        <f t="shared" si="42"/>
        <v>76.44</v>
      </c>
      <c r="I130" s="473"/>
    </row>
    <row r="131" spans="1:10" s="361" customFormat="1" ht="35.1" customHeight="1">
      <c r="A131" s="361">
        <f>IF(ISERROR(10*C131+1)=TRUE,"",10*C131+1)</f>
        <v>61</v>
      </c>
      <c r="C131" s="472">
        <f t="shared" ref="C131" si="59">IF(ISERROR(RANK(I131,$I$113:$I$136,0))=TRUE,"",RANK(I131,$I$113:$I$136,0))</f>
        <v>6</v>
      </c>
      <c r="D131" s="366">
        <v>6</v>
      </c>
      <c r="E131" s="365" t="str">
        <f t="shared" si="39"/>
        <v>ŠVAJDLENKOVÁ Laura</v>
      </c>
      <c r="F131" s="365">
        <f t="shared" si="40"/>
        <v>2001</v>
      </c>
      <c r="G131" s="365" t="str">
        <f t="shared" si="41"/>
        <v>MSK MALACKY</v>
      </c>
      <c r="H131" s="366">
        <f t="shared" si="42"/>
        <v>180.71</v>
      </c>
      <c r="I131" s="473">
        <f t="shared" ref="I131" si="60">IF(SUM(H131:H132)=0,"",SUM(H131:H132))</f>
        <v>248.34</v>
      </c>
    </row>
    <row r="132" spans="1:10" s="361" customFormat="1" ht="35.1" customHeight="1">
      <c r="A132" s="361">
        <f>IF(ISERROR(10*C131+2)=TRUE,"",10*C131+2)</f>
        <v>62</v>
      </c>
      <c r="C132" s="472"/>
      <c r="D132" s="366">
        <v>24</v>
      </c>
      <c r="E132" s="365" t="str">
        <f t="shared" si="39"/>
        <v>HURBANOVÁ Isabella</v>
      </c>
      <c r="F132" s="365">
        <f t="shared" si="40"/>
        <v>2003</v>
      </c>
      <c r="G132" s="365" t="str">
        <f t="shared" si="41"/>
        <v>MSK MALACKY</v>
      </c>
      <c r="H132" s="366">
        <f t="shared" si="42"/>
        <v>67.63</v>
      </c>
      <c r="I132" s="473"/>
    </row>
    <row r="133" spans="1:10" s="361" customFormat="1" ht="35.1" customHeight="1">
      <c r="A133" s="361">
        <f>IF(ISERROR(10*C133+1)=TRUE,"",10*C133+1)</f>
        <v>81</v>
      </c>
      <c r="C133" s="472">
        <f t="shared" ref="C133" si="61">IF(ISERROR(RANK(I133,$I$113:$I$136,0))=TRUE,"",RANK(I133,$I$113:$I$136,0))</f>
        <v>8</v>
      </c>
      <c r="D133" s="366">
        <v>13</v>
      </c>
      <c r="E133" s="365" t="str">
        <f t="shared" si="39"/>
        <v>MIKULOVÁ Terézia</v>
      </c>
      <c r="F133" s="365">
        <f t="shared" si="40"/>
        <v>2001</v>
      </c>
      <c r="G133" s="365" t="str">
        <f t="shared" si="41"/>
        <v>KST DRIVE TR. JASTRABIE</v>
      </c>
      <c r="H133" s="366">
        <f t="shared" si="42"/>
        <v>113.65</v>
      </c>
      <c r="I133" s="473">
        <f t="shared" ref="I133" si="62">IF(SUM(H133:H134)=0,"",SUM(H133:H134))</f>
        <v>212.4</v>
      </c>
    </row>
    <row r="134" spans="1:10" s="361" customFormat="1" ht="35.1" customHeight="1">
      <c r="A134" s="361">
        <f>IF(ISERROR(10*C133+2)=TRUE,"",10*C133+2)</f>
        <v>82</v>
      </c>
      <c r="C134" s="472"/>
      <c r="D134" s="366">
        <v>14</v>
      </c>
      <c r="E134" s="365" t="str">
        <f t="shared" si="39"/>
        <v>DZUROVÁ Lenka</v>
      </c>
      <c r="F134" s="365">
        <f t="shared" si="40"/>
        <v>2002</v>
      </c>
      <c r="G134" s="365" t="str">
        <f t="shared" si="41"/>
        <v>STK STARÁ TURÁ</v>
      </c>
      <c r="H134" s="366">
        <f t="shared" si="42"/>
        <v>98.75</v>
      </c>
      <c r="I134" s="473"/>
    </row>
    <row r="135" spans="1:10" s="361" customFormat="1" ht="35.1" customHeight="1">
      <c r="A135" s="361">
        <f>IF(ISERROR(10*C135+1)=TRUE,"",10*C135+1)</f>
        <v>91</v>
      </c>
      <c r="C135" s="472">
        <f t="shared" ref="C135" si="63">IF(ISERROR(RANK(I135,$I$113:$I$136,0))=TRUE,"",RANK(I135,$I$113:$I$136,0))</f>
        <v>9</v>
      </c>
      <c r="D135" s="366">
        <v>15</v>
      </c>
      <c r="E135" s="365" t="str">
        <f t="shared" si="39"/>
        <v>VIŠŇOVSKÁ Nina</v>
      </c>
      <c r="F135" s="365">
        <f t="shared" si="40"/>
        <v>2003</v>
      </c>
      <c r="G135" s="365" t="str">
        <f t="shared" si="41"/>
        <v>TTC INTERSPEAD N.ZÁMKY</v>
      </c>
      <c r="H135" s="366">
        <f t="shared" si="42"/>
        <v>93.38</v>
      </c>
      <c r="I135" s="473">
        <f t="shared" ref="I135" si="64">IF(SUM(H135:H136)=0,"",SUM(H135:H136))</f>
        <v>181.22</v>
      </c>
    </row>
    <row r="136" spans="1:10" s="361" customFormat="1" ht="35.1" customHeight="1">
      <c r="A136" s="361">
        <f>IF(ISERROR(10*C135+2)=TRUE,"",10*C135+2)</f>
        <v>92</v>
      </c>
      <c r="C136" s="472"/>
      <c r="D136" s="366">
        <v>17</v>
      </c>
      <c r="E136" s="365" t="str">
        <f t="shared" si="39"/>
        <v>LEDAJOVÁ Martina</v>
      </c>
      <c r="F136" s="365">
        <f t="shared" si="40"/>
        <v>2001</v>
      </c>
      <c r="G136" s="365" t="str">
        <f t="shared" si="41"/>
        <v>STK OROL OTRHÁNKY</v>
      </c>
      <c r="H136" s="366">
        <f t="shared" si="42"/>
        <v>87.84</v>
      </c>
      <c r="I136" s="473"/>
    </row>
    <row r="137" spans="1:10">
      <c r="D137" s="5"/>
      <c r="F137" s="4"/>
    </row>
    <row r="138" spans="1:10">
      <c r="D138" s="5"/>
      <c r="F138" s="4"/>
    </row>
    <row r="139" spans="1:10">
      <c r="D139" s="5"/>
      <c r="J139" s="4"/>
    </row>
    <row r="140" spans="1:10" ht="31.5">
      <c r="C140" s="4" t="s">
        <v>386</v>
      </c>
      <c r="E140" s="5">
        <f>24-COUNTBLANK(E143:E190)/2</f>
        <v>24</v>
      </c>
      <c r="F140" s="362" t="s">
        <v>58</v>
      </c>
    </row>
    <row r="141" spans="1:10">
      <c r="D141" s="17"/>
      <c r="E141" s="17"/>
      <c r="F141" s="4"/>
      <c r="J141" s="4"/>
    </row>
    <row r="142" spans="1:10" ht="78.75">
      <c r="C142" s="372" t="s">
        <v>55</v>
      </c>
      <c r="D142" s="373" t="s">
        <v>59</v>
      </c>
      <c r="E142" s="372" t="s">
        <v>3</v>
      </c>
      <c r="F142" s="372" t="s">
        <v>4</v>
      </c>
      <c r="G142" s="372" t="s">
        <v>5</v>
      </c>
      <c r="H142" s="373" t="s">
        <v>54</v>
      </c>
      <c r="I142" s="373" t="s">
        <v>53</v>
      </c>
      <c r="J142" s="4"/>
    </row>
    <row r="143" spans="1:10" s="361" customFormat="1" ht="35.1" customHeight="1">
      <c r="A143" s="361">
        <f>IF(ISERROR(10*C143+1)=TRUE,"",10*C143+1)</f>
        <v>71</v>
      </c>
      <c r="C143" s="472">
        <f>IF(ISERROR(RANK(I143,$I$143:$I$190,0))=TRUE,"",RANK(I143,$I$143:$I$190,0))</f>
        <v>7</v>
      </c>
      <c r="D143" s="366">
        <v>9</v>
      </c>
      <c r="E143" s="365" t="str">
        <f>IF(ISERROR(VLOOKUP(D143,$D$8:$J$39,2,0))=TRUE,"",VLOOKUP(D143,$D$8:$J$39,2,0))</f>
        <v>HURKA Rastislav</v>
      </c>
      <c r="F143" s="365">
        <f>IF(ISERROR(VLOOKUP(D143,$D$8:$I$39,3,0))=TRUE," ",VLOOKUP(D143,$D$8:$I$39,3,0))</f>
        <v>2001</v>
      </c>
      <c r="G143" s="365" t="str">
        <f>IF(ISERROR(VLOOKUP(D143,$D$8:$I$39,4,0))=TRUE," ",VLOOKUP(D143,$D$8:$I$39,4,0))</f>
        <v>STO VALALIKY</v>
      </c>
      <c r="H143" s="366">
        <f>IF(ISERROR(VLOOKUP(D143,$D$8:$I$39,6,0))=TRUE," ",VLOOKUP(D143,$D$8:$I$39,6,0))</f>
        <v>152.49</v>
      </c>
      <c r="I143" s="473">
        <f>IF(SUM(H143:H144)=0,"",SUM(H143:H144))</f>
        <v>330.42</v>
      </c>
    </row>
    <row r="144" spans="1:10" s="361" customFormat="1" ht="35.1" customHeight="1">
      <c r="A144" s="361">
        <f>IF(ISERROR(10*C143+2)=TRUE,"",10*C143+2)</f>
        <v>72</v>
      </c>
      <c r="C144" s="472"/>
      <c r="D144" s="366">
        <v>7</v>
      </c>
      <c r="E144" s="365" t="str">
        <f>IF(ISERROR(VLOOKUP(D144,$D$45:$J$68,2,0))=TRUE,"",VLOOKUP(D144,$D$45:$J$68,2,0))</f>
        <v>MAJERSKÁ Alena</v>
      </c>
      <c r="F144" s="365">
        <f t="shared" ref="F144" si="65">IF(ISERROR(VLOOKUP(D144,$D$45:$I$68,3,0))=TRUE," ",VLOOKUP(D144,$D$45:$I$68,3,0))</f>
        <v>2002</v>
      </c>
      <c r="G144" s="365" t="str">
        <f t="shared" ref="G144" si="66">IF(ISERROR(VLOOKUP(D144,$D$45:$I$68,4,0))=TRUE," ",VLOOKUP(D144,$D$45:$I$68,4,0))</f>
        <v>STO VALALIKY</v>
      </c>
      <c r="H144" s="366">
        <f t="shared" ref="H144" si="67">IF(ISERROR(VLOOKUP(D144,$D$45:$I$68,6,0))=TRUE," ",VLOOKUP(D144,$D$45:$I$68,6,0))</f>
        <v>177.93</v>
      </c>
      <c r="I144" s="473"/>
    </row>
    <row r="145" spans="1:9" s="361" customFormat="1" ht="35.1" customHeight="1">
      <c r="A145" s="361">
        <f>IF(ISERROR(10*C145+1)=TRUE,"",10*C145+1)</f>
        <v>181</v>
      </c>
      <c r="C145" s="472">
        <f t="shared" ref="C145" si="68">IF(ISERROR(RANK(I145,$I$143:$I$190,0))=TRUE,"",RANK(I145,$I$143:$I$190,0))</f>
        <v>18</v>
      </c>
      <c r="D145" s="366">
        <v>19</v>
      </c>
      <c r="E145" s="365" t="str">
        <f>IF(ISERROR(VLOOKUP(D145,$D$8:$J$39,2,0))=TRUE,"",VLOOKUP(D145,$D$8:$J$39,2,0))</f>
        <v>PACH Kamil</v>
      </c>
      <c r="F145" s="365">
        <f>IF(ISERROR(VLOOKUP(D145,$D$8:$I$39,3,0))=TRUE," ",VLOOKUP(D145,$D$8:$I$39,3,0))</f>
        <v>2003</v>
      </c>
      <c r="G145" s="365" t="str">
        <f>IF(ISERROR(VLOOKUP(D145,$D$8:$I$39,4,0))=TRUE," ",VLOOKUP(D145,$D$8:$I$39,4,0))</f>
        <v>STO VALALIKY</v>
      </c>
      <c r="H145" s="366">
        <f>IF(ISERROR(VLOOKUP(D145,$D$8:$I$39,6,0))=TRUE," ",VLOOKUP(D145,$D$8:$I$39,6,0))</f>
        <v>90.72</v>
      </c>
      <c r="I145" s="473">
        <f t="shared" ref="I145" si="69">IF(SUM(H145:H146)=0,"",SUM(H145:H146))</f>
        <v>184.1</v>
      </c>
    </row>
    <row r="146" spans="1:9" s="361" customFormat="1" ht="35.1" customHeight="1">
      <c r="A146" s="361">
        <f>IF(ISERROR(10*C145+2)=TRUE,"",10*C145+2)</f>
        <v>182</v>
      </c>
      <c r="C146" s="472"/>
      <c r="D146" s="366">
        <v>15</v>
      </c>
      <c r="E146" s="365" t="str">
        <f>IF(ISERROR(VLOOKUP(D146,$D$45:$J$68,2,0))=TRUE,"",VLOOKUP(D146,$D$45:$J$68,2,0))</f>
        <v>VIŠŇOVSKÁ Nina</v>
      </c>
      <c r="F146" s="365">
        <f t="shared" ref="F146" si="70">IF(ISERROR(VLOOKUP(D146,$D$45:$I$68,3,0))=TRUE," ",VLOOKUP(D146,$D$45:$I$68,3,0))</f>
        <v>2003</v>
      </c>
      <c r="G146" s="365" t="str">
        <f t="shared" ref="G146" si="71">IF(ISERROR(VLOOKUP(D146,$D$45:$I$68,4,0))=TRUE," ",VLOOKUP(D146,$D$45:$I$68,4,0))</f>
        <v>TTC INTERSPEAD N.ZÁMKY</v>
      </c>
      <c r="H146" s="366">
        <f t="shared" ref="H146" si="72">IF(ISERROR(VLOOKUP(D146,$D$45:$I$68,6,0))=TRUE," ",VLOOKUP(D146,$D$45:$I$68,6,0))</f>
        <v>93.38</v>
      </c>
      <c r="I146" s="473"/>
    </row>
    <row r="147" spans="1:9" s="361" customFormat="1" ht="35.1" customHeight="1">
      <c r="A147" s="361">
        <f>IF(ISERROR(10*C147+1)=TRUE,"",10*C147+1)</f>
        <v>201</v>
      </c>
      <c r="C147" s="472">
        <f t="shared" ref="C147" si="73">IF(ISERROR(RANK(I147,$I$143:$I$190,0))=TRUE,"",RANK(I147,$I$143:$I$190,0))</f>
        <v>20</v>
      </c>
      <c r="D147" s="366">
        <v>18</v>
      </c>
      <c r="E147" s="365" t="str">
        <f>IF(ISERROR(VLOOKUP(D147,$D$8:$J$39,2,0))=TRUE,"",VLOOKUP(D147,$D$8:$J$39,2,0))</f>
        <v>VICO Dávid</v>
      </c>
      <c r="F147" s="365">
        <f>IF(ISERROR(VLOOKUP(D147,$D$8:$I$39,3,0))=TRUE," ",VLOOKUP(D147,$D$8:$I$39,3,0))</f>
        <v>2001</v>
      </c>
      <c r="G147" s="365" t="str">
        <f>IF(ISERROR(VLOOKUP(D147,$D$8:$I$39,4,0))=TRUE," ",VLOOKUP(D147,$D$8:$I$39,4,0))</f>
        <v>STO VALALIKY</v>
      </c>
      <c r="H147" s="366">
        <f>IF(ISERROR(VLOOKUP(D147,$D$8:$I$39,6,0))=TRUE," ",VLOOKUP(D147,$D$8:$I$39,6,0))</f>
        <v>98.33</v>
      </c>
      <c r="I147" s="473">
        <f t="shared" ref="I147" si="74">IF(SUM(H147:H148)=0,"",SUM(H147:H148))</f>
        <v>166.91</v>
      </c>
    </row>
    <row r="148" spans="1:9" s="361" customFormat="1" ht="35.1" customHeight="1">
      <c r="A148" s="361">
        <f>IF(ISERROR(10*C147+2)=TRUE,"",10*C147+2)</f>
        <v>202</v>
      </c>
      <c r="C148" s="472"/>
      <c r="D148" s="366">
        <v>23</v>
      </c>
      <c r="E148" s="365" t="str">
        <f>IF(ISERROR(VLOOKUP(D148,$D$45:$J$68,2,0))=TRUE,"",VLOOKUP(D148,$D$45:$J$68,2,0))</f>
        <v>HUDÁKOVÁ Ivana</v>
      </c>
      <c r="F148" s="365">
        <f t="shared" ref="F148" si="75">IF(ISERROR(VLOOKUP(D148,$D$45:$I$68,3,0))=TRUE," ",VLOOKUP(D148,$D$45:$I$68,3,0))</f>
        <v>2001</v>
      </c>
      <c r="G148" s="365" t="str">
        <f t="shared" ref="G148" si="76">IF(ISERROR(VLOOKUP(D148,$D$45:$I$68,4,0))=TRUE," ",VLOOKUP(D148,$D$45:$I$68,4,0))</f>
        <v>ZŠ VYŠNÝ ŽIPOV</v>
      </c>
      <c r="H148" s="366">
        <f t="shared" ref="H148" si="77">IF(ISERROR(VLOOKUP(D148,$D$45:$I$68,6,0))=TRUE," ",VLOOKUP(D148,$D$45:$I$68,6,0))</f>
        <v>68.58</v>
      </c>
      <c r="I148" s="473"/>
    </row>
    <row r="149" spans="1:9" s="361" customFormat="1" ht="35.1" customHeight="1">
      <c r="A149" s="361">
        <f>IF(ISERROR(10*C149+1)=TRUE,"",10*C149+1)</f>
        <v>241</v>
      </c>
      <c r="C149" s="472">
        <f t="shared" ref="C149" si="78">IF(ISERROR(RANK(I149,$I$143:$I$190,0))=TRUE,"",RANK(I149,$I$143:$I$190,0))</f>
        <v>24</v>
      </c>
      <c r="D149" s="366">
        <v>26</v>
      </c>
      <c r="E149" s="365" t="str">
        <f>IF(ISERROR(VLOOKUP(D149,$D$8:$J$39,2,0))=TRUE,"",VLOOKUP(D149,$D$8:$J$39,2,0))</f>
        <v>KLUČÁR Matej</v>
      </c>
      <c r="F149" s="365">
        <f>IF(ISERROR(VLOOKUP(D149,$D$8:$I$39,3,0))=TRUE," ",VLOOKUP(D149,$D$8:$I$39,3,0))</f>
        <v>2002</v>
      </c>
      <c r="G149" s="365" t="str">
        <f>IF(ISERROR(VLOOKUP(D149,$D$8:$I$39,4,0))=TRUE," ",VLOOKUP(D149,$D$8:$I$39,4,0))</f>
        <v>TTC MAJCICHOV</v>
      </c>
      <c r="H149" s="366">
        <f>IF(ISERROR(VLOOKUP(D149,$D$8:$I$39,6,0))=TRUE," ",VLOOKUP(D149,$D$8:$I$39,6,0))</f>
        <v>74.069999999999993</v>
      </c>
      <c r="I149" s="473">
        <f t="shared" ref="I149" si="79">IF(SUM(H149:H150)=0,"",SUM(H149:H150))</f>
        <v>146.47</v>
      </c>
    </row>
    <row r="150" spans="1:9" s="361" customFormat="1" ht="35.1" customHeight="1">
      <c r="A150" s="361">
        <f>IF(ISERROR(10*C149+2)=TRUE,"",10*C149+2)</f>
        <v>242</v>
      </c>
      <c r="C150" s="472"/>
      <c r="D150" s="366">
        <v>21</v>
      </c>
      <c r="E150" s="365" t="str">
        <f>IF(ISERROR(VLOOKUP(D150,$D$45:$J$68,2,0))=TRUE,"",VLOOKUP(D150,$D$45:$J$68,2,0))</f>
        <v>GORFOLOVÁ Viktória</v>
      </c>
      <c r="F150" s="365">
        <f t="shared" ref="F150" si="80">IF(ISERROR(VLOOKUP(D150,$D$45:$I$68,3,0))=TRUE," ",VLOOKUP(D150,$D$45:$I$68,3,0))</f>
        <v>2001</v>
      </c>
      <c r="G150" s="365" t="str">
        <f t="shared" ref="G150" si="81">IF(ISERROR(VLOOKUP(D150,$D$45:$I$68,4,0))=TRUE," ",VLOOKUP(D150,$D$45:$I$68,4,0))</f>
        <v>GASTO METALFIN GALANTA</v>
      </c>
      <c r="H150" s="366">
        <f t="shared" ref="H150" si="82">IF(ISERROR(VLOOKUP(D150,$D$45:$I$68,6,0))=TRUE," ",VLOOKUP(D150,$D$45:$I$68,6,0))</f>
        <v>72.400000000000006</v>
      </c>
      <c r="I150" s="473"/>
    </row>
    <row r="151" spans="1:9" s="361" customFormat="1" ht="35.1" customHeight="1">
      <c r="A151" s="361">
        <f>IF(ISERROR(10*C151+1)=TRUE,"",10*C151+1)</f>
        <v>21</v>
      </c>
      <c r="C151" s="472">
        <f t="shared" ref="C151" si="83">IF(ISERROR(RANK(I151,$I$143:$I$190,0))=TRUE,"",RANK(I151,$I$143:$I$190,0))</f>
        <v>2</v>
      </c>
      <c r="D151" s="366">
        <v>1</v>
      </c>
      <c r="E151" s="365" t="str">
        <f>IF(ISERROR(VLOOKUP(D151,$D$8:$J$39,2,0))=TRUE,"",VLOOKUP(D151,$D$8:$J$39,2,0))</f>
        <v>DIKO Dalibor</v>
      </c>
      <c r="F151" s="365">
        <f>IF(ISERROR(VLOOKUP(D151,$D$8:$I$39,3,0))=TRUE," ",VLOOKUP(D151,$D$8:$I$39,3,0))</f>
        <v>2002</v>
      </c>
      <c r="G151" s="365" t="str">
        <f>IF(ISERROR(VLOOKUP(D151,$D$8:$I$39,4,0))=TRUE," ",VLOOKUP(D151,$D$8:$I$39,4,0))</f>
        <v>TJ ORAVAN NÁMESTOVO</v>
      </c>
      <c r="H151" s="366">
        <f>IF(ISERROR(VLOOKUP(D151,$D$8:$I$39,6,0))=TRUE," ",VLOOKUP(D151,$D$8:$I$39,6,0))</f>
        <v>398.3</v>
      </c>
      <c r="I151" s="473">
        <f t="shared" ref="I151" si="84">IF(SUM(H151:H152)=0,"",SUM(H151:H152))</f>
        <v>705.93000000000006</v>
      </c>
    </row>
    <row r="152" spans="1:9" s="361" customFormat="1" ht="35.1" customHeight="1">
      <c r="A152" s="361">
        <f>IF(ISERROR(10*C151+2)=TRUE,"",10*C151+2)</f>
        <v>22</v>
      </c>
      <c r="C152" s="472"/>
      <c r="D152" s="366">
        <v>2</v>
      </c>
      <c r="E152" s="365" t="str">
        <f>IF(ISERROR(VLOOKUP(D152,$D$45:$J$68,2,0))=TRUE,"",VLOOKUP(D152,$D$45:$J$68,2,0))</f>
        <v>PEKOVÁ Zuzana</v>
      </c>
      <c r="F152" s="365">
        <f t="shared" ref="F152" si="85">IF(ISERROR(VLOOKUP(D152,$D$45:$I$68,3,0))=TRUE," ",VLOOKUP(D152,$D$45:$I$68,3,0))</f>
        <v>2002</v>
      </c>
      <c r="G152" s="365" t="str">
        <f t="shared" ref="G152" si="86">IF(ISERROR(VLOOKUP(D152,$D$45:$I$68,4,0))=TRUE," ",VLOOKUP(D152,$D$45:$I$68,4,0))</f>
        <v>KST VIKTÓRIA TRNAVA</v>
      </c>
      <c r="H152" s="366">
        <f t="shared" ref="H152" si="87">IF(ISERROR(VLOOKUP(D152,$D$45:$I$68,6,0))=TRUE," ",VLOOKUP(D152,$D$45:$I$68,6,0))</f>
        <v>307.63</v>
      </c>
      <c r="I152" s="473"/>
    </row>
    <row r="153" spans="1:9" s="361" customFormat="1" ht="35.1" customHeight="1">
      <c r="A153" s="361">
        <f>IF(ISERROR(10*C153+1)=TRUE,"",10*C153+1)</f>
        <v>151</v>
      </c>
      <c r="C153" s="472">
        <f t="shared" ref="C153" si="88">IF(ISERROR(RANK(I153,$I$143:$I$190,0))=TRUE,"",RANK(I153,$I$143:$I$190,0))</f>
        <v>15</v>
      </c>
      <c r="D153" s="366">
        <v>13</v>
      </c>
      <c r="E153" s="365" t="str">
        <f>IF(ISERROR(VLOOKUP(D153,$D$8:$J$39,2,0))=TRUE,"",VLOOKUP(D153,$D$8:$J$39,2,0))</f>
        <v>KLAJBER Adam</v>
      </c>
      <c r="F153" s="365">
        <f>IF(ISERROR(VLOOKUP(D153,$D$8:$I$39,3,0))=TRUE," ",VLOOKUP(D153,$D$8:$I$39,3,0))</f>
        <v>2003</v>
      </c>
      <c r="G153" s="365" t="str">
        <f>IF(ISERROR(VLOOKUP(D153,$D$8:$I$39,4,0))=TRUE," ",VLOOKUP(D153,$D$8:$I$39,4,0))</f>
        <v>SŠK POPROČ</v>
      </c>
      <c r="H153" s="366">
        <f>IF(ISERROR(VLOOKUP(D153,$D$8:$I$39,6,0))=TRUE," ",VLOOKUP(D153,$D$8:$I$39,6,0))</f>
        <v>120.11</v>
      </c>
      <c r="I153" s="473">
        <f t="shared" ref="I153" si="89">IF(SUM(H153:H154)=0,"",SUM(H153:H154))</f>
        <v>189.70999999999998</v>
      </c>
    </row>
    <row r="154" spans="1:9" s="361" customFormat="1" ht="35.1" customHeight="1">
      <c r="A154" s="361">
        <f>IF(ISERROR(10*C153+2)=TRUE,"",10*C153+2)</f>
        <v>152</v>
      </c>
      <c r="C154" s="472"/>
      <c r="D154" s="366">
        <v>22</v>
      </c>
      <c r="E154" s="365" t="str">
        <f>IF(ISERROR(VLOOKUP(D154,$D$45:$J$68,2,0))=TRUE,"",VLOOKUP(D154,$D$45:$J$68,2,0))</f>
        <v>SISKOVÁ Zuzana</v>
      </c>
      <c r="F154" s="365">
        <f t="shared" ref="F154" si="90">IF(ISERROR(VLOOKUP(D154,$D$45:$I$68,3,0))=TRUE," ",VLOOKUP(D154,$D$45:$I$68,3,0))</f>
        <v>2003</v>
      </c>
      <c r="G154" s="365" t="str">
        <f t="shared" ref="G154" si="91">IF(ISERROR(VLOOKUP(D154,$D$45:$I$68,4,0))=TRUE," ",VLOOKUP(D154,$D$45:$I$68,4,0))</f>
        <v>TTC MAJCICHOV</v>
      </c>
      <c r="H154" s="366">
        <f t="shared" ref="H154" si="92">IF(ISERROR(VLOOKUP(D154,$D$45:$I$68,6,0))=TRUE," ",VLOOKUP(D154,$D$45:$I$68,6,0))</f>
        <v>69.599999999999994</v>
      </c>
      <c r="I154" s="473"/>
    </row>
    <row r="155" spans="1:9" s="361" customFormat="1" ht="35.1" customHeight="1">
      <c r="A155" s="361">
        <f>IF(ISERROR(10*C155+1)=TRUE,"",10*C155+1)</f>
        <v>121</v>
      </c>
      <c r="C155" s="472">
        <f t="shared" ref="C155" si="93">IF(ISERROR(RANK(I155,$I$143:$I$190,0))=TRUE,"",RANK(I155,$I$143:$I$190,0))</f>
        <v>12</v>
      </c>
      <c r="D155" s="366">
        <v>11</v>
      </c>
      <c r="E155" s="365" t="str">
        <f>IF(ISERROR(VLOOKUP(D155,$D$8:$J$39,2,0))=TRUE,"",VLOOKUP(D155,$D$8:$J$39,2,0))</f>
        <v>MILAN Martin</v>
      </c>
      <c r="F155" s="365">
        <f>IF(ISERROR(VLOOKUP(D155,$D$8:$I$39,3,0))=TRUE," ",VLOOKUP(D155,$D$8:$I$39,3,0))</f>
        <v>2001</v>
      </c>
      <c r="G155" s="365" t="str">
        <f>IF(ISERROR(VLOOKUP(D155,$D$8:$I$39,4,0))=TRUE," ",VLOOKUP(D155,$D$8:$I$39,4,0))</f>
        <v>1.PPC FORTUNA KEŽMAROK/TJ OBCE SPIŠSKÝ ŠTIAVNIK</v>
      </c>
      <c r="H155" s="366">
        <f>IF(ISERROR(VLOOKUP(D155,$D$8:$I$39,6,0))=TRUE," ",VLOOKUP(D155,$D$8:$I$39,6,0))</f>
        <v>125.6</v>
      </c>
      <c r="I155" s="473">
        <f t="shared" ref="I155" si="94">IF(SUM(H155:H156)=0,"",SUM(H155:H156))</f>
        <v>259.38</v>
      </c>
    </row>
    <row r="156" spans="1:9" s="361" customFormat="1" ht="35.1" customHeight="1">
      <c r="A156" s="361">
        <f>IF(ISERROR(10*C155+2)=TRUE,"",10*C155+2)</f>
        <v>122</v>
      </c>
      <c r="C156" s="472"/>
      <c r="D156" s="366">
        <v>12</v>
      </c>
      <c r="E156" s="365" t="str">
        <f>IF(ISERROR(VLOOKUP(D156,$D$45:$J$68,2,0))=TRUE,"",VLOOKUP(D156,$D$45:$J$68,2,0))</f>
        <v>GAŠPARÍKOVÁ Lucia</v>
      </c>
      <c r="F156" s="365">
        <f t="shared" ref="F156" si="95">IF(ISERROR(VLOOKUP(D156,$D$45:$I$68,3,0))=TRUE," ",VLOOKUP(D156,$D$45:$I$68,3,0))</f>
        <v>2002</v>
      </c>
      <c r="G156" s="365" t="str">
        <f t="shared" ref="G156" si="96">IF(ISERROR(VLOOKUP(D156,$D$45:$I$68,4,0))=TRUE," ",VLOOKUP(D156,$D$45:$I$68,4,0))</f>
        <v>TTC MAJCICHOV</v>
      </c>
      <c r="H156" s="366">
        <f t="shared" ref="H156" si="97">IF(ISERROR(VLOOKUP(D156,$D$45:$I$68,6,0))=TRUE," ",VLOOKUP(D156,$D$45:$I$68,6,0))</f>
        <v>133.78</v>
      </c>
      <c r="I156" s="473"/>
    </row>
    <row r="157" spans="1:9" s="361" customFormat="1" ht="35.1" customHeight="1">
      <c r="A157" s="361">
        <f>IF(ISERROR(10*C157+1)=TRUE,"",10*C157+1)</f>
        <v>11</v>
      </c>
      <c r="C157" s="472">
        <f t="shared" ref="C157" si="98">IF(ISERROR(RANK(I157,$I$143:$I$190,0))=TRUE,"",RANK(I157,$I$143:$I$190,0))</f>
        <v>1</v>
      </c>
      <c r="D157" s="366">
        <v>2</v>
      </c>
      <c r="E157" s="365" t="str">
        <f>IF(ISERROR(VLOOKUP(D157,$D$8:$J$39,2,0))=TRUE,"",VLOOKUP(D157,$D$8:$J$39,2,0))</f>
        <v>KYSEL Martin</v>
      </c>
      <c r="F157" s="365">
        <f>IF(ISERROR(VLOOKUP(D157,$D$8:$I$39,3,0))=TRUE," ",VLOOKUP(D157,$D$8:$I$39,3,0))</f>
        <v>2001</v>
      </c>
      <c r="G157" s="365" t="str">
        <f>IF(ISERROR(VLOOKUP(D157,$D$8:$I$39,4,0))=TRUE," ",VLOOKUP(D157,$D$8:$I$39,4,0))</f>
        <v>MSTK TVRDOŠÍN</v>
      </c>
      <c r="H157" s="366">
        <f>IF(ISERROR(VLOOKUP(D157,$D$8:$I$39,6,0))=TRUE," ",VLOOKUP(D157,$D$8:$I$39,6,0))</f>
        <v>285.69</v>
      </c>
      <c r="I157" s="473">
        <f t="shared" ref="I157" si="99">IF(SUM(H157:H158)=0,"",SUM(H157:H158))</f>
        <v>781.69</v>
      </c>
    </row>
    <row r="158" spans="1:9" s="361" customFormat="1" ht="35.1" customHeight="1">
      <c r="A158" s="361">
        <f>IF(ISERROR(10*C157+2)=TRUE,"",10*C157+2)</f>
        <v>12</v>
      </c>
      <c r="C158" s="472"/>
      <c r="D158" s="366">
        <v>1</v>
      </c>
      <c r="E158" s="365" t="str">
        <f>IF(ISERROR(VLOOKUP(D158,$D$45:$J$68,2,0))=TRUE,"",VLOOKUP(D158,$D$45:$J$68,2,0))</f>
        <v>LABOŠOVÁ Ema</v>
      </c>
      <c r="F158" s="365">
        <f t="shared" ref="F158" si="100">IF(ISERROR(VLOOKUP(D158,$D$45:$I$68,3,0))=TRUE," ",VLOOKUP(D158,$D$45:$I$68,3,0))</f>
        <v>2001</v>
      </c>
      <c r="G158" s="365" t="str">
        <f t="shared" ref="G158" si="101">IF(ISERROR(VLOOKUP(D158,$D$45:$I$68,4,0))=TRUE," ",VLOOKUP(D158,$D$45:$I$68,4,0))</f>
        <v>ŠSTK JUNIOR ČAŇA</v>
      </c>
      <c r="H158" s="366">
        <f t="shared" ref="H158" si="102">IF(ISERROR(VLOOKUP(D158,$D$45:$I$68,6,0))=TRUE," ",VLOOKUP(D158,$D$45:$I$68,6,0))</f>
        <v>496</v>
      </c>
      <c r="I158" s="473"/>
    </row>
    <row r="159" spans="1:9" s="361" customFormat="1" ht="35.1" customHeight="1">
      <c r="A159" s="361">
        <f>IF(ISERROR(10*C159+1)=TRUE,"",10*C159+1)</f>
        <v>81</v>
      </c>
      <c r="C159" s="472">
        <f t="shared" ref="C159" si="103">IF(ISERROR(RANK(I159,$I$143:$I$190,0))=TRUE,"",RANK(I159,$I$143:$I$190,0))</f>
        <v>8</v>
      </c>
      <c r="D159" s="366">
        <v>10</v>
      </c>
      <c r="E159" s="365" t="str">
        <f>IF(ISERROR(VLOOKUP(D159,$D$8:$J$39,2,0))=TRUE,"",VLOOKUP(D159,$D$8:$J$39,2,0))</f>
        <v>ĎANOVSKÝ Martin</v>
      </c>
      <c r="F159" s="365">
        <f>IF(ISERROR(VLOOKUP(D159,$D$8:$I$39,3,0))=TRUE," ",VLOOKUP(D159,$D$8:$I$39,3,0))</f>
        <v>2002</v>
      </c>
      <c r="G159" s="365" t="str">
        <f>IF(ISERROR(VLOOKUP(D159,$D$8:$I$39,4,0))=TRUE," ",VLOOKUP(D159,$D$8:$I$39,4,0))</f>
        <v>LOKOMOTÍVA VRÚTKY</v>
      </c>
      <c r="H159" s="366">
        <f>IF(ISERROR(VLOOKUP(D159,$D$8:$I$39,6,0))=TRUE," ",VLOOKUP(D159,$D$8:$I$39,6,0))</f>
        <v>128.26</v>
      </c>
      <c r="I159" s="473">
        <f t="shared" ref="I159" si="104">IF(SUM(H159:H160)=0,"",SUM(H159:H160))</f>
        <v>322.79999999999995</v>
      </c>
    </row>
    <row r="160" spans="1:9" s="361" customFormat="1" ht="35.1" customHeight="1">
      <c r="A160" s="361">
        <f>IF(ISERROR(10*C159+2)=TRUE,"",10*C159+2)</f>
        <v>82</v>
      </c>
      <c r="C160" s="472"/>
      <c r="D160" s="366">
        <v>5</v>
      </c>
      <c r="E160" s="365" t="str">
        <f>IF(ISERROR(VLOOKUP(D160,$D$45:$J$68,2,0))=TRUE,"",VLOOKUP(D160,$D$45:$J$68,2,0))</f>
        <v>DIVINSKÁ Natália</v>
      </c>
      <c r="F160" s="365">
        <f t="shared" ref="F160" si="105">IF(ISERROR(VLOOKUP(D160,$D$45:$I$68,3,0))=TRUE," ",VLOOKUP(D160,$D$45:$I$68,3,0))</f>
        <v>2002</v>
      </c>
      <c r="G160" s="365" t="str">
        <f t="shared" ref="G160" si="106">IF(ISERROR(VLOOKUP(D160,$D$45:$I$68,4,0))=TRUE," ",VLOOKUP(D160,$D$45:$I$68,4,0))</f>
        <v>MSTK TVRDOŠÍN</v>
      </c>
      <c r="H160" s="366">
        <f t="shared" ref="H160" si="107">IF(ISERROR(VLOOKUP(D160,$D$45:$I$68,6,0))=TRUE," ",VLOOKUP(D160,$D$45:$I$68,6,0))</f>
        <v>194.54</v>
      </c>
      <c r="I160" s="473"/>
    </row>
    <row r="161" spans="1:9" s="361" customFormat="1" ht="35.1" customHeight="1">
      <c r="A161" s="361">
        <f>IF(ISERROR(10*C161+1)=TRUE,"",10*C161+1)</f>
        <v>141</v>
      </c>
      <c r="C161" s="472">
        <f t="shared" ref="C161" si="108">IF(ISERROR(RANK(I161,$I$143:$I$190,0))=TRUE,"",RANK(I161,$I$143:$I$190,0))</f>
        <v>14</v>
      </c>
      <c r="D161" s="366">
        <v>20</v>
      </c>
      <c r="E161" s="365" t="str">
        <f>IF(ISERROR(VLOOKUP(D161,$D$8:$J$39,2,0))=TRUE,"",VLOOKUP(D161,$D$8:$J$39,2,0))</f>
        <v>KAPUSTA Martin</v>
      </c>
      <c r="F161" s="365">
        <f>IF(ISERROR(VLOOKUP(D161,$D$8:$I$39,3,0))=TRUE," ",VLOOKUP(D161,$D$8:$I$39,3,0))</f>
        <v>2002</v>
      </c>
      <c r="G161" s="365" t="str">
        <f>IF(ISERROR(VLOOKUP(D161,$D$8:$I$39,4,0))=TRUE," ",VLOOKUP(D161,$D$8:$I$39,4,0))</f>
        <v>MSK ČADCA</v>
      </c>
      <c r="H161" s="366">
        <f>IF(ISERROR(VLOOKUP(D161,$D$8:$I$39,6,0))=TRUE," ",VLOOKUP(D161,$D$8:$I$39,6,0))</f>
        <v>89.76</v>
      </c>
      <c r="I161" s="473">
        <f t="shared" ref="I161" si="109">IF(SUM(H161:H162)=0,"",SUM(H161:H162))</f>
        <v>225.11</v>
      </c>
    </row>
    <row r="162" spans="1:9" s="361" customFormat="1" ht="35.1" customHeight="1">
      <c r="A162" s="361">
        <f>IF(ISERROR(10*C161+2)=TRUE,"",10*C161+2)</f>
        <v>142</v>
      </c>
      <c r="C162" s="472"/>
      <c r="D162" s="366">
        <v>11</v>
      </c>
      <c r="E162" s="365" t="str">
        <f>IF(ISERROR(VLOOKUP(D162,$D$45:$J$68,2,0))=TRUE,"",VLOOKUP(D162,$D$45:$J$68,2,0))</f>
        <v>CHYLOVÁ Sabína</v>
      </c>
      <c r="F162" s="365">
        <f t="shared" ref="F162" si="110">IF(ISERROR(VLOOKUP(D162,$D$45:$I$68,3,0))=TRUE," ",VLOOKUP(D162,$D$45:$I$68,3,0))</f>
        <v>2001</v>
      </c>
      <c r="G162" s="365" t="str">
        <f t="shared" ref="G162" si="111">IF(ISERROR(VLOOKUP(D162,$D$45:$I$68,4,0))=TRUE," ",VLOOKUP(D162,$D$45:$I$68,4,0))</f>
        <v>MSTK TVRDOŠÍN</v>
      </c>
      <c r="H162" s="366">
        <f t="shared" ref="H162" si="112">IF(ISERROR(VLOOKUP(D162,$D$45:$I$68,6,0))=TRUE," ",VLOOKUP(D162,$D$45:$I$68,6,0))</f>
        <v>135.35</v>
      </c>
      <c r="I162" s="473"/>
    </row>
    <row r="163" spans="1:9" s="361" customFormat="1" ht="35.1" customHeight="1">
      <c r="A163" s="361">
        <f>IF(ISERROR(10*C163+1)=TRUE,"",10*C163+1)</f>
        <v>221</v>
      </c>
      <c r="C163" s="472">
        <f t="shared" ref="C163" si="113">IF(ISERROR(RANK(I163,$I$143:$I$190,0))=TRUE,"",RANK(I163,$I$143:$I$190,0))</f>
        <v>22</v>
      </c>
      <c r="D163" s="366">
        <v>29</v>
      </c>
      <c r="E163" s="365" t="str">
        <f>IF(ISERROR(VLOOKUP(D163,$D$8:$J$39,2,0))=TRUE,"",VLOOKUP(D163,$D$8:$J$39,2,0))</f>
        <v>MARUNIAK Martin</v>
      </c>
      <c r="F163" s="365">
        <f>IF(ISERROR(VLOOKUP(D163,$D$8:$I$39,3,0))=TRUE," ",VLOOKUP(D163,$D$8:$I$39,3,0))</f>
        <v>2001</v>
      </c>
      <c r="G163" s="365" t="str">
        <f>IF(ISERROR(VLOOKUP(D163,$D$8:$I$39,4,0))=TRUE," ",VLOOKUP(D163,$D$8:$I$39,4,0))</f>
        <v>MSTK VTJ MARTIN</v>
      </c>
      <c r="H163" s="366">
        <f>IF(ISERROR(VLOOKUP(D163,$D$8:$I$39,6,0))=TRUE," ",VLOOKUP(D163,$D$8:$I$39,6,0))</f>
        <v>68.900000000000006</v>
      </c>
      <c r="I163" s="473">
        <f t="shared" ref="I163" si="114">IF(SUM(H163:H164)=0,"",SUM(H163:H164))</f>
        <v>160.67000000000002</v>
      </c>
    </row>
    <row r="164" spans="1:9" s="361" customFormat="1" ht="35.1" customHeight="1">
      <c r="A164" s="361">
        <f>IF(ISERROR(10*C163+2)=TRUE,"",10*C163+2)</f>
        <v>222</v>
      </c>
      <c r="C164" s="472"/>
      <c r="D164" s="366">
        <v>16</v>
      </c>
      <c r="E164" s="365" t="str">
        <f>IF(ISERROR(VLOOKUP(D164,$D$45:$J$68,2,0))=TRUE,"",VLOOKUP(D164,$D$45:$J$68,2,0))</f>
        <v>VOJTASOVA Patrícia</v>
      </c>
      <c r="F164" s="365">
        <f t="shared" ref="F164" si="115">IF(ISERROR(VLOOKUP(D164,$D$45:$I$68,3,0))=TRUE," ",VLOOKUP(D164,$D$45:$I$68,3,0))</f>
        <v>2001</v>
      </c>
      <c r="G164" s="365" t="str">
        <f t="shared" ref="G164" si="116">IF(ISERROR(VLOOKUP(D164,$D$45:$I$68,4,0))=TRUE," ",VLOOKUP(D164,$D$45:$I$68,4,0))</f>
        <v>ZŠ LIETAVSKÁ LÚČKA</v>
      </c>
      <c r="H164" s="366">
        <f t="shared" ref="H164" si="117">IF(ISERROR(VLOOKUP(D164,$D$45:$I$68,6,0))=TRUE," ",VLOOKUP(D164,$D$45:$I$68,6,0))</f>
        <v>91.77</v>
      </c>
      <c r="I164" s="473"/>
    </row>
    <row r="165" spans="1:9" s="361" customFormat="1" ht="35.1" customHeight="1">
      <c r="A165" s="361">
        <f>IF(ISERROR(10*C165+1)=TRUE,"",10*C165+1)</f>
        <v>31</v>
      </c>
      <c r="C165" s="472">
        <f t="shared" ref="C165" si="118">IF(ISERROR(RANK(I165,$I$143:$I$190,0))=TRUE,"",RANK(I165,$I$143:$I$190,0))</f>
        <v>3</v>
      </c>
      <c r="D165" s="366">
        <v>4</v>
      </c>
      <c r="E165" s="365" t="str">
        <f>IF(ISERROR(VLOOKUP(D165,$D$8:$J$39,2,0))=TRUE,"",VLOOKUP(D165,$D$8:$J$39,2,0))</f>
        <v>PINDURA Tobiáš</v>
      </c>
      <c r="F165" s="365">
        <f>IF(ISERROR(VLOOKUP(D165,$D$8:$I$39,3,0))=TRUE," ",VLOOKUP(D165,$D$8:$I$39,3,0))</f>
        <v>2001</v>
      </c>
      <c r="G165" s="365" t="str">
        <f>IF(ISERROR(VLOOKUP(D165,$D$8:$I$39,4,0))=TRUE," ",VLOOKUP(D165,$D$8:$I$39,4,0))</f>
        <v>ŠKST RUŽOMBEROK</v>
      </c>
      <c r="H165" s="366">
        <f>IF(ISERROR(VLOOKUP(D165,$D$8:$I$39,6,0))=TRUE," ",VLOOKUP(D165,$D$8:$I$39,6,0))</f>
        <v>244</v>
      </c>
      <c r="I165" s="473">
        <f t="shared" ref="I165" si="119">IF(SUM(H165:H166)=0,"",SUM(H165:H166))</f>
        <v>496.63</v>
      </c>
    </row>
    <row r="166" spans="1:9" s="361" customFormat="1" ht="35.1" customHeight="1">
      <c r="A166" s="361">
        <f>IF(ISERROR(10*C165+2)=TRUE,"",10*C165+2)</f>
        <v>32</v>
      </c>
      <c r="C166" s="472"/>
      <c r="D166" s="366">
        <v>3</v>
      </c>
      <c r="E166" s="365" t="str">
        <f>IF(ISERROR(VLOOKUP(D166,$D$45:$J$68,2,0))=TRUE,"",VLOOKUP(D166,$D$45:$J$68,2,0))</f>
        <v>ŠINKAROVÁ Dáša</v>
      </c>
      <c r="F166" s="365">
        <f t="shared" ref="F166" si="120">IF(ISERROR(VLOOKUP(D166,$D$45:$I$68,3,0))=TRUE," ",VLOOKUP(D166,$D$45:$I$68,3,0))</f>
        <v>2001</v>
      </c>
      <c r="G166" s="365" t="str">
        <f t="shared" ref="G166" si="121">IF(ISERROR(VLOOKUP(D166,$D$45:$I$68,4,0))=TRUE," ",VLOOKUP(D166,$D$45:$I$68,4,0))</f>
        <v>ŠKST MICHALOVCE</v>
      </c>
      <c r="H166" s="366">
        <f t="shared" ref="H166" si="122">IF(ISERROR(VLOOKUP(D166,$D$45:$I$68,6,0))=TRUE," ",VLOOKUP(D166,$D$45:$I$68,6,0))</f>
        <v>252.63</v>
      </c>
      <c r="I166" s="473"/>
    </row>
    <row r="167" spans="1:9" s="361" customFormat="1" ht="35.1" customHeight="1">
      <c r="A167" s="361">
        <f>IF(ISERROR(10*C167+1)=TRUE,"",10*C167+1)</f>
        <v>191</v>
      </c>
      <c r="C167" s="472">
        <f t="shared" ref="C167" si="123">IF(ISERROR(RANK(I167,$I$143:$I$190,0))=TRUE,"",RANK(I167,$I$143:$I$190,0))</f>
        <v>19</v>
      </c>
      <c r="D167" s="366">
        <v>21</v>
      </c>
      <c r="E167" s="365" t="str">
        <f>IF(ISERROR(VLOOKUP(D167,$D$8:$J$39,2,0))=TRUE,"",VLOOKUP(D167,$D$8:$J$39,2,0))</f>
        <v>DELINČAK Filip</v>
      </c>
      <c r="F167" s="365">
        <f>IF(ISERROR(VLOOKUP(D167,$D$8:$I$39,3,0))=TRUE," ",VLOOKUP(D167,$D$8:$I$39,3,0))</f>
        <v>2003</v>
      </c>
      <c r="G167" s="365" t="str">
        <f>IF(ISERROR(VLOOKUP(D167,$D$8:$I$39,4,0))=TRUE," ",VLOOKUP(D167,$D$8:$I$39,4,0))</f>
        <v>MSK ČADCA</v>
      </c>
      <c r="H167" s="366">
        <f>IF(ISERROR(VLOOKUP(D167,$D$8:$I$39,6,0))=TRUE," ",VLOOKUP(D167,$D$8:$I$39,6,0))</f>
        <v>89</v>
      </c>
      <c r="I167" s="473">
        <f t="shared" ref="I167" si="124">IF(SUM(H167:H168)=0,"",SUM(H167:H168))</f>
        <v>167.19</v>
      </c>
    </row>
    <row r="168" spans="1:9" s="361" customFormat="1" ht="35.1" customHeight="1">
      <c r="A168" s="361">
        <f>IF(ISERROR(10*C167+2)=TRUE,"",10*C167+2)</f>
        <v>192</v>
      </c>
      <c r="C168" s="472"/>
      <c r="D168" s="366">
        <v>19</v>
      </c>
      <c r="E168" s="365" t="str">
        <f>IF(ISERROR(VLOOKUP(D168,$D$45:$J$68,2,0))=TRUE,"",VLOOKUP(D168,$D$45:$J$68,2,0))</f>
        <v>PISARČIKOVÁ Frederika</v>
      </c>
      <c r="F168" s="365">
        <f t="shared" ref="F168" si="125">IF(ISERROR(VLOOKUP(D168,$D$45:$I$68,3,0))=TRUE," ",VLOOKUP(D168,$D$45:$I$68,3,0))</f>
        <v>2002</v>
      </c>
      <c r="G168" s="365" t="str">
        <f t="shared" ref="G168" si="126">IF(ISERROR(VLOOKUP(D168,$D$45:$I$68,4,0))=TRUE," ",VLOOKUP(D168,$D$45:$I$68,4,0))</f>
        <v>ŠKST RUŽOMBEROK</v>
      </c>
      <c r="H168" s="366">
        <f t="shared" ref="H168" si="127">IF(ISERROR(VLOOKUP(D168,$D$45:$I$68,6,0))=TRUE," ",VLOOKUP(D168,$D$45:$I$68,6,0))</f>
        <v>78.19</v>
      </c>
      <c r="I168" s="473"/>
    </row>
    <row r="169" spans="1:9" s="361" customFormat="1" ht="35.1" customHeight="1">
      <c r="A169" s="361">
        <f>IF(ISERROR(10*C169+1)=TRUE,"",10*C169+1)</f>
        <v>231</v>
      </c>
      <c r="C169" s="472">
        <f t="shared" ref="C169" si="128">IF(ISERROR(RANK(I169,$I$143:$I$190,0))=TRUE,"",RANK(I169,$I$143:$I$190,0))</f>
        <v>23</v>
      </c>
      <c r="D169" s="366">
        <v>23</v>
      </c>
      <c r="E169" s="365" t="str">
        <f>IF(ISERROR(VLOOKUP(D169,$D$8:$J$39,2,0))=TRUE,"",VLOOKUP(D169,$D$8:$J$39,2,0))</f>
        <v>MAKÚCH Damian</v>
      </c>
      <c r="F169" s="365">
        <f>IF(ISERROR(VLOOKUP(D169,$D$8:$I$39,3,0))=TRUE," ",VLOOKUP(D169,$D$8:$I$39,3,0))</f>
        <v>2001</v>
      </c>
      <c r="G169" s="365" t="str">
        <f>IF(ISERROR(VLOOKUP(D169,$D$8:$I$39,4,0))=TRUE," ",VLOOKUP(D169,$D$8:$I$39,4,0))</f>
        <v>TJ ORAVAN NÁMESTOVO/TATRAN KRUŠETNICA</v>
      </c>
      <c r="H169" s="366">
        <f>IF(ISERROR(VLOOKUP(D169,$D$8:$I$39,6,0))=TRUE," ",VLOOKUP(D169,$D$8:$I$39,6,0))</f>
        <v>74.849999999999994</v>
      </c>
      <c r="I169" s="473">
        <f t="shared" ref="I169" si="129">IF(SUM(H169:H170)=0,"",SUM(H169:H170))</f>
        <v>153.94999999999999</v>
      </c>
    </row>
    <row r="170" spans="1:9" s="361" customFormat="1" ht="35.1" customHeight="1">
      <c r="A170" s="361">
        <f>IF(ISERROR(10*C169+2)=TRUE,"",10*C169+2)</f>
        <v>232</v>
      </c>
      <c r="C170" s="472"/>
      <c r="D170" s="366">
        <v>18</v>
      </c>
      <c r="E170" s="365" t="str">
        <f>IF(ISERROR(VLOOKUP(D170,$D$45:$J$68,2,0))=TRUE,"",VLOOKUP(D170,$D$45:$J$68,2,0))</f>
        <v>GALČÍKOVÁ Sára</v>
      </c>
      <c r="F170" s="365">
        <f t="shared" ref="F170" si="130">IF(ISERROR(VLOOKUP(D170,$D$45:$I$68,3,0))=TRUE," ",VLOOKUP(D170,$D$45:$I$68,3,0))</f>
        <v>2001</v>
      </c>
      <c r="G170" s="365" t="str">
        <f t="shared" ref="G170" si="131">IF(ISERROR(VLOOKUP(D170,$D$45:$I$68,4,0))=TRUE," ",VLOOKUP(D170,$D$45:$I$68,4,0))</f>
        <v>TJ ORAVAN NÁMESTOVO</v>
      </c>
      <c r="H170" s="366">
        <f t="shared" ref="H170" si="132">IF(ISERROR(VLOOKUP(D170,$D$45:$I$68,6,0))=TRUE," ",VLOOKUP(D170,$D$45:$I$68,6,0))</f>
        <v>79.099999999999994</v>
      </c>
      <c r="I170" s="473"/>
    </row>
    <row r="171" spans="1:9" s="361" customFormat="1" ht="35.1" customHeight="1">
      <c r="A171" s="361">
        <f>IF(ISERROR(10*C171+1)=TRUE,"",10*C171+1)</f>
        <v>51</v>
      </c>
      <c r="C171" s="472">
        <f t="shared" ref="C171" si="133">IF(ISERROR(RANK(I171,$I$143:$I$190,0))=TRUE,"",RANK(I171,$I$143:$I$190,0))</f>
        <v>5</v>
      </c>
      <c r="D171" s="366">
        <v>6</v>
      </c>
      <c r="E171" s="365" t="str">
        <f>IF(ISERROR(VLOOKUP(D171,$D$8:$J$39,2,0))=TRUE,"",VLOOKUP(D171,$D$8:$J$39,2,0))</f>
        <v>CYPRICH Samuel</v>
      </c>
      <c r="F171" s="365">
        <f>IF(ISERROR(VLOOKUP(D171,$D$8:$I$39,3,0))=TRUE," ",VLOOKUP(D171,$D$8:$I$39,3,0))</f>
        <v>2001</v>
      </c>
      <c r="G171" s="365" t="str">
        <f>IF(ISERROR(VLOOKUP(D171,$D$8:$I$39,4,0))=TRUE," ",VLOOKUP(D171,$D$8:$I$39,4,0))</f>
        <v>MSK ČADCA</v>
      </c>
      <c r="H171" s="366">
        <f>IF(ISERROR(VLOOKUP(D171,$D$8:$I$39,6,0))=TRUE," ",VLOOKUP(D171,$D$8:$I$39,6,0))</f>
        <v>196.82</v>
      </c>
      <c r="I171" s="473">
        <f t="shared" ref="I171" si="134">IF(SUM(H171:H172)=0,"",SUM(H171:H172))</f>
        <v>377.53</v>
      </c>
    </row>
    <row r="172" spans="1:9" s="361" customFormat="1" ht="35.1" customHeight="1">
      <c r="A172" s="361">
        <f>IF(ISERROR(10*C171+2)=TRUE,"",10*C171+2)</f>
        <v>52</v>
      </c>
      <c r="C172" s="472"/>
      <c r="D172" s="366">
        <v>6</v>
      </c>
      <c r="E172" s="365" t="str">
        <f>IF(ISERROR(VLOOKUP(D172,$D$45:$J$68,2,0))=TRUE,"",VLOOKUP(D172,$D$45:$J$68,2,0))</f>
        <v>ŠVAJDLENKOVÁ Laura</v>
      </c>
      <c r="F172" s="365">
        <f t="shared" ref="F172" si="135">IF(ISERROR(VLOOKUP(D172,$D$45:$I$68,3,0))=TRUE," ",VLOOKUP(D172,$D$45:$I$68,3,0))</f>
        <v>2001</v>
      </c>
      <c r="G172" s="365" t="str">
        <f t="shared" ref="G172" si="136">IF(ISERROR(VLOOKUP(D172,$D$45:$I$68,4,0))=TRUE," ",VLOOKUP(D172,$D$45:$I$68,4,0))</f>
        <v>MSK MALACKY</v>
      </c>
      <c r="H172" s="366">
        <f t="shared" ref="H172" si="137">IF(ISERROR(VLOOKUP(D172,$D$45:$I$68,6,0))=TRUE," ",VLOOKUP(D172,$D$45:$I$68,6,0))</f>
        <v>180.71</v>
      </c>
      <c r="I172" s="473"/>
    </row>
    <row r="173" spans="1:9" s="361" customFormat="1" ht="35.1" customHeight="1">
      <c r="A173" s="361">
        <f>IF(ISERROR(10*C173+1)=TRUE,"",10*C173+1)</f>
        <v>61</v>
      </c>
      <c r="C173" s="472">
        <f t="shared" ref="C173" si="138">IF(ISERROR(RANK(I173,$I$143:$I$190,0))=TRUE,"",RANK(I173,$I$143:$I$190,0))</f>
        <v>6</v>
      </c>
      <c r="D173" s="366">
        <v>5</v>
      </c>
      <c r="E173" s="365" t="str">
        <f>IF(ISERROR(VLOOKUP(D173,$D$8:$J$39,2,0))=TRUE,"",VLOOKUP(D173,$D$8:$J$39,2,0))</f>
        <v>PETRÍK Filip</v>
      </c>
      <c r="F173" s="365">
        <f>IF(ISERROR(VLOOKUP(D173,$D$8:$I$39,3,0))=TRUE," ",VLOOKUP(D173,$D$8:$I$39,3,0))</f>
        <v>2001</v>
      </c>
      <c r="G173" s="365" t="str">
        <f>IF(ISERROR(VLOOKUP(D173,$D$8:$I$39,4,0))=TRUE," ",VLOOKUP(D173,$D$8:$I$39,4,0))</f>
        <v>KST PLUS40 TREBIŠOV/ŠKST MICHALOVCE</v>
      </c>
      <c r="H173" s="366">
        <f>IF(ISERROR(VLOOKUP(D173,$D$8:$I$39,6,0))=TRUE," ",VLOOKUP(D173,$D$8:$I$39,6,0))</f>
        <v>202.47</v>
      </c>
      <c r="I173" s="473">
        <f t="shared" ref="I173" si="139">IF(SUM(H173:H174)=0,"",SUM(H173:H174))</f>
        <v>340.93</v>
      </c>
    </row>
    <row r="174" spans="1:9" s="361" customFormat="1" ht="35.1" customHeight="1">
      <c r="A174" s="361">
        <f>IF(ISERROR(10*C173+2)=TRUE,"",10*C173+2)</f>
        <v>62</v>
      </c>
      <c r="C174" s="472"/>
      <c r="D174" s="366">
        <v>10</v>
      </c>
      <c r="E174" s="365" t="str">
        <f>IF(ISERROR(VLOOKUP(D174,$D$45:$J$68,2,0))=TRUE,"",VLOOKUP(D174,$D$45:$J$68,2,0))</f>
        <v>PAPCUNOVÁ Viktória</v>
      </c>
      <c r="F174" s="365">
        <f t="shared" ref="F174" si="140">IF(ISERROR(VLOOKUP(D174,$D$45:$I$68,3,0))=TRUE," ",VLOOKUP(D174,$D$45:$I$68,3,0))</f>
        <v>2001</v>
      </c>
      <c r="G174" s="365" t="str">
        <f t="shared" ref="G174" si="141">IF(ISERROR(VLOOKUP(D174,$D$45:$I$68,4,0))=TRUE," ",VLOOKUP(D174,$D$45:$I$68,4,0))</f>
        <v>ŠSTK JUNIOR ČAŇA</v>
      </c>
      <c r="H174" s="366">
        <f t="shared" ref="H174" si="142">IF(ISERROR(VLOOKUP(D174,$D$45:$I$68,6,0))=TRUE," ",VLOOKUP(D174,$D$45:$I$68,6,0))</f>
        <v>138.46</v>
      </c>
      <c r="I174" s="473"/>
    </row>
    <row r="175" spans="1:9" s="361" customFormat="1" ht="35.1" customHeight="1">
      <c r="A175" s="361">
        <f>IF(ISERROR(10*C175+1)=TRUE,"",10*C175+1)</f>
        <v>41</v>
      </c>
      <c r="C175" s="472">
        <f t="shared" ref="C175" si="143">IF(ISERROR(RANK(I175,$I$143:$I$190,0))=TRUE,"",RANK(I175,$I$143:$I$190,0))</f>
        <v>4</v>
      </c>
      <c r="D175" s="366">
        <v>3</v>
      </c>
      <c r="E175" s="365" t="str">
        <f>IF(ISERROR(VLOOKUP(D175,$D$8:$J$39,2,0))=TRUE,"",VLOOKUP(D175,$D$8:$J$39,2,0))</f>
        <v>FEČO Samuel</v>
      </c>
      <c r="F175" s="365">
        <f>IF(ISERROR(VLOOKUP(D175,$D$8:$I$39,3,0))=TRUE," ",VLOOKUP(D175,$D$8:$I$39,3,0))</f>
        <v>2001</v>
      </c>
      <c r="G175" s="365" t="str">
        <f>IF(ISERROR(VLOOKUP(D175,$D$8:$I$39,4,0))=TRUE," ",VLOOKUP(D175,$D$8:$I$39,4,0))</f>
        <v>MŠK VSTK VRANOV NAD TOPĽOU</v>
      </c>
      <c r="H175" s="366">
        <f>IF(ISERROR(VLOOKUP(D175,$D$8:$I$39,6,0))=TRUE," ",VLOOKUP(D175,$D$8:$I$39,6,0))</f>
        <v>283.54000000000002</v>
      </c>
      <c r="I175" s="473">
        <f t="shared" ref="I175" si="144">IF(SUM(H175:H176)=0,"",SUM(H175:H176))</f>
        <v>491.18</v>
      </c>
    </row>
    <row r="176" spans="1:9" s="361" customFormat="1" ht="35.1" customHeight="1">
      <c r="A176" s="361">
        <f>IF(ISERROR(10*C175+2)=TRUE,"",10*C175+2)</f>
        <v>42</v>
      </c>
      <c r="C176" s="472"/>
      <c r="D176" s="366">
        <v>4</v>
      </c>
      <c r="E176" s="365" t="str">
        <f>IF(ISERROR(VLOOKUP(D176,$D$45:$J$68,2,0))=TRUE,"",VLOOKUP(D176,$D$45:$J$68,2,0))</f>
        <v>DZELINSKA Júlia</v>
      </c>
      <c r="F176" s="365">
        <f t="shared" ref="F176" si="145">IF(ISERROR(VLOOKUP(D176,$D$45:$I$68,3,0))=TRUE," ",VLOOKUP(D176,$D$45:$I$68,3,0))</f>
        <v>2002</v>
      </c>
      <c r="G176" s="365" t="str">
        <f t="shared" ref="G176" si="146">IF(ISERROR(VLOOKUP(D176,$D$45:$I$68,4,0))=TRUE," ",VLOOKUP(D176,$D$45:$I$68,4,0))</f>
        <v>ŠKST MICHALOVCE/STK LOKOMOTÍVA KOŠICE</v>
      </c>
      <c r="H176" s="366">
        <f t="shared" ref="H176" si="147">IF(ISERROR(VLOOKUP(D176,$D$45:$I$68,6,0))=TRUE," ",VLOOKUP(D176,$D$45:$I$68,6,0))</f>
        <v>207.64</v>
      </c>
      <c r="I176" s="473"/>
    </row>
    <row r="177" spans="1:9" s="361" customFormat="1" ht="35.1" customHeight="1">
      <c r="A177" s="361">
        <f>IF(ISERROR(10*C177+1)=TRUE,"",10*C177+1)</f>
        <v>131</v>
      </c>
      <c r="C177" s="472">
        <f t="shared" ref="C177" si="148">IF(ISERROR(RANK(I177,$I$143:$I$190,0))=TRUE,"",RANK(I177,$I$143:$I$190,0))</f>
        <v>13</v>
      </c>
      <c r="D177" s="366">
        <v>24</v>
      </c>
      <c r="E177" s="365" t="str">
        <f>IF(ISERROR(VLOOKUP(D177,$D$8:$J$39,2,0))=TRUE,"",VLOOKUP(D177,$D$8:$J$39,2,0))</f>
        <v>FEČO Michal</v>
      </c>
      <c r="F177" s="365">
        <f>IF(ISERROR(VLOOKUP(D177,$D$8:$I$39,3,0))=TRUE," ",VLOOKUP(D177,$D$8:$I$39,3,0))</f>
        <v>2001</v>
      </c>
      <c r="G177" s="365" t="str">
        <f>IF(ISERROR(VLOOKUP(D177,$D$8:$I$39,4,0))=TRUE," ",VLOOKUP(D177,$D$8:$I$39,4,0))</f>
        <v>MŠK VSTK VRANOV NAD TOPĽOU</v>
      </c>
      <c r="H177" s="366">
        <f>IF(ISERROR(VLOOKUP(D177,$D$8:$I$39,6,0))=TRUE," ",VLOOKUP(D177,$D$8:$I$39,6,0))</f>
        <v>74.64</v>
      </c>
      <c r="I177" s="473">
        <f t="shared" ref="I177" si="149">IF(SUM(H177:H178)=0,"",SUM(H177:H178))</f>
        <v>240.54000000000002</v>
      </c>
    </row>
    <row r="178" spans="1:9" s="361" customFormat="1" ht="35.1" customHeight="1">
      <c r="A178" s="361">
        <f>IF(ISERROR(10*C177+2)=TRUE,"",10*C177+2)</f>
        <v>132</v>
      </c>
      <c r="C178" s="472"/>
      <c r="D178" s="366">
        <v>8</v>
      </c>
      <c r="E178" s="365" t="str">
        <f>IF(ISERROR(VLOOKUP(D178,$D$45:$J$68,2,0))=TRUE,"",VLOOKUP(D178,$D$45:$J$68,2,0))</f>
        <v>TEREZKOVÁ Jana</v>
      </c>
      <c r="F178" s="365">
        <f t="shared" ref="F178" si="150">IF(ISERROR(VLOOKUP(D178,$D$45:$I$68,3,0))=TRUE," ",VLOOKUP(D178,$D$45:$I$68,3,0))</f>
        <v>2002</v>
      </c>
      <c r="G178" s="365" t="str">
        <f t="shared" ref="G178" si="151">IF(ISERROR(VLOOKUP(D178,$D$45:$I$68,4,0))=TRUE," ",VLOOKUP(D178,$D$45:$I$68,4,0))</f>
        <v>ŠKST MICHALOVCE</v>
      </c>
      <c r="H178" s="366">
        <f t="shared" ref="H178" si="152">IF(ISERROR(VLOOKUP(D178,$D$45:$I$68,6,0))=TRUE," ",VLOOKUP(D178,$D$45:$I$68,6,0))</f>
        <v>165.9</v>
      </c>
      <c r="I178" s="473"/>
    </row>
    <row r="179" spans="1:9" s="361" customFormat="1" ht="35.1" customHeight="1">
      <c r="A179" s="361">
        <f>IF(ISERROR(10*C179+1)=TRUE,"",10*C179+1)</f>
        <v>101</v>
      </c>
      <c r="C179" s="472">
        <f t="shared" ref="C179" si="153">IF(ISERROR(RANK(I179,$I$143:$I$190,0))=TRUE,"",RANK(I179,$I$143:$I$190,0))</f>
        <v>10</v>
      </c>
      <c r="D179" s="366">
        <v>14</v>
      </c>
      <c r="E179" s="365" t="str">
        <f>IF(ISERROR(VLOOKUP(D179,$D$8:$J$39,2,0))=TRUE,"",VLOOKUP(D179,$D$8:$J$39,2,0))</f>
        <v>JALOVECKÝ Marek</v>
      </c>
      <c r="F179" s="365">
        <f>IF(ISERROR(VLOOKUP(D179,$D$8:$I$39,3,0))=TRUE," ",VLOOKUP(D179,$D$8:$I$39,3,0))</f>
        <v>2001</v>
      </c>
      <c r="G179" s="365" t="str">
        <f>IF(ISERROR(VLOOKUP(D179,$D$8:$I$39,4,0))=TRUE," ",VLOOKUP(D179,$D$8:$I$39,4,0))</f>
        <v>STK ZŠ NA BIELENISKU PEZINOK</v>
      </c>
      <c r="H179" s="366">
        <f>IF(ISERROR(VLOOKUP(D179,$D$8:$I$39,6,0))=TRUE," ",VLOOKUP(D179,$D$8:$I$39,6,0))</f>
        <v>111.5</v>
      </c>
      <c r="I179" s="473">
        <f t="shared" ref="I179" si="154">IF(SUM(H179:H180)=0,"",SUM(H179:H180))</f>
        <v>268.52999999999997</v>
      </c>
    </row>
    <row r="180" spans="1:9" s="361" customFormat="1" ht="35.1" customHeight="1">
      <c r="A180" s="361">
        <f>IF(ISERROR(10*C179+2)=TRUE,"",10*C179+2)</f>
        <v>102</v>
      </c>
      <c r="C180" s="472"/>
      <c r="D180" s="366">
        <v>9</v>
      </c>
      <c r="E180" s="365" t="str">
        <f>IF(ISERROR(VLOOKUP(D180,$D$45:$J$68,2,0))=TRUE,"",VLOOKUP(D180,$D$45:$J$68,2,0))</f>
        <v>SLOBODNÍKOVÁ Hana</v>
      </c>
      <c r="F180" s="365">
        <f t="shared" ref="F180" si="155">IF(ISERROR(VLOOKUP(D180,$D$45:$I$68,3,0))=TRUE," ",VLOOKUP(D180,$D$45:$I$68,3,0))</f>
        <v>2003</v>
      </c>
      <c r="G180" s="365" t="str">
        <f t="shared" ref="G180" si="156">IF(ISERROR(VLOOKUP(D180,$D$45:$I$68,4,0))=TRUE," ",VLOOKUP(D180,$D$45:$I$68,4,0))</f>
        <v>ŠKST KARLOVA VES</v>
      </c>
      <c r="H180" s="366">
        <f t="shared" ref="H180" si="157">IF(ISERROR(VLOOKUP(D180,$D$45:$I$68,6,0))=TRUE," ",VLOOKUP(D180,$D$45:$I$68,6,0))</f>
        <v>157.03</v>
      </c>
      <c r="I180" s="473"/>
    </row>
    <row r="181" spans="1:9" s="361" customFormat="1" ht="35.1" customHeight="1">
      <c r="A181" s="361">
        <f>IF(ISERROR(10*C181+1)=TRUE,"",10*C181+1)</f>
        <v>171</v>
      </c>
      <c r="C181" s="472">
        <f t="shared" ref="C181" si="158">IF(ISERROR(RANK(I181,$I$143:$I$190,0))=TRUE,"",RANK(I181,$I$143:$I$190,0))</f>
        <v>17</v>
      </c>
      <c r="D181" s="366">
        <v>12</v>
      </c>
      <c r="E181" s="365" t="str">
        <f>IF(ISERROR(VLOOKUP(D181,$D$8:$J$39,2,0))=TRUE,"",VLOOKUP(D181,$D$8:$J$39,2,0))</f>
        <v>IVANČO Félix</v>
      </c>
      <c r="F181" s="365">
        <f>IF(ISERROR(VLOOKUP(D181,$D$8:$I$39,3,0))=TRUE," ",VLOOKUP(D181,$D$8:$I$39,3,0))</f>
        <v>2003</v>
      </c>
      <c r="G181" s="365" t="str">
        <f>IF(ISERROR(VLOOKUP(D181,$D$8:$I$39,4,0))=TRUE," ",VLOOKUP(D181,$D$8:$I$39,4,0))</f>
        <v>MSK MALACKY</v>
      </c>
      <c r="H181" s="366">
        <f>IF(ISERROR(VLOOKUP(D181,$D$8:$I$39,6,0))=TRUE," ",VLOOKUP(D181,$D$8:$I$39,6,0))</f>
        <v>121.26</v>
      </c>
      <c r="I181" s="473">
        <f t="shared" ref="I181" si="159">IF(SUM(H181:H182)=0,"",SUM(H181:H182))</f>
        <v>188.89</v>
      </c>
    </row>
    <row r="182" spans="1:9" s="361" customFormat="1" ht="35.1" customHeight="1">
      <c r="A182" s="361">
        <f>IF(ISERROR(10*C181+2)=TRUE,"",10*C181+2)</f>
        <v>172</v>
      </c>
      <c r="C182" s="472"/>
      <c r="D182" s="366">
        <v>24</v>
      </c>
      <c r="E182" s="365" t="str">
        <f>IF(ISERROR(VLOOKUP(D182,$D$45:$J$68,2,0))=TRUE,"",VLOOKUP(D182,$D$45:$J$68,2,0))</f>
        <v>HURBANOVÁ Isabella</v>
      </c>
      <c r="F182" s="365">
        <f t="shared" ref="F182" si="160">IF(ISERROR(VLOOKUP(D182,$D$45:$I$68,3,0))=TRUE," ",VLOOKUP(D182,$D$45:$I$68,3,0))</f>
        <v>2003</v>
      </c>
      <c r="G182" s="365" t="str">
        <f t="shared" ref="G182" si="161">IF(ISERROR(VLOOKUP(D182,$D$45:$I$68,4,0))=TRUE," ",VLOOKUP(D182,$D$45:$I$68,4,0))</f>
        <v>MSK MALACKY</v>
      </c>
      <c r="H182" s="366">
        <f t="shared" ref="H182" si="162">IF(ISERROR(VLOOKUP(D182,$D$45:$I$68,6,0))=TRUE," ",VLOOKUP(D182,$D$45:$I$68,6,0))</f>
        <v>67.63</v>
      </c>
      <c r="I182" s="473"/>
    </row>
    <row r="183" spans="1:9" s="361" customFormat="1" ht="35.1" customHeight="1">
      <c r="A183" s="361">
        <f>IF(ISERROR(10*C183+1)=TRUE,"",10*C183+1)</f>
        <v>161</v>
      </c>
      <c r="C183" s="472">
        <f t="shared" ref="C183" si="163">IF(ISERROR(RANK(I183,$I$143:$I$190,0))=TRUE,"",RANK(I183,$I$143:$I$190,0))</f>
        <v>16</v>
      </c>
      <c r="D183" s="366">
        <v>17</v>
      </c>
      <c r="E183" s="365" t="str">
        <f>IF(ISERROR(VLOOKUP(D183,$D$8:$J$39,2,0))=TRUE,"",VLOOKUP(D183,$D$8:$J$39,2,0))</f>
        <v>FREUND Andrej</v>
      </c>
      <c r="F183" s="365">
        <f>IF(ISERROR(VLOOKUP(D183,$D$8:$I$39,3,0))=TRUE," ",VLOOKUP(D183,$D$8:$I$39,3,0))</f>
        <v>2002</v>
      </c>
      <c r="G183" s="365" t="str">
        <f>IF(ISERROR(VLOOKUP(D183,$D$8:$I$39,4,0))=TRUE," ",VLOOKUP(D183,$D$8:$I$39,4,0))</f>
        <v>MSK MALACKY</v>
      </c>
      <c r="H183" s="366">
        <f>IF(ISERROR(VLOOKUP(D183,$D$8:$I$39,6,0))=TRUE," ",VLOOKUP(D183,$D$8:$I$39,6,0))</f>
        <v>101.2</v>
      </c>
      <c r="I183" s="473">
        <f t="shared" ref="I183" si="164">IF(SUM(H183:H184)=0,"",SUM(H183:H184))</f>
        <v>189.04000000000002</v>
      </c>
    </row>
    <row r="184" spans="1:9" s="361" customFormat="1" ht="35.1" customHeight="1">
      <c r="A184" s="361">
        <f>IF(ISERROR(10*C183+2)=TRUE,"",10*C183+2)</f>
        <v>162</v>
      </c>
      <c r="C184" s="472"/>
      <c r="D184" s="366">
        <v>17</v>
      </c>
      <c r="E184" s="365" t="str">
        <f>IF(ISERROR(VLOOKUP(D184,$D$45:$J$68,2,0))=TRUE,"",VLOOKUP(D184,$D$45:$J$68,2,0))</f>
        <v>LEDAJOVÁ Martina</v>
      </c>
      <c r="F184" s="365">
        <f t="shared" ref="F184" si="165">IF(ISERROR(VLOOKUP(D184,$D$45:$I$68,3,0))=TRUE," ",VLOOKUP(D184,$D$45:$I$68,3,0))</f>
        <v>2001</v>
      </c>
      <c r="G184" s="365" t="str">
        <f t="shared" ref="G184" si="166">IF(ISERROR(VLOOKUP(D184,$D$45:$I$68,4,0))=TRUE," ",VLOOKUP(D184,$D$45:$I$68,4,0))</f>
        <v>STK OROL OTRHÁNKY</v>
      </c>
      <c r="H184" s="366">
        <f t="shared" ref="H184" si="167">IF(ISERROR(VLOOKUP(D184,$D$45:$I$68,6,0))=TRUE," ",VLOOKUP(D184,$D$45:$I$68,6,0))</f>
        <v>87.84</v>
      </c>
      <c r="I184" s="473"/>
    </row>
    <row r="185" spans="1:9" s="361" customFormat="1" ht="35.1" customHeight="1">
      <c r="A185" s="361">
        <f>IF(ISERROR(10*C185+1)=TRUE,"",10*C185+1)</f>
        <v>211</v>
      </c>
      <c r="C185" s="472">
        <f t="shared" ref="C185" si="168">IF(ISERROR(RANK(I185,$I$143:$I$190,0))=TRUE,"",RANK(I185,$I$143:$I$190,0))</f>
        <v>21</v>
      </c>
      <c r="D185" s="366">
        <v>22</v>
      </c>
      <c r="E185" s="365" t="str">
        <f>IF(ISERROR(VLOOKUP(D185,$D$8:$J$39,2,0))=TRUE,"",VLOOKUP(D185,$D$8:$J$39,2,0))</f>
        <v>MIKLUŠČÁK Benjamín</v>
      </c>
      <c r="F185" s="365">
        <f>IF(ISERROR(VLOOKUP(D185,$D$8:$I$39,3,0))=TRUE," ",VLOOKUP(D185,$D$8:$I$39,3,0))</f>
        <v>2002</v>
      </c>
      <c r="G185" s="365" t="str">
        <f>IF(ISERROR(VLOOKUP(D185,$D$8:$I$39,4,0))=TRUE," ",VLOOKUP(D185,$D$8:$I$39,4,0))</f>
        <v>ŠKST KARLOVA VES</v>
      </c>
      <c r="H185" s="366">
        <f>IF(ISERROR(VLOOKUP(D185,$D$8:$I$39,6,0))=TRUE," ",VLOOKUP(D185,$D$8:$I$39,6,0))</f>
        <v>89</v>
      </c>
      <c r="I185" s="473">
        <f t="shared" ref="I185" si="169">IF(SUM(H185:H186)=0,"",SUM(H185:H186))</f>
        <v>165.44</v>
      </c>
    </row>
    <row r="186" spans="1:9" s="361" customFormat="1" ht="35.1" customHeight="1">
      <c r="A186" s="361">
        <f>IF(ISERROR(10*C185+2)=TRUE,"",10*C185+2)</f>
        <v>212</v>
      </c>
      <c r="C186" s="472"/>
      <c r="D186" s="366">
        <v>20</v>
      </c>
      <c r="E186" s="365" t="str">
        <f>IF(ISERROR(VLOOKUP(D186,$D$45:$J$68,2,0))=TRUE,"",VLOOKUP(D186,$D$45:$J$68,2,0))</f>
        <v>LACENOVÁ Renáta</v>
      </c>
      <c r="F186" s="365">
        <f t="shared" ref="F186" si="170">IF(ISERROR(VLOOKUP(D186,$D$45:$I$68,3,0))=TRUE," ",VLOOKUP(D186,$D$45:$I$68,3,0))</f>
        <v>2003</v>
      </c>
      <c r="G186" s="365" t="str">
        <f t="shared" ref="G186" si="171">IF(ISERROR(VLOOKUP(D186,$D$45:$I$68,4,0))=TRUE," ",VLOOKUP(D186,$D$45:$I$68,4,0))</f>
        <v>ŠKST TOPOĽČANY</v>
      </c>
      <c r="H186" s="366">
        <f t="shared" ref="H186" si="172">IF(ISERROR(VLOOKUP(D186,$D$45:$I$68,6,0))=TRUE," ",VLOOKUP(D186,$D$45:$I$68,6,0))</f>
        <v>76.44</v>
      </c>
      <c r="I186" s="473"/>
    </row>
    <row r="187" spans="1:9" s="361" customFormat="1" ht="35.1" customHeight="1">
      <c r="A187" s="361">
        <f>IF(ISERROR(10*C187+1)=TRUE,"",10*C187+1)</f>
        <v>91</v>
      </c>
      <c r="C187" s="472">
        <f t="shared" ref="C187" si="173">IF(ISERROR(RANK(I187,$I$143:$I$190,0))=TRUE,"",RANK(I187,$I$143:$I$190,0))</f>
        <v>9</v>
      </c>
      <c r="D187" s="366">
        <v>7</v>
      </c>
      <c r="E187" s="365" t="str">
        <f>IF(ISERROR(VLOOKUP(D187,$D$8:$J$39,2,0))=TRUE,"",VLOOKUP(D187,$D$8:$J$39,2,0))</f>
        <v>TUREK Teodor</v>
      </c>
      <c r="F187" s="365">
        <f>IF(ISERROR(VLOOKUP(D187,$D$8:$I$39,3,0))=TRUE," ",VLOOKUP(D187,$D$8:$I$39,3,0))</f>
        <v>2001</v>
      </c>
      <c r="G187" s="365" t="str">
        <f>IF(ISERROR(VLOOKUP(D187,$D$8:$I$39,4,0))=TRUE," ",VLOOKUP(D187,$D$8:$I$39,4,0))</f>
        <v>ŠK ŠOG NITRA</v>
      </c>
      <c r="H187" s="366">
        <f>IF(ISERROR(VLOOKUP(D187,$D$8:$I$39,6,0))=TRUE," ",VLOOKUP(D187,$D$8:$I$39,6,0))</f>
        <v>176.05</v>
      </c>
      <c r="I187" s="473">
        <f t="shared" ref="I187" si="174">IF(SUM(H187:H188)=0,"",SUM(H187:H188))</f>
        <v>274.8</v>
      </c>
    </row>
    <row r="188" spans="1:9" s="361" customFormat="1" ht="35.1" customHeight="1">
      <c r="A188" s="361">
        <f>IF(ISERROR(10*C187+2)=TRUE,"",10*C187+2)</f>
        <v>92</v>
      </c>
      <c r="C188" s="472"/>
      <c r="D188" s="366">
        <v>14</v>
      </c>
      <c r="E188" s="365" t="str">
        <f>IF(ISERROR(VLOOKUP(D188,$D$45:$J$68,2,0))=TRUE,"",VLOOKUP(D188,$D$45:$J$68,2,0))</f>
        <v>DZUROVÁ Lenka</v>
      </c>
      <c r="F188" s="365">
        <f t="shared" ref="F188" si="175">IF(ISERROR(VLOOKUP(D188,$D$45:$I$68,3,0))=TRUE," ",VLOOKUP(D188,$D$45:$I$68,3,0))</f>
        <v>2002</v>
      </c>
      <c r="G188" s="365" t="str">
        <f t="shared" ref="G188" si="176">IF(ISERROR(VLOOKUP(D188,$D$45:$I$68,4,0))=TRUE," ",VLOOKUP(D188,$D$45:$I$68,4,0))</f>
        <v>STK STARÁ TURÁ</v>
      </c>
      <c r="H188" s="366">
        <f t="shared" ref="H188" si="177">IF(ISERROR(VLOOKUP(D188,$D$45:$I$68,6,0))=TRUE," ",VLOOKUP(D188,$D$45:$I$68,6,0))</f>
        <v>98.75</v>
      </c>
      <c r="I188" s="473"/>
    </row>
    <row r="189" spans="1:9" s="361" customFormat="1" ht="35.1" customHeight="1">
      <c r="A189" s="361">
        <f>IF(ISERROR(10*C189+1)=TRUE,"",10*C189+1)</f>
        <v>111</v>
      </c>
      <c r="C189" s="472">
        <f t="shared" ref="C189" si="178">IF(ISERROR(RANK(I189,$I$143:$I$190,0))=TRUE,"",RANK(I189,$I$143:$I$190,0))</f>
        <v>11</v>
      </c>
      <c r="D189" s="366">
        <v>8</v>
      </c>
      <c r="E189" s="365" t="str">
        <f>IF(ISERROR(VLOOKUP(D189,$D$8:$J$39,2,0))=TRUE,"",VLOOKUP(D189,$D$8:$J$39,2,0))</f>
        <v>PAPÁNEK Martin</v>
      </c>
      <c r="F189" s="365">
        <f>IF(ISERROR(VLOOKUP(D189,$D$8:$I$39,3,0))=TRUE," ",VLOOKUP(D189,$D$8:$I$39,3,0))</f>
        <v>2001</v>
      </c>
      <c r="G189" s="365" t="str">
        <f>IF(ISERROR(VLOOKUP(D189,$D$8:$I$39,4,0))=TRUE," ",VLOOKUP(D189,$D$8:$I$39,4,0))</f>
        <v>STK NOVÁ BAŇA/PODLUŽANY</v>
      </c>
      <c r="H189" s="366">
        <f>IF(ISERROR(VLOOKUP(D189,$D$8:$I$39,6,0))=TRUE," ",VLOOKUP(D189,$D$8:$I$39,6,0))</f>
        <v>154.6</v>
      </c>
      <c r="I189" s="473">
        <f t="shared" ref="I189" si="179">IF(SUM(H189:H190)=0,"",SUM(H189:H190))</f>
        <v>268.25</v>
      </c>
    </row>
    <row r="190" spans="1:9" s="361" customFormat="1" ht="35.1" customHeight="1">
      <c r="A190" s="361">
        <f>IF(ISERROR(10*C189+2)=TRUE,"",10*C189+2)</f>
        <v>112</v>
      </c>
      <c r="C190" s="472"/>
      <c r="D190" s="366">
        <v>13</v>
      </c>
      <c r="E190" s="365" t="str">
        <f>IF(ISERROR(VLOOKUP(D190,$D$45:$J$68,2,0))=TRUE,"",VLOOKUP(D190,$D$45:$J$68,2,0))</f>
        <v>MIKULOVÁ Terézia</v>
      </c>
      <c r="F190" s="365">
        <f t="shared" ref="F190" si="180">IF(ISERROR(VLOOKUP(D190,$D$45:$I$68,3,0))=TRUE," ",VLOOKUP(D190,$D$45:$I$68,3,0))</f>
        <v>2001</v>
      </c>
      <c r="G190" s="365" t="str">
        <f t="shared" ref="G190" si="181">IF(ISERROR(VLOOKUP(D190,$D$45:$I$68,4,0))=TRUE," ",VLOOKUP(D190,$D$45:$I$68,4,0))</f>
        <v>KST DRIVE TR. JASTRABIE</v>
      </c>
      <c r="H190" s="366">
        <f t="shared" ref="H190" si="182">IF(ISERROR(VLOOKUP(D190,$D$45:$I$68,6,0))=TRUE," ",VLOOKUP(D190,$D$45:$I$68,6,0))</f>
        <v>113.65</v>
      </c>
      <c r="I190" s="473"/>
    </row>
  </sheetData>
  <mergeCells count="105">
    <mergeCell ref="C1:I1"/>
    <mergeCell ref="C81:C82"/>
    <mergeCell ref="I81:I82"/>
    <mergeCell ref="C83:C84"/>
    <mergeCell ref="I83:I84"/>
    <mergeCell ref="C77:C78"/>
    <mergeCell ref="I77:I78"/>
    <mergeCell ref="C79:C80"/>
    <mergeCell ref="I79:I80"/>
    <mergeCell ref="C75:C76"/>
    <mergeCell ref="I75:I76"/>
    <mergeCell ref="C93:C94"/>
    <mergeCell ref="I93:I94"/>
    <mergeCell ref="C95:C96"/>
    <mergeCell ref="I95:I96"/>
    <mergeCell ref="C89:C90"/>
    <mergeCell ref="I89:I90"/>
    <mergeCell ref="C91:C92"/>
    <mergeCell ref="I91:I92"/>
    <mergeCell ref="C85:C86"/>
    <mergeCell ref="I85:I86"/>
    <mergeCell ref="C87:C88"/>
    <mergeCell ref="I87:I88"/>
    <mergeCell ref="C105:C106"/>
    <mergeCell ref="I105:I106"/>
    <mergeCell ref="C113:C114"/>
    <mergeCell ref="I113:I114"/>
    <mergeCell ref="C101:C102"/>
    <mergeCell ref="I101:I102"/>
    <mergeCell ref="C103:C104"/>
    <mergeCell ref="I103:I104"/>
    <mergeCell ref="C97:C98"/>
    <mergeCell ref="I97:I98"/>
    <mergeCell ref="C99:C100"/>
    <mergeCell ref="I99:I100"/>
    <mergeCell ref="C123:C124"/>
    <mergeCell ref="I123:I124"/>
    <mergeCell ref="C125:C126"/>
    <mergeCell ref="I125:I126"/>
    <mergeCell ref="C119:C120"/>
    <mergeCell ref="I119:I120"/>
    <mergeCell ref="C121:C122"/>
    <mergeCell ref="I121:I122"/>
    <mergeCell ref="C115:C116"/>
    <mergeCell ref="I115:I116"/>
    <mergeCell ref="C117:C118"/>
    <mergeCell ref="I117:I118"/>
    <mergeCell ref="C135:C136"/>
    <mergeCell ref="I135:I136"/>
    <mergeCell ref="C143:C144"/>
    <mergeCell ref="I143:I144"/>
    <mergeCell ref="C131:C132"/>
    <mergeCell ref="I131:I132"/>
    <mergeCell ref="C133:C134"/>
    <mergeCell ref="I133:I134"/>
    <mergeCell ref="C127:C128"/>
    <mergeCell ref="I127:I128"/>
    <mergeCell ref="C129:C130"/>
    <mergeCell ref="I129:I130"/>
    <mergeCell ref="C153:C154"/>
    <mergeCell ref="I153:I154"/>
    <mergeCell ref="C155:C156"/>
    <mergeCell ref="I155:I156"/>
    <mergeCell ref="C149:C150"/>
    <mergeCell ref="I149:I150"/>
    <mergeCell ref="C151:C152"/>
    <mergeCell ref="I151:I152"/>
    <mergeCell ref="C145:C146"/>
    <mergeCell ref="I145:I146"/>
    <mergeCell ref="C147:C148"/>
    <mergeCell ref="I147:I148"/>
    <mergeCell ref="C165:C166"/>
    <mergeCell ref="I165:I166"/>
    <mergeCell ref="C167:C168"/>
    <mergeCell ref="I167:I168"/>
    <mergeCell ref="C161:C162"/>
    <mergeCell ref="I161:I162"/>
    <mergeCell ref="C163:C164"/>
    <mergeCell ref="I163:I164"/>
    <mergeCell ref="C157:C158"/>
    <mergeCell ref="I157:I158"/>
    <mergeCell ref="C159:C160"/>
    <mergeCell ref="I159:I160"/>
    <mergeCell ref="C177:C178"/>
    <mergeCell ref="I177:I178"/>
    <mergeCell ref="C179:C180"/>
    <mergeCell ref="I179:I180"/>
    <mergeCell ref="C173:C174"/>
    <mergeCell ref="I173:I174"/>
    <mergeCell ref="C175:C176"/>
    <mergeCell ref="I175:I176"/>
    <mergeCell ref="C169:C170"/>
    <mergeCell ref="I169:I170"/>
    <mergeCell ref="C171:C172"/>
    <mergeCell ref="I171:I172"/>
    <mergeCell ref="C189:C190"/>
    <mergeCell ref="I189:I190"/>
    <mergeCell ref="C185:C186"/>
    <mergeCell ref="I185:I186"/>
    <mergeCell ref="C187:C188"/>
    <mergeCell ref="I187:I188"/>
    <mergeCell ref="C181:C182"/>
    <mergeCell ref="I181:I182"/>
    <mergeCell ref="C183:C184"/>
    <mergeCell ref="I183:I184"/>
  </mergeCells>
  <conditionalFormatting sqref="C75:C106">
    <cfRule type="duplicateValues" dxfId="44" priority="5"/>
  </conditionalFormatting>
  <conditionalFormatting sqref="C113:C136">
    <cfRule type="duplicateValues" dxfId="43" priority="4"/>
  </conditionalFormatting>
  <conditionalFormatting sqref="C143:C190">
    <cfRule type="duplicateValues" dxfId="42" priority="3"/>
  </conditionalFormatting>
  <conditionalFormatting sqref="C8:C39">
    <cfRule type="duplicateValues" dxfId="41" priority="2"/>
  </conditionalFormatting>
  <conditionalFormatting sqref="C45:C68">
    <cfRule type="duplicateValues" dxfId="40" priority="1"/>
  </conditionalFormatting>
  <pageMargins left="0.5" right="0.42" top="0.51" bottom="0.35" header="0.3" footer="0.17"/>
  <pageSetup paperSize="9" scale="43" orientation="portrait" horizontalDpi="300" verticalDpi="300" r:id="rId1"/>
  <rowBreaks count="4" manualBreakCount="4">
    <brk id="40" min="2" max="8" man="1"/>
    <brk id="69" min="2" max="8" man="1"/>
    <brk id="108" min="2" max="8" man="1"/>
    <brk id="137" min="2" max="8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dimension ref="A1:Q191"/>
  <sheetViews>
    <sheetView showGridLines="0" view="pageBreakPreview" topLeftCell="A109" zoomScale="60" workbookViewId="0">
      <selection activeCell="D121" sqref="D121:D122"/>
    </sheetView>
  </sheetViews>
  <sheetFormatPr defaultRowHeight="18.75"/>
  <cols>
    <col min="1" max="1" width="9.140625" style="15"/>
    <col min="2" max="2" width="9.140625" style="4"/>
    <col min="3" max="3" width="20.42578125" style="5" customWidth="1"/>
    <col min="4" max="4" width="18.42578125" style="5" customWidth="1"/>
    <col min="5" max="5" width="12.85546875" style="5" customWidth="1"/>
    <col min="6" max="6" width="45.85546875" style="4" customWidth="1"/>
    <col min="7" max="7" width="16.140625" style="5" customWidth="1"/>
    <col min="8" max="8" width="45.5703125" style="4" customWidth="1"/>
    <col min="9" max="9" width="15.28515625" style="5" customWidth="1"/>
    <col min="10" max="10" width="25.7109375" style="5" customWidth="1"/>
    <col min="11" max="11" width="6.42578125" style="4" customWidth="1"/>
    <col min="12" max="12" width="9.140625" style="33"/>
    <col min="13" max="13" width="9.140625" style="4"/>
    <col min="14" max="14" width="41.85546875" style="4" customWidth="1"/>
    <col min="15" max="15" width="14" style="4" customWidth="1"/>
    <col min="16" max="16" width="41.85546875" style="4" customWidth="1"/>
    <col min="17" max="17" width="22.7109375" customWidth="1"/>
    <col min="18" max="16384" width="9.140625" style="4"/>
  </cols>
  <sheetData>
    <row r="1" spans="1:17" ht="46.5">
      <c r="A1" s="4"/>
      <c r="C1" s="476" t="str">
        <f>'startova listina'!C1</f>
        <v>Majstrovstvá Slovenska jednotlivcov</v>
      </c>
      <c r="D1" s="476"/>
      <c r="E1" s="476"/>
      <c r="F1" s="476"/>
      <c r="G1" s="476"/>
      <c r="H1" s="476"/>
      <c r="I1" s="476"/>
      <c r="J1" s="358"/>
      <c r="L1" s="4"/>
      <c r="Q1" s="4"/>
    </row>
    <row r="2" spans="1:17" ht="31.5">
      <c r="A2" s="4"/>
      <c r="C2" s="4"/>
      <c r="D2" s="4"/>
      <c r="F2" s="363" t="str">
        <f>'startova listina'!F2</f>
        <v>Valaliky, 7. - 8. 6. 2014</v>
      </c>
      <c r="G2" s="4"/>
      <c r="L2" s="4"/>
      <c r="Q2" s="4"/>
    </row>
    <row r="3" spans="1:17" ht="36">
      <c r="A3" s="4"/>
      <c r="C3" s="362" t="s">
        <v>1</v>
      </c>
      <c r="D3" s="363" t="str">
        <f>'startova listina'!D3</f>
        <v>Mladší žiaci</v>
      </c>
      <c r="F3" s="299"/>
      <c r="G3" s="368" t="s">
        <v>517</v>
      </c>
      <c r="I3" s="368"/>
      <c r="J3" s="368">
        <f>'startova listina'!I3</f>
        <v>2014</v>
      </c>
      <c r="L3" s="4"/>
      <c r="Q3" s="4"/>
    </row>
    <row r="4" spans="1:17">
      <c r="A4" s="4"/>
      <c r="C4" s="4"/>
      <c r="D4" s="4"/>
      <c r="F4" s="5"/>
      <c r="G4" s="4"/>
      <c r="L4" s="4"/>
      <c r="Q4" s="4"/>
    </row>
    <row r="5" spans="1:17" ht="31.5">
      <c r="G5" s="368" t="s">
        <v>49</v>
      </c>
    </row>
    <row r="6" spans="1:17" s="379" customFormat="1" ht="23.25">
      <c r="A6" s="378" t="s">
        <v>11</v>
      </c>
      <c r="C6" s="380"/>
      <c r="D6" s="482" t="s">
        <v>8</v>
      </c>
      <c r="E6" s="482"/>
      <c r="F6" s="381"/>
      <c r="G6" s="380"/>
      <c r="H6" s="381"/>
      <c r="I6" s="380"/>
      <c r="J6" s="380"/>
      <c r="L6" s="378" t="s">
        <v>11</v>
      </c>
      <c r="Q6" s="378"/>
    </row>
    <row r="7" spans="1:17" s="379" customFormat="1" ht="23.25">
      <c r="A7" s="378" t="s">
        <v>68</v>
      </c>
      <c r="C7" s="382" t="s">
        <v>2</v>
      </c>
      <c r="D7" s="382" t="s">
        <v>9</v>
      </c>
      <c r="E7" s="382" t="s">
        <v>10</v>
      </c>
      <c r="F7" s="383" t="s">
        <v>3</v>
      </c>
      <c r="G7" s="382" t="s">
        <v>4</v>
      </c>
      <c r="H7" s="383" t="s">
        <v>5</v>
      </c>
      <c r="I7" s="382" t="s">
        <v>6</v>
      </c>
      <c r="J7" s="382" t="s">
        <v>7</v>
      </c>
      <c r="L7" s="378" t="s">
        <v>68</v>
      </c>
      <c r="Q7" s="378"/>
    </row>
    <row r="8" spans="1:17" s="375" customFormat="1" ht="35.1" customHeight="1">
      <c r="A8" s="374" t="str">
        <f>CONCATENATE("CH",D8,E8)</f>
        <v>CH11</v>
      </c>
      <c r="C8" s="376">
        <v>1</v>
      </c>
      <c r="D8" s="376">
        <v>1</v>
      </c>
      <c r="E8" s="376">
        <v>1</v>
      </c>
      <c r="F8" s="377" t="str">
        <f>IF(ISERROR(VLOOKUP(C8,'startova listina'!$C$8:$I$39,3,0))=TRUE," ",VLOOKUP(C8,'startova listina'!$C$8:$I$39,3,0))</f>
        <v>DIKO Dalibor</v>
      </c>
      <c r="G8" s="376">
        <f>IF(ISERROR(VLOOKUP(C8,'startova listina'!$C$8:$I$39,4,0))=TRUE," ",VLOOKUP(C8,'startova listina'!$C$8:$I$39,4,0))</f>
        <v>2002</v>
      </c>
      <c r="H8" s="377" t="str">
        <f>IF(ISERROR(VLOOKUP(C8,'startova listina'!$C$8:$I$39,5,0))=TRUE," ",VLOOKUP(C8,'startova listina'!$C$8:$I$39,5,0))</f>
        <v>TJ ORAVAN NÁMESTOVO</v>
      </c>
      <c r="I8" s="376">
        <f>IF(ISERROR(VLOOKUP(C8,'startova listina'!$C$8:$I$39,6,0))=TRUE," ",VLOOKUP(C8,'startova listina'!$C$8:$I$39,6,0))</f>
        <v>1</v>
      </c>
      <c r="J8" s="376">
        <f>IF(ISERROR(VLOOKUP(C8,'startova listina'!$C$8:$I$39,7,0))=TRUE," ",VLOOKUP(C8,'startova listina'!$C$8:$I$39,7,0))</f>
        <v>398.3</v>
      </c>
      <c r="L8" s="374" t="str">
        <f>A8</f>
        <v>CH11</v>
      </c>
      <c r="Q8" s="374"/>
    </row>
    <row r="9" spans="1:17" s="375" customFormat="1" ht="35.1" customHeight="1">
      <c r="A9" s="374" t="str">
        <f t="shared" ref="A9:A39" si="0">CONCATENATE("CH",D9,E9)</f>
        <v>CH21</v>
      </c>
      <c r="C9" s="376">
        <v>2</v>
      </c>
      <c r="D9" s="376">
        <v>2</v>
      </c>
      <c r="E9" s="376">
        <v>1</v>
      </c>
      <c r="F9" s="377" t="str">
        <f>IF(ISERROR(VLOOKUP(C9,'startova listina'!$C$8:$I$39,3,0))=TRUE," ",VLOOKUP(C9,'startova listina'!$C$8:$I$39,3,0))</f>
        <v>KYSEL Martin</v>
      </c>
      <c r="G9" s="376">
        <f>IF(ISERROR(VLOOKUP(C9,'startova listina'!$C$8:$I$39,4,0))=TRUE," ",VLOOKUP(C9,'startova listina'!$C$8:$I$39,4,0))</f>
        <v>2001</v>
      </c>
      <c r="H9" s="377" t="str">
        <f>IF(ISERROR(VLOOKUP(C9,'startova listina'!$C$8:$I$39,5,0))=TRUE," ",VLOOKUP(C9,'startova listina'!$C$8:$I$39,5,0))</f>
        <v>MSTK TVRDOŠÍN</v>
      </c>
      <c r="I9" s="376">
        <f>IF(ISERROR(VLOOKUP(C9,'startova listina'!$C$8:$I$39,6,0))=TRUE," ",VLOOKUP(C9,'startova listina'!$C$8:$I$39,6,0))</f>
        <v>2</v>
      </c>
      <c r="J9" s="376">
        <f>IF(ISERROR(VLOOKUP(C9,'startova listina'!$C$8:$I$39,7,0))=TRUE," ",VLOOKUP(C9,'startova listina'!$C$8:$I$39,7,0))</f>
        <v>285.69</v>
      </c>
      <c r="L9" s="374" t="str">
        <f t="shared" ref="L9:L68" si="1">A9</f>
        <v>CH21</v>
      </c>
      <c r="Q9" s="374"/>
    </row>
    <row r="10" spans="1:17" s="375" customFormat="1" ht="35.1" customHeight="1">
      <c r="A10" s="374" t="str">
        <f t="shared" si="0"/>
        <v>CH31</v>
      </c>
      <c r="C10" s="376">
        <v>3</v>
      </c>
      <c r="D10" s="376">
        <v>3</v>
      </c>
      <c r="E10" s="376">
        <v>1</v>
      </c>
      <c r="F10" s="377" t="str">
        <f>IF(ISERROR(VLOOKUP(C10,'startova listina'!$C$8:$I$39,3,0))=TRUE," ",VLOOKUP(C10,'startova listina'!$C$8:$I$39,3,0))</f>
        <v>FEČO Samuel</v>
      </c>
      <c r="G10" s="376">
        <f>IF(ISERROR(VLOOKUP(C10,'startova listina'!$C$8:$I$39,4,0))=TRUE," ",VLOOKUP(C10,'startova listina'!$C$8:$I$39,4,0))</f>
        <v>2001</v>
      </c>
      <c r="H10" s="377" t="str">
        <f>IF(ISERROR(VLOOKUP(C10,'startova listina'!$C$8:$I$39,5,0))=TRUE," ",VLOOKUP(C10,'startova listina'!$C$8:$I$39,5,0))</f>
        <v>MŠK VSTK VRANOV NAD TOPĽOU</v>
      </c>
      <c r="I10" s="376">
        <f>IF(ISERROR(VLOOKUP(C10,'startova listina'!$C$8:$I$39,6,0))=TRUE," ",VLOOKUP(C10,'startova listina'!$C$8:$I$39,6,0))</f>
        <v>3</v>
      </c>
      <c r="J10" s="376">
        <f>IF(ISERROR(VLOOKUP(C10,'startova listina'!$C$8:$I$39,7,0))=TRUE," ",VLOOKUP(C10,'startova listina'!$C$8:$I$39,7,0))</f>
        <v>283.54000000000002</v>
      </c>
      <c r="L10" s="374" t="str">
        <f t="shared" si="1"/>
        <v>CH31</v>
      </c>
      <c r="Q10" s="374"/>
    </row>
    <row r="11" spans="1:17" s="375" customFormat="1" ht="35.1" customHeight="1">
      <c r="A11" s="374" t="str">
        <f t="shared" si="0"/>
        <v>CH41</v>
      </c>
      <c r="C11" s="376">
        <v>4</v>
      </c>
      <c r="D11" s="376">
        <v>4</v>
      </c>
      <c r="E11" s="376">
        <v>1</v>
      </c>
      <c r="F11" s="377" t="str">
        <f>IF(ISERROR(VLOOKUP(C11,'startova listina'!$C$8:$I$39,3,0))=TRUE," ",VLOOKUP(C11,'startova listina'!$C$8:$I$39,3,0))</f>
        <v>PINDURA Tobiáš</v>
      </c>
      <c r="G11" s="376">
        <f>IF(ISERROR(VLOOKUP(C11,'startova listina'!$C$8:$I$39,4,0))=TRUE," ",VLOOKUP(C11,'startova listina'!$C$8:$I$39,4,0))</f>
        <v>2001</v>
      </c>
      <c r="H11" s="377" t="str">
        <f>IF(ISERROR(VLOOKUP(C11,'startova listina'!$C$8:$I$39,5,0))=TRUE," ",VLOOKUP(C11,'startova listina'!$C$8:$I$39,5,0))</f>
        <v>ŠKST RUŽOMBEROK</v>
      </c>
      <c r="I11" s="376">
        <f>IF(ISERROR(VLOOKUP(C11,'startova listina'!$C$8:$I$39,6,0))=TRUE," ",VLOOKUP(C11,'startova listina'!$C$8:$I$39,6,0))</f>
        <v>4</v>
      </c>
      <c r="J11" s="376">
        <f>IF(ISERROR(VLOOKUP(C11,'startova listina'!$C$8:$I$39,7,0))=TRUE," ",VLOOKUP(C11,'startova listina'!$C$8:$I$39,7,0))</f>
        <v>244</v>
      </c>
      <c r="L11" s="374" t="str">
        <f t="shared" si="1"/>
        <v>CH41</v>
      </c>
      <c r="Q11" s="374"/>
    </row>
    <row r="12" spans="1:17" s="375" customFormat="1" ht="35.1" customHeight="1">
      <c r="A12" s="374" t="str">
        <f t="shared" si="0"/>
        <v>CH51</v>
      </c>
      <c r="C12" s="376">
        <v>5</v>
      </c>
      <c r="D12" s="376">
        <v>5</v>
      </c>
      <c r="E12" s="376">
        <v>1</v>
      </c>
      <c r="F12" s="377" t="str">
        <f>IF(ISERROR(VLOOKUP(C12,'startova listina'!$C$8:$I$39,3,0))=TRUE," ",VLOOKUP(C12,'startova listina'!$C$8:$I$39,3,0))</f>
        <v>PETRÍK Filip</v>
      </c>
      <c r="G12" s="376">
        <f>IF(ISERROR(VLOOKUP(C12,'startova listina'!$C$8:$I$39,4,0))=TRUE," ",VLOOKUP(C12,'startova listina'!$C$8:$I$39,4,0))</f>
        <v>2001</v>
      </c>
      <c r="H12" s="377" t="str">
        <f>IF(ISERROR(VLOOKUP(C12,'startova listina'!$C$8:$I$39,5,0))=TRUE," ",VLOOKUP(C12,'startova listina'!$C$8:$I$39,5,0))</f>
        <v>KST PLUS40 TREBIŠOV/ŠKST MICHALOVCE</v>
      </c>
      <c r="I12" s="376">
        <f>IF(ISERROR(VLOOKUP(C12,'startova listina'!$C$8:$I$39,6,0))=TRUE," ",VLOOKUP(C12,'startova listina'!$C$8:$I$39,6,0))</f>
        <v>5</v>
      </c>
      <c r="J12" s="376">
        <f>IF(ISERROR(VLOOKUP(C12,'startova listina'!$C$8:$I$39,7,0))=TRUE," ",VLOOKUP(C12,'startova listina'!$C$8:$I$39,7,0))</f>
        <v>202.47</v>
      </c>
      <c r="L12" s="374" t="str">
        <f t="shared" si="1"/>
        <v>CH51</v>
      </c>
      <c r="Q12" s="374"/>
    </row>
    <row r="13" spans="1:17" s="375" customFormat="1" ht="35.1" customHeight="1">
      <c r="A13" s="374" t="str">
        <f t="shared" si="0"/>
        <v>CH61</v>
      </c>
      <c r="C13" s="376">
        <v>6</v>
      </c>
      <c r="D13" s="376">
        <v>6</v>
      </c>
      <c r="E13" s="376">
        <v>1</v>
      </c>
      <c r="F13" s="377" t="str">
        <f>IF(ISERROR(VLOOKUP(C13,'startova listina'!$C$8:$I$39,3,0))=TRUE," ",VLOOKUP(C13,'startova listina'!$C$8:$I$39,3,0))</f>
        <v>CYPRICH Samuel</v>
      </c>
      <c r="G13" s="376">
        <f>IF(ISERROR(VLOOKUP(C13,'startova listina'!$C$8:$I$39,4,0))=TRUE," ",VLOOKUP(C13,'startova listina'!$C$8:$I$39,4,0))</f>
        <v>2001</v>
      </c>
      <c r="H13" s="377" t="str">
        <f>IF(ISERROR(VLOOKUP(C13,'startova listina'!$C$8:$I$39,5,0))=TRUE," ",VLOOKUP(C13,'startova listina'!$C$8:$I$39,5,0))</f>
        <v>MSK ČADCA</v>
      </c>
      <c r="I13" s="376">
        <f>IF(ISERROR(VLOOKUP(C13,'startova listina'!$C$8:$I$39,6,0))=TRUE," ",VLOOKUP(C13,'startova listina'!$C$8:$I$39,6,0))</f>
        <v>6</v>
      </c>
      <c r="J13" s="376">
        <f>IF(ISERROR(VLOOKUP(C13,'startova listina'!$C$8:$I$39,7,0))=TRUE," ",VLOOKUP(C13,'startova listina'!$C$8:$I$39,7,0))</f>
        <v>196.82</v>
      </c>
      <c r="L13" s="374" t="str">
        <f t="shared" si="1"/>
        <v>CH61</v>
      </c>
      <c r="Q13" s="374"/>
    </row>
    <row r="14" spans="1:17" s="375" customFormat="1" ht="35.1" customHeight="1">
      <c r="A14" s="374" t="str">
        <f t="shared" si="0"/>
        <v>CH71</v>
      </c>
      <c r="C14" s="376">
        <v>7</v>
      </c>
      <c r="D14" s="376">
        <v>7</v>
      </c>
      <c r="E14" s="376">
        <v>1</v>
      </c>
      <c r="F14" s="377" t="str">
        <f>IF(ISERROR(VLOOKUP(C14,'startova listina'!$C$8:$I$39,3,0))=TRUE," ",VLOOKUP(C14,'startova listina'!$C$8:$I$39,3,0))</f>
        <v>TUREK Teodor</v>
      </c>
      <c r="G14" s="420">
        <f>IF(ISERROR(VLOOKUP(C14,'startova listina'!$C$8:$I$39,4,0))=TRUE," ",VLOOKUP(C14,'startova listina'!$C$8:$I$39,4,0))</f>
        <v>2001</v>
      </c>
      <c r="H14" s="377" t="str">
        <f>IF(ISERROR(VLOOKUP(C14,'startova listina'!$C$8:$I$39,5,0))=TRUE," ",VLOOKUP(C14,'startova listina'!$C$8:$I$39,5,0))</f>
        <v>ŠK ŠOG NITRA</v>
      </c>
      <c r="I14" s="420">
        <f>IF(ISERROR(VLOOKUP(C14,'startova listina'!$C$8:$I$39,6,0))=TRUE," ",VLOOKUP(C14,'startova listina'!$C$8:$I$39,6,0))</f>
        <v>7</v>
      </c>
      <c r="J14" s="420">
        <f>IF(ISERROR(VLOOKUP(C14,'startova listina'!$C$8:$I$39,7,0))=TRUE," ",VLOOKUP(C14,'startova listina'!$C$8:$I$39,7,0))</f>
        <v>176.05</v>
      </c>
      <c r="L14" s="374" t="str">
        <f t="shared" si="1"/>
        <v>CH71</v>
      </c>
      <c r="Q14" s="374"/>
    </row>
    <row r="15" spans="1:17" s="375" customFormat="1" ht="35.1" customHeight="1">
      <c r="A15" s="374" t="str">
        <f t="shared" si="0"/>
        <v>CH81</v>
      </c>
      <c r="C15" s="376">
        <v>8</v>
      </c>
      <c r="D15" s="376">
        <v>8</v>
      </c>
      <c r="E15" s="376">
        <v>1</v>
      </c>
      <c r="F15" s="377" t="str">
        <f>IF(ISERROR(VLOOKUP(C15,'startova listina'!$C$8:$I$39,3,0))=TRUE," ",VLOOKUP(C15,'startova listina'!$C$8:$I$39,3,0))</f>
        <v>PAPÁNEK Martin</v>
      </c>
      <c r="G15" s="420">
        <f>IF(ISERROR(VLOOKUP(C15,'startova listina'!$C$8:$I$39,4,0))=TRUE," ",VLOOKUP(C15,'startova listina'!$C$8:$I$39,4,0))</f>
        <v>2001</v>
      </c>
      <c r="H15" s="377" t="str">
        <f>IF(ISERROR(VLOOKUP(C15,'startova listina'!$C$8:$I$39,5,0))=TRUE," ",VLOOKUP(C15,'startova listina'!$C$8:$I$39,5,0))</f>
        <v>STK NOVÁ BAŇA/PODLUŽANY</v>
      </c>
      <c r="I15" s="420">
        <f>IF(ISERROR(VLOOKUP(C15,'startova listina'!$C$8:$I$39,6,0))=TRUE," ",VLOOKUP(C15,'startova listina'!$C$8:$I$39,6,0))</f>
        <v>8</v>
      </c>
      <c r="J15" s="420">
        <f>IF(ISERROR(VLOOKUP(C15,'startova listina'!$C$8:$I$39,7,0))=TRUE," ",VLOOKUP(C15,'startova listina'!$C$8:$I$39,7,0))</f>
        <v>154.6</v>
      </c>
      <c r="L15" s="374" t="str">
        <f t="shared" si="1"/>
        <v>CH81</v>
      </c>
      <c r="Q15" s="374"/>
    </row>
    <row r="16" spans="1:17" s="375" customFormat="1" ht="35.1" customHeight="1">
      <c r="A16" s="374" t="str">
        <f t="shared" si="0"/>
        <v>CH42</v>
      </c>
      <c r="C16" s="376">
        <v>9</v>
      </c>
      <c r="D16" s="376">
        <v>4</v>
      </c>
      <c r="E16" s="376">
        <v>2</v>
      </c>
      <c r="F16" s="377" t="str">
        <f>IF(ISERROR(VLOOKUP(C16,'startova listina'!$C$8:$I$39,3,0))=TRUE," ",VLOOKUP(C16,'startova listina'!$C$8:$I$39,3,0))</f>
        <v>HURKA Rastislav</v>
      </c>
      <c r="G16" s="420">
        <f>IF(ISERROR(VLOOKUP(C16,'startova listina'!$C$8:$I$39,4,0))=TRUE," ",VLOOKUP(C16,'startova listina'!$C$8:$I$39,4,0))</f>
        <v>2001</v>
      </c>
      <c r="H16" s="377" t="str">
        <f>IF(ISERROR(VLOOKUP(C16,'startova listina'!$C$8:$I$39,5,0))=TRUE," ",VLOOKUP(C16,'startova listina'!$C$8:$I$39,5,0))</f>
        <v>STO VALALIKY</v>
      </c>
      <c r="I16" s="420">
        <f>IF(ISERROR(VLOOKUP(C16,'startova listina'!$C$8:$I$39,6,0))=TRUE," ",VLOOKUP(C16,'startova listina'!$C$8:$I$39,6,0))</f>
        <v>9</v>
      </c>
      <c r="J16" s="420">
        <f>IF(ISERROR(VLOOKUP(C16,'startova listina'!$C$8:$I$39,7,0))=TRUE," ",VLOOKUP(C16,'startova listina'!$C$8:$I$39,7,0))</f>
        <v>152.49</v>
      </c>
      <c r="L16" s="374" t="str">
        <f t="shared" si="1"/>
        <v>CH42</v>
      </c>
      <c r="Q16" s="374"/>
    </row>
    <row r="17" spans="1:17" s="375" customFormat="1" ht="35.1" customHeight="1">
      <c r="A17" s="374" t="str">
        <f t="shared" si="0"/>
        <v>CH52</v>
      </c>
      <c r="C17" s="376">
        <v>10</v>
      </c>
      <c r="D17" s="376">
        <v>5</v>
      </c>
      <c r="E17" s="376">
        <v>2</v>
      </c>
      <c r="F17" s="377" t="str">
        <f>IF(ISERROR(VLOOKUP(C17,'startova listina'!$C$8:$I$39,3,0))=TRUE," ",VLOOKUP(C17,'startova listina'!$C$8:$I$39,3,0))</f>
        <v>ĎANOVSKÝ Martin</v>
      </c>
      <c r="G17" s="420">
        <f>IF(ISERROR(VLOOKUP(C17,'startova listina'!$C$8:$I$39,4,0))=TRUE," ",VLOOKUP(C17,'startova listina'!$C$8:$I$39,4,0))</f>
        <v>2002</v>
      </c>
      <c r="H17" s="377" t="str">
        <f>IF(ISERROR(VLOOKUP(C17,'startova listina'!$C$8:$I$39,5,0))=TRUE," ",VLOOKUP(C17,'startova listina'!$C$8:$I$39,5,0))</f>
        <v>LOKOMOTÍVA VRÚTKY</v>
      </c>
      <c r="I17" s="420">
        <f>IF(ISERROR(VLOOKUP(C17,'startova listina'!$C$8:$I$39,6,0))=TRUE," ",VLOOKUP(C17,'startova listina'!$C$8:$I$39,6,0))</f>
        <v>10</v>
      </c>
      <c r="J17" s="420">
        <f>IF(ISERROR(VLOOKUP(C17,'startova listina'!$C$8:$I$39,7,0))=TRUE," ",VLOOKUP(C17,'startova listina'!$C$8:$I$39,7,0))</f>
        <v>128.26</v>
      </c>
      <c r="L17" s="374" t="str">
        <f t="shared" si="1"/>
        <v>CH52</v>
      </c>
      <c r="Q17" s="374"/>
    </row>
    <row r="18" spans="1:17" s="375" customFormat="1" ht="35.1" customHeight="1">
      <c r="A18" s="374" t="str">
        <f t="shared" si="0"/>
        <v>CH62</v>
      </c>
      <c r="C18" s="376">
        <v>11</v>
      </c>
      <c r="D18" s="376">
        <v>6</v>
      </c>
      <c r="E18" s="376">
        <v>2</v>
      </c>
      <c r="F18" s="377" t="str">
        <f>IF(ISERROR(VLOOKUP(C18,'startova listina'!$C$8:$I$39,3,0))=TRUE," ",VLOOKUP(C18,'startova listina'!$C$8:$I$39,3,0))</f>
        <v>MILAN Martin</v>
      </c>
      <c r="G18" s="420">
        <f>IF(ISERROR(VLOOKUP(C18,'startova listina'!$C$8:$I$39,4,0))=TRUE," ",VLOOKUP(C18,'startova listina'!$C$8:$I$39,4,0))</f>
        <v>2001</v>
      </c>
      <c r="H18" s="377" t="str">
        <f>IF(ISERROR(VLOOKUP(C18,'startova listina'!$C$8:$I$39,5,0))=TRUE," ",VLOOKUP(C18,'startova listina'!$C$8:$I$39,5,0))</f>
        <v>1.PPC FORTUNA KEŽMAROK/TJ OBCE SPIŠSKÝ ŠTIAVNIK</v>
      </c>
      <c r="I18" s="420">
        <f>IF(ISERROR(VLOOKUP(C18,'startova listina'!$C$8:$I$39,6,0))=TRUE," ",VLOOKUP(C18,'startova listina'!$C$8:$I$39,6,0))</f>
        <v>11</v>
      </c>
      <c r="J18" s="420">
        <f>IF(ISERROR(VLOOKUP(C18,'startova listina'!$C$8:$I$39,7,0))=TRUE," ",VLOOKUP(C18,'startova listina'!$C$8:$I$39,7,0))</f>
        <v>125.6</v>
      </c>
      <c r="L18" s="374" t="str">
        <f t="shared" si="1"/>
        <v>CH62</v>
      </c>
      <c r="Q18" s="374"/>
    </row>
    <row r="19" spans="1:17" s="375" customFormat="1" ht="35.1" customHeight="1">
      <c r="A19" s="374" t="str">
        <f t="shared" si="0"/>
        <v>CH12</v>
      </c>
      <c r="C19" s="376">
        <v>12</v>
      </c>
      <c r="D19" s="376">
        <v>1</v>
      </c>
      <c r="E19" s="376">
        <v>2</v>
      </c>
      <c r="F19" s="377" t="str">
        <f>IF(ISERROR(VLOOKUP(C19,'startova listina'!$C$8:$I$39,3,0))=TRUE," ",VLOOKUP(C19,'startova listina'!$C$8:$I$39,3,0))</f>
        <v>IVANČO Félix</v>
      </c>
      <c r="G19" s="420">
        <f>IF(ISERROR(VLOOKUP(C19,'startova listina'!$C$8:$I$39,4,0))=TRUE," ",VLOOKUP(C19,'startova listina'!$C$8:$I$39,4,0))</f>
        <v>2003</v>
      </c>
      <c r="H19" s="377" t="str">
        <f>IF(ISERROR(VLOOKUP(C19,'startova listina'!$C$8:$I$39,5,0))=TRUE," ",VLOOKUP(C19,'startova listina'!$C$8:$I$39,5,0))</f>
        <v>MSK MALACKY</v>
      </c>
      <c r="I19" s="420">
        <f>IF(ISERROR(VLOOKUP(C19,'startova listina'!$C$8:$I$39,6,0))=TRUE," ",VLOOKUP(C19,'startova listina'!$C$8:$I$39,6,0))</f>
        <v>12</v>
      </c>
      <c r="J19" s="420">
        <f>IF(ISERROR(VLOOKUP(C19,'startova listina'!$C$8:$I$39,7,0))=TRUE," ",VLOOKUP(C19,'startova listina'!$C$8:$I$39,7,0))</f>
        <v>121.26</v>
      </c>
      <c r="L19" s="374" t="str">
        <f t="shared" si="1"/>
        <v>CH12</v>
      </c>
      <c r="Q19" s="374"/>
    </row>
    <row r="20" spans="1:17" s="375" customFormat="1" ht="35.1" customHeight="1">
      <c r="A20" s="374" t="str">
        <f t="shared" si="0"/>
        <v>CH32</v>
      </c>
      <c r="C20" s="376">
        <v>13</v>
      </c>
      <c r="D20" s="376">
        <v>3</v>
      </c>
      <c r="E20" s="376">
        <v>2</v>
      </c>
      <c r="F20" s="377" t="str">
        <f>IF(ISERROR(VLOOKUP(C20,'startova listina'!$C$8:$I$39,3,0))=TRUE," ",VLOOKUP(C20,'startova listina'!$C$8:$I$39,3,0))</f>
        <v>KLAJBER Adam</v>
      </c>
      <c r="G20" s="420">
        <f>IF(ISERROR(VLOOKUP(C20,'startova listina'!$C$8:$I$39,4,0))=TRUE," ",VLOOKUP(C20,'startova listina'!$C$8:$I$39,4,0))</f>
        <v>2003</v>
      </c>
      <c r="H20" s="377" t="str">
        <f>IF(ISERROR(VLOOKUP(C20,'startova listina'!$C$8:$I$39,5,0))=TRUE," ",VLOOKUP(C20,'startova listina'!$C$8:$I$39,5,0))</f>
        <v>SŠK POPROČ</v>
      </c>
      <c r="I20" s="420">
        <f>IF(ISERROR(VLOOKUP(C20,'startova listina'!$C$8:$I$39,6,0))=TRUE," ",VLOOKUP(C20,'startova listina'!$C$8:$I$39,6,0))</f>
        <v>13</v>
      </c>
      <c r="J20" s="420">
        <f>IF(ISERROR(VLOOKUP(C20,'startova listina'!$C$8:$I$39,7,0))=TRUE," ",VLOOKUP(C20,'startova listina'!$C$8:$I$39,7,0))</f>
        <v>120.11</v>
      </c>
      <c r="L20" s="374" t="str">
        <f t="shared" si="1"/>
        <v>CH32</v>
      </c>
      <c r="Q20" s="374"/>
    </row>
    <row r="21" spans="1:17" s="375" customFormat="1" ht="35.1" customHeight="1">
      <c r="A21" s="374" t="str">
        <f t="shared" si="0"/>
        <v>CH72</v>
      </c>
      <c r="C21" s="376">
        <v>14</v>
      </c>
      <c r="D21" s="376">
        <v>7</v>
      </c>
      <c r="E21" s="376">
        <v>2</v>
      </c>
      <c r="F21" s="377" t="str">
        <f>IF(ISERROR(VLOOKUP(C21,'startova listina'!$C$8:$I$39,3,0))=TRUE," ",VLOOKUP(C21,'startova listina'!$C$8:$I$39,3,0))</f>
        <v>JALOVECKÝ Marek</v>
      </c>
      <c r="G21" s="420">
        <f>IF(ISERROR(VLOOKUP(C21,'startova listina'!$C$8:$I$39,4,0))=TRUE," ",VLOOKUP(C21,'startova listina'!$C$8:$I$39,4,0))</f>
        <v>2001</v>
      </c>
      <c r="H21" s="377" t="str">
        <f>IF(ISERROR(VLOOKUP(C21,'startova listina'!$C$8:$I$39,5,0))=TRUE," ",VLOOKUP(C21,'startova listina'!$C$8:$I$39,5,0))</f>
        <v>STK ZŠ NA BIELENISKU PEZINOK</v>
      </c>
      <c r="I21" s="420">
        <f>IF(ISERROR(VLOOKUP(C21,'startova listina'!$C$8:$I$39,6,0))=TRUE," ",VLOOKUP(C21,'startova listina'!$C$8:$I$39,6,0))</f>
        <v>14</v>
      </c>
      <c r="J21" s="420">
        <f>IF(ISERROR(VLOOKUP(C21,'startova listina'!$C$8:$I$39,7,0))=TRUE," ",VLOOKUP(C21,'startova listina'!$C$8:$I$39,7,0))</f>
        <v>111.5</v>
      </c>
      <c r="L21" s="374" t="str">
        <f t="shared" si="1"/>
        <v>CH72</v>
      </c>
      <c r="Q21" s="374"/>
    </row>
    <row r="22" spans="1:17" s="375" customFormat="1" ht="35.1" customHeight="1">
      <c r="A22" s="374" t="str">
        <f t="shared" si="0"/>
        <v>CH82</v>
      </c>
      <c r="C22" s="376">
        <v>15</v>
      </c>
      <c r="D22" s="376">
        <v>8</v>
      </c>
      <c r="E22" s="376">
        <v>2</v>
      </c>
      <c r="F22" s="377" t="str">
        <f>IF(ISERROR(VLOOKUP(C22,'startova listina'!$C$8:$I$39,3,0))=TRUE," ",VLOOKUP(C22,'startova listina'!$C$8:$I$39,3,0))</f>
        <v>FUSEK Patrik</v>
      </c>
      <c r="G22" s="420">
        <f>IF(ISERROR(VLOOKUP(C22,'startova listina'!$C$8:$I$39,4,0))=TRUE," ",VLOOKUP(C22,'startova listina'!$C$8:$I$39,4,0))</f>
        <v>2002</v>
      </c>
      <c r="H22" s="377" t="str">
        <f>IF(ISERROR(VLOOKUP(C22,'startova listina'!$C$8:$I$39,5,0))=TRUE," ",VLOOKUP(C22,'startova listina'!$C$8:$I$39,5,0))</f>
        <v>MSK MALACKY</v>
      </c>
      <c r="I22" s="420">
        <f>IF(ISERROR(VLOOKUP(C22,'startova listina'!$C$8:$I$39,6,0))=TRUE," ",VLOOKUP(C22,'startova listina'!$C$8:$I$39,6,0))</f>
        <v>15</v>
      </c>
      <c r="J22" s="420">
        <f>IF(ISERROR(VLOOKUP(C22,'startova listina'!$C$8:$I$39,7,0))=TRUE," ",VLOOKUP(C22,'startova listina'!$C$8:$I$39,7,0))</f>
        <v>108.51</v>
      </c>
      <c r="L22" s="374" t="str">
        <f t="shared" si="1"/>
        <v>CH82</v>
      </c>
      <c r="Q22" s="374"/>
    </row>
    <row r="23" spans="1:17" s="375" customFormat="1" ht="35.1" customHeight="1">
      <c r="A23" s="374" t="str">
        <f t="shared" si="0"/>
        <v>CH22</v>
      </c>
      <c r="C23" s="376">
        <v>16</v>
      </c>
      <c r="D23" s="376">
        <v>2</v>
      </c>
      <c r="E23" s="376">
        <v>2</v>
      </c>
      <c r="F23" s="377" t="str">
        <f>IF(ISERROR(VLOOKUP(C23,'startova listina'!$C$8:$I$39,3,0))=TRUE," ",VLOOKUP(C23,'startova listina'!$C$8:$I$39,3,0))</f>
        <v>SUCHA Tomáš</v>
      </c>
      <c r="G23" s="420">
        <f>IF(ISERROR(VLOOKUP(C23,'startova listina'!$C$8:$I$39,4,0))=TRUE," ",VLOOKUP(C23,'startova listina'!$C$8:$I$39,4,0))</f>
        <v>2001</v>
      </c>
      <c r="H23" s="377" t="str">
        <f>IF(ISERROR(VLOOKUP(C23,'startova listina'!$C$8:$I$39,5,0))=TRUE," ",VLOOKUP(C23,'startova listina'!$C$8:$I$39,5,0))</f>
        <v>ŠKST KARLOVA VES</v>
      </c>
      <c r="I23" s="420">
        <f>IF(ISERROR(VLOOKUP(C23,'startova listina'!$C$8:$I$39,6,0))=TRUE," ",VLOOKUP(C23,'startova listina'!$C$8:$I$39,6,0))</f>
        <v>16</v>
      </c>
      <c r="J23" s="420">
        <f>IF(ISERROR(VLOOKUP(C23,'startova listina'!$C$8:$I$39,7,0))=TRUE," ",VLOOKUP(C23,'startova listina'!$C$8:$I$39,7,0))</f>
        <v>106.88</v>
      </c>
      <c r="L23" s="374" t="str">
        <f t="shared" si="1"/>
        <v>CH22</v>
      </c>
      <c r="Q23" s="374"/>
    </row>
    <row r="24" spans="1:17" s="375" customFormat="1" ht="35.1" customHeight="1">
      <c r="A24" s="374" t="str">
        <f t="shared" si="0"/>
        <v>CH33</v>
      </c>
      <c r="C24" s="376">
        <v>17</v>
      </c>
      <c r="D24" s="376">
        <v>3</v>
      </c>
      <c r="E24" s="376">
        <v>3</v>
      </c>
      <c r="F24" s="377" t="str">
        <f>IF(ISERROR(VLOOKUP(C24,'startova listina'!$C$8:$I$39,3,0))=TRUE," ",VLOOKUP(C24,'startova listina'!$C$8:$I$39,3,0))</f>
        <v>FREUND Andrej</v>
      </c>
      <c r="G24" s="420">
        <f>IF(ISERROR(VLOOKUP(C24,'startova listina'!$C$8:$I$39,4,0))=TRUE," ",VLOOKUP(C24,'startova listina'!$C$8:$I$39,4,0))</f>
        <v>2002</v>
      </c>
      <c r="H24" s="377" t="str">
        <f>IF(ISERROR(VLOOKUP(C24,'startova listina'!$C$8:$I$39,5,0))=TRUE," ",VLOOKUP(C24,'startova listina'!$C$8:$I$39,5,0))</f>
        <v>MSK MALACKY</v>
      </c>
      <c r="I24" s="420">
        <f>IF(ISERROR(VLOOKUP(C24,'startova listina'!$C$8:$I$39,6,0))=TRUE," ",VLOOKUP(C24,'startova listina'!$C$8:$I$39,6,0))</f>
        <v>17</v>
      </c>
      <c r="J24" s="420">
        <f>IF(ISERROR(VLOOKUP(C24,'startova listina'!$C$8:$I$39,7,0))=TRUE," ",VLOOKUP(C24,'startova listina'!$C$8:$I$39,7,0))</f>
        <v>101.2</v>
      </c>
      <c r="L24" s="374" t="str">
        <f t="shared" si="1"/>
        <v>CH33</v>
      </c>
      <c r="Q24" s="374"/>
    </row>
    <row r="25" spans="1:17" s="375" customFormat="1" ht="35.1" customHeight="1">
      <c r="A25" s="374" t="str">
        <f t="shared" si="0"/>
        <v>CH53</v>
      </c>
      <c r="C25" s="376">
        <v>18</v>
      </c>
      <c r="D25" s="376">
        <v>5</v>
      </c>
      <c r="E25" s="376">
        <v>3</v>
      </c>
      <c r="F25" s="377" t="str">
        <f>IF(ISERROR(VLOOKUP(C25,'startova listina'!$C$8:$I$39,3,0))=TRUE," ",VLOOKUP(C25,'startova listina'!$C$8:$I$39,3,0))</f>
        <v>VICO Dávid</v>
      </c>
      <c r="G25" s="420">
        <f>IF(ISERROR(VLOOKUP(C25,'startova listina'!$C$8:$I$39,4,0))=TRUE," ",VLOOKUP(C25,'startova listina'!$C$8:$I$39,4,0))</f>
        <v>2001</v>
      </c>
      <c r="H25" s="377" t="str">
        <f>IF(ISERROR(VLOOKUP(C25,'startova listina'!$C$8:$I$39,5,0))=TRUE," ",VLOOKUP(C25,'startova listina'!$C$8:$I$39,5,0))</f>
        <v>STO VALALIKY</v>
      </c>
      <c r="I25" s="420">
        <f>IF(ISERROR(VLOOKUP(C25,'startova listina'!$C$8:$I$39,6,0))=TRUE," ",VLOOKUP(C25,'startova listina'!$C$8:$I$39,6,0))</f>
        <v>18</v>
      </c>
      <c r="J25" s="420">
        <f>IF(ISERROR(VLOOKUP(C25,'startova listina'!$C$8:$I$39,7,0))=TRUE," ",VLOOKUP(C25,'startova listina'!$C$8:$I$39,7,0))</f>
        <v>98.33</v>
      </c>
      <c r="L25" s="374" t="str">
        <f t="shared" si="1"/>
        <v>CH53</v>
      </c>
      <c r="Q25" s="374"/>
    </row>
    <row r="26" spans="1:17" s="375" customFormat="1" ht="35.1" customHeight="1">
      <c r="A26" s="374" t="str">
        <f t="shared" si="0"/>
        <v>CH63</v>
      </c>
      <c r="C26" s="376">
        <v>19</v>
      </c>
      <c r="D26" s="376">
        <v>6</v>
      </c>
      <c r="E26" s="376">
        <v>3</v>
      </c>
      <c r="F26" s="377" t="str">
        <f>IF(ISERROR(VLOOKUP(C26,'startova listina'!$C$8:$I$39,3,0))=TRUE," ",VLOOKUP(C26,'startova listina'!$C$8:$I$39,3,0))</f>
        <v>PACH Kamil</v>
      </c>
      <c r="G26" s="420">
        <f>IF(ISERROR(VLOOKUP(C26,'startova listina'!$C$8:$I$39,4,0))=TRUE," ",VLOOKUP(C26,'startova listina'!$C$8:$I$39,4,0))</f>
        <v>2003</v>
      </c>
      <c r="H26" s="377" t="str">
        <f>IF(ISERROR(VLOOKUP(C26,'startova listina'!$C$8:$I$39,5,0))=TRUE," ",VLOOKUP(C26,'startova listina'!$C$8:$I$39,5,0))</f>
        <v>STO VALALIKY</v>
      </c>
      <c r="I26" s="420">
        <f>IF(ISERROR(VLOOKUP(C26,'startova listina'!$C$8:$I$39,6,0))=TRUE," ",VLOOKUP(C26,'startova listina'!$C$8:$I$39,6,0))</f>
        <v>19</v>
      </c>
      <c r="J26" s="420">
        <f>IF(ISERROR(VLOOKUP(C26,'startova listina'!$C$8:$I$39,7,0))=TRUE," ",VLOOKUP(C26,'startova listina'!$C$8:$I$39,7,0))</f>
        <v>90.72</v>
      </c>
      <c r="L26" s="374" t="str">
        <f t="shared" si="1"/>
        <v>CH63</v>
      </c>
      <c r="Q26" s="374"/>
    </row>
    <row r="27" spans="1:17" s="375" customFormat="1" ht="35.1" customHeight="1">
      <c r="A27" s="374" t="str">
        <f t="shared" si="0"/>
        <v>CH23</v>
      </c>
      <c r="C27" s="376">
        <v>20</v>
      </c>
      <c r="D27" s="376">
        <v>2</v>
      </c>
      <c r="E27" s="376">
        <v>3</v>
      </c>
      <c r="F27" s="377" t="str">
        <f>IF(ISERROR(VLOOKUP(C27,'startova listina'!$C$8:$I$39,3,0))=TRUE," ",VLOOKUP(C27,'startova listina'!$C$8:$I$39,3,0))</f>
        <v>KAPUSTA Martin</v>
      </c>
      <c r="G27" s="420">
        <f>IF(ISERROR(VLOOKUP(C27,'startova listina'!$C$8:$I$39,4,0))=TRUE," ",VLOOKUP(C27,'startova listina'!$C$8:$I$39,4,0))</f>
        <v>2002</v>
      </c>
      <c r="H27" s="377" t="str">
        <f>IF(ISERROR(VLOOKUP(C27,'startova listina'!$C$8:$I$39,5,0))=TRUE," ",VLOOKUP(C27,'startova listina'!$C$8:$I$39,5,0))</f>
        <v>MSK ČADCA</v>
      </c>
      <c r="I27" s="420">
        <f>IF(ISERROR(VLOOKUP(C27,'startova listina'!$C$8:$I$39,6,0))=TRUE," ",VLOOKUP(C27,'startova listina'!$C$8:$I$39,6,0))</f>
        <v>20</v>
      </c>
      <c r="J27" s="420">
        <f>IF(ISERROR(VLOOKUP(C27,'startova listina'!$C$8:$I$39,7,0))=TRUE," ",VLOOKUP(C27,'startova listina'!$C$8:$I$39,7,0))</f>
        <v>89.76</v>
      </c>
      <c r="L27" s="374" t="str">
        <f t="shared" si="1"/>
        <v>CH23</v>
      </c>
      <c r="Q27" s="374"/>
    </row>
    <row r="28" spans="1:17" s="375" customFormat="1" ht="35.1" customHeight="1">
      <c r="A28" s="374" t="str">
        <f t="shared" si="0"/>
        <v>CH43</v>
      </c>
      <c r="C28" s="376">
        <v>21</v>
      </c>
      <c r="D28" s="376">
        <v>4</v>
      </c>
      <c r="E28" s="376">
        <v>3</v>
      </c>
      <c r="F28" s="377" t="str">
        <f>IF(ISERROR(VLOOKUP(C28,'startova listina'!$C$8:$I$39,3,0))=TRUE," ",VLOOKUP(C28,'startova listina'!$C$8:$I$39,3,0))</f>
        <v>DELINČAK Filip</v>
      </c>
      <c r="G28" s="420">
        <f>IF(ISERROR(VLOOKUP(C28,'startova listina'!$C$8:$I$39,4,0))=TRUE," ",VLOOKUP(C28,'startova listina'!$C$8:$I$39,4,0))</f>
        <v>2003</v>
      </c>
      <c r="H28" s="377" t="str">
        <f>IF(ISERROR(VLOOKUP(C28,'startova listina'!$C$8:$I$39,5,0))=TRUE," ",VLOOKUP(C28,'startova listina'!$C$8:$I$39,5,0))</f>
        <v>MSK ČADCA</v>
      </c>
      <c r="I28" s="420">
        <f>IF(ISERROR(VLOOKUP(C28,'startova listina'!$C$8:$I$39,6,0))=TRUE," ",VLOOKUP(C28,'startova listina'!$C$8:$I$39,6,0))</f>
        <v>21</v>
      </c>
      <c r="J28" s="420">
        <f>IF(ISERROR(VLOOKUP(C28,'startova listina'!$C$8:$I$39,7,0))=TRUE," ",VLOOKUP(C28,'startova listina'!$C$8:$I$39,7,0))</f>
        <v>89</v>
      </c>
      <c r="L28" s="374" t="str">
        <f t="shared" si="1"/>
        <v>CH43</v>
      </c>
      <c r="Q28" s="374"/>
    </row>
    <row r="29" spans="1:17" s="375" customFormat="1" ht="35.1" customHeight="1">
      <c r="A29" s="374" t="str">
        <f t="shared" si="0"/>
        <v>CH13</v>
      </c>
      <c r="C29" s="376">
        <v>22</v>
      </c>
      <c r="D29" s="376">
        <v>1</v>
      </c>
      <c r="E29" s="376">
        <v>3</v>
      </c>
      <c r="F29" s="377" t="str">
        <f>IF(ISERROR(VLOOKUP(C29,'startova listina'!$C$8:$I$39,3,0))=TRUE," ",VLOOKUP(C29,'startova listina'!$C$8:$I$39,3,0))</f>
        <v>MIKLUŠČÁK Benjamín</v>
      </c>
      <c r="G29" s="420">
        <f>IF(ISERROR(VLOOKUP(C29,'startova listina'!$C$8:$I$39,4,0))=TRUE," ",VLOOKUP(C29,'startova listina'!$C$8:$I$39,4,0))</f>
        <v>2002</v>
      </c>
      <c r="H29" s="377" t="str">
        <f>IF(ISERROR(VLOOKUP(C29,'startova listina'!$C$8:$I$39,5,0))=TRUE," ",VLOOKUP(C29,'startova listina'!$C$8:$I$39,5,0))</f>
        <v>ŠKST KARLOVA VES</v>
      </c>
      <c r="I29" s="420">
        <f>IF(ISERROR(VLOOKUP(C29,'startova listina'!$C$8:$I$39,6,0))=TRUE," ",VLOOKUP(C29,'startova listina'!$C$8:$I$39,6,0))</f>
        <v>22</v>
      </c>
      <c r="J29" s="420">
        <f>IF(ISERROR(VLOOKUP(C29,'startova listina'!$C$8:$I$39,7,0))=TRUE," ",VLOOKUP(C29,'startova listina'!$C$8:$I$39,7,0))</f>
        <v>89</v>
      </c>
      <c r="L29" s="374" t="str">
        <f t="shared" si="1"/>
        <v>CH13</v>
      </c>
      <c r="Q29" s="374"/>
    </row>
    <row r="30" spans="1:17" s="375" customFormat="1" ht="35.1" customHeight="1">
      <c r="A30" s="374" t="str">
        <f t="shared" si="0"/>
        <v>CH83</v>
      </c>
      <c r="C30" s="376">
        <v>23</v>
      </c>
      <c r="D30" s="376">
        <v>8</v>
      </c>
      <c r="E30" s="376">
        <v>3</v>
      </c>
      <c r="F30" s="377" t="str">
        <f>IF(ISERROR(VLOOKUP(C30,'startova listina'!$C$8:$I$39,3,0))=TRUE," ",VLOOKUP(C30,'startova listina'!$C$8:$I$39,3,0))</f>
        <v>MAKÚCH Damian</v>
      </c>
      <c r="G30" s="420">
        <f>IF(ISERROR(VLOOKUP(C30,'startova listina'!$C$8:$I$39,4,0))=TRUE," ",VLOOKUP(C30,'startova listina'!$C$8:$I$39,4,0))</f>
        <v>2001</v>
      </c>
      <c r="H30" s="377" t="str">
        <f>IF(ISERROR(VLOOKUP(C30,'startova listina'!$C$8:$I$39,5,0))=TRUE," ",VLOOKUP(C30,'startova listina'!$C$8:$I$39,5,0))</f>
        <v>TJ ORAVAN NÁMESTOVO/TATRAN KRUŠETNICA</v>
      </c>
      <c r="I30" s="420">
        <f>IF(ISERROR(VLOOKUP(C30,'startova listina'!$C$8:$I$39,6,0))=TRUE," ",VLOOKUP(C30,'startova listina'!$C$8:$I$39,6,0))</f>
        <v>23</v>
      </c>
      <c r="J30" s="420">
        <f>IF(ISERROR(VLOOKUP(C30,'startova listina'!$C$8:$I$39,7,0))=TRUE," ",VLOOKUP(C30,'startova listina'!$C$8:$I$39,7,0))</f>
        <v>74.849999999999994</v>
      </c>
      <c r="L30" s="374" t="str">
        <f t="shared" si="1"/>
        <v>CH83</v>
      </c>
      <c r="Q30" s="374"/>
    </row>
    <row r="31" spans="1:17" s="375" customFormat="1" ht="35.1" customHeight="1">
      <c r="A31" s="374" t="str">
        <f t="shared" si="0"/>
        <v>CH73</v>
      </c>
      <c r="C31" s="376">
        <v>24</v>
      </c>
      <c r="D31" s="376">
        <v>7</v>
      </c>
      <c r="E31" s="376">
        <v>3</v>
      </c>
      <c r="F31" s="377" t="str">
        <f>IF(ISERROR(VLOOKUP(C31,'startova listina'!$C$8:$I$39,3,0))=TRUE," ",VLOOKUP(C31,'startova listina'!$C$8:$I$39,3,0))</f>
        <v>FEČO Michal</v>
      </c>
      <c r="G31" s="420">
        <f>IF(ISERROR(VLOOKUP(C31,'startova listina'!$C$8:$I$39,4,0))=TRUE," ",VLOOKUP(C31,'startova listina'!$C$8:$I$39,4,0))</f>
        <v>2001</v>
      </c>
      <c r="H31" s="377" t="str">
        <f>IF(ISERROR(VLOOKUP(C31,'startova listina'!$C$8:$I$39,5,0))=TRUE," ",VLOOKUP(C31,'startova listina'!$C$8:$I$39,5,0))</f>
        <v>MŠK VSTK VRANOV NAD TOPĽOU</v>
      </c>
      <c r="I31" s="420">
        <f>IF(ISERROR(VLOOKUP(C31,'startova listina'!$C$8:$I$39,6,0))=TRUE," ",VLOOKUP(C31,'startova listina'!$C$8:$I$39,6,0))</f>
        <v>24</v>
      </c>
      <c r="J31" s="420">
        <f>IF(ISERROR(VLOOKUP(C31,'startova listina'!$C$8:$I$39,7,0))=TRUE," ",VLOOKUP(C31,'startova listina'!$C$8:$I$39,7,0))</f>
        <v>74.64</v>
      </c>
      <c r="L31" s="374" t="str">
        <f t="shared" si="1"/>
        <v>CH73</v>
      </c>
      <c r="Q31" s="374"/>
    </row>
    <row r="32" spans="1:17" s="375" customFormat="1" ht="35.1" customHeight="1">
      <c r="A32" s="374" t="str">
        <f t="shared" si="0"/>
        <v>CH34</v>
      </c>
      <c r="C32" s="376">
        <v>25</v>
      </c>
      <c r="D32" s="376">
        <v>3</v>
      </c>
      <c r="E32" s="376">
        <v>4</v>
      </c>
      <c r="F32" s="377" t="str">
        <f>IF(ISERROR(VLOOKUP(C32,'startova listina'!$C$8:$I$39,3,0))=TRUE," ",VLOOKUP(C32,'startova listina'!$C$8:$I$39,3,0))</f>
        <v>KLUČÁR Matej</v>
      </c>
      <c r="G32" s="420">
        <f>IF(ISERROR(VLOOKUP(C32,'startova listina'!$C$8:$I$39,4,0))=TRUE," ",VLOOKUP(C32,'startova listina'!$C$8:$I$39,4,0))</f>
        <v>2002</v>
      </c>
      <c r="H32" s="377" t="str">
        <f>IF(ISERROR(VLOOKUP(C32,'startova listina'!$C$8:$I$39,5,0))=TRUE," ",VLOOKUP(C32,'startova listina'!$C$8:$I$39,5,0))</f>
        <v>TTC MAJCICHOV</v>
      </c>
      <c r="I32" s="420">
        <f>IF(ISERROR(VLOOKUP(C32,'startova listina'!$C$8:$I$39,6,0))=TRUE," ",VLOOKUP(C32,'startova listina'!$C$8:$I$39,6,0))</f>
        <v>26</v>
      </c>
      <c r="J32" s="420">
        <f>IF(ISERROR(VLOOKUP(C32,'startova listina'!$C$8:$I$39,7,0))=TRUE," ",VLOOKUP(C32,'startova listina'!$C$8:$I$39,7,0))</f>
        <v>74.069999999999993</v>
      </c>
      <c r="L32" s="374" t="str">
        <f t="shared" si="1"/>
        <v>CH34</v>
      </c>
      <c r="Q32" s="374"/>
    </row>
    <row r="33" spans="1:17" s="375" customFormat="1" ht="35.1" customHeight="1">
      <c r="A33" s="374" t="str">
        <f t="shared" si="0"/>
        <v>CH54</v>
      </c>
      <c r="C33" s="376">
        <v>26</v>
      </c>
      <c r="D33" s="376">
        <v>5</v>
      </c>
      <c r="E33" s="376">
        <v>4</v>
      </c>
      <c r="F33" s="377" t="str">
        <f>IF(ISERROR(VLOOKUP(C33,'startova listina'!$C$8:$I$39,3,0))=TRUE," ",VLOOKUP(C33,'startova listina'!$C$8:$I$39,3,0))</f>
        <v>MACKO Miroslav</v>
      </c>
      <c r="G33" s="420">
        <f>IF(ISERROR(VLOOKUP(C33,'startova listina'!$C$8:$I$39,4,0))=TRUE," ",VLOOKUP(C33,'startova listina'!$C$8:$I$39,4,0))</f>
        <v>2001</v>
      </c>
      <c r="H33" s="377" t="str">
        <f>IF(ISERROR(VLOOKUP(C33,'startova listina'!$C$8:$I$39,5,0))=TRUE," ",VLOOKUP(C33,'startova listina'!$C$8:$I$39,5,0))</f>
        <v>ŠKST KARLOVA VES</v>
      </c>
      <c r="I33" s="420">
        <f>IF(ISERROR(VLOOKUP(C33,'startova listina'!$C$8:$I$39,6,0))=TRUE," ",VLOOKUP(C33,'startova listina'!$C$8:$I$39,6,0))</f>
        <v>27</v>
      </c>
      <c r="J33" s="420">
        <f>IF(ISERROR(VLOOKUP(C33,'startova listina'!$C$8:$I$39,7,0))=TRUE," ",VLOOKUP(C33,'startova listina'!$C$8:$I$39,7,0))</f>
        <v>73.39</v>
      </c>
      <c r="L33" s="374" t="str">
        <f t="shared" si="1"/>
        <v>CH54</v>
      </c>
      <c r="Q33" s="374"/>
    </row>
    <row r="34" spans="1:17" s="375" customFormat="1" ht="35.1" customHeight="1">
      <c r="A34" s="374" t="str">
        <f t="shared" si="0"/>
        <v>CH74</v>
      </c>
      <c r="C34" s="376">
        <v>27</v>
      </c>
      <c r="D34" s="376">
        <v>7</v>
      </c>
      <c r="E34" s="376">
        <v>4</v>
      </c>
      <c r="F34" s="377" t="str">
        <f>IF(ISERROR(VLOOKUP(C34,'startova listina'!$C$8:$I$39,3,0))=TRUE," ",VLOOKUP(C34,'startova listina'!$C$8:$I$39,3,0))</f>
        <v>GREGOR Jakub</v>
      </c>
      <c r="G34" s="420">
        <f>IF(ISERROR(VLOOKUP(C34,'startova listina'!$C$8:$I$39,4,0))=TRUE," ",VLOOKUP(C34,'startova listina'!$C$8:$I$39,4,0))</f>
        <v>2001</v>
      </c>
      <c r="H34" s="377" t="str">
        <f>IF(ISERROR(VLOOKUP(C34,'startova listina'!$C$8:$I$39,5,0))=TRUE," ",VLOOKUP(C34,'startova listina'!$C$8:$I$39,5,0))</f>
        <v>ŠKST KARLOVA VES</v>
      </c>
      <c r="I34" s="420">
        <f>IF(ISERROR(VLOOKUP(C34,'startova listina'!$C$8:$I$39,6,0))=TRUE," ",VLOOKUP(C34,'startova listina'!$C$8:$I$39,6,0))</f>
        <v>28</v>
      </c>
      <c r="J34" s="420">
        <f>IF(ISERROR(VLOOKUP(C34,'startova listina'!$C$8:$I$39,7,0))=TRUE," ",VLOOKUP(C34,'startova listina'!$C$8:$I$39,7,0))</f>
        <v>71.91</v>
      </c>
      <c r="L34" s="374" t="str">
        <f t="shared" si="1"/>
        <v>CH74</v>
      </c>
      <c r="Q34" s="374"/>
    </row>
    <row r="35" spans="1:17" s="375" customFormat="1" ht="35.1" customHeight="1">
      <c r="A35" s="374" t="str">
        <f t="shared" si="0"/>
        <v>CH14</v>
      </c>
      <c r="C35" s="376">
        <v>28</v>
      </c>
      <c r="D35" s="376">
        <v>1</v>
      </c>
      <c r="E35" s="376">
        <v>4</v>
      </c>
      <c r="F35" s="377" t="str">
        <f>IF(ISERROR(VLOOKUP(C35,'startova listina'!$C$8:$I$39,3,0))=TRUE," ",VLOOKUP(C35,'startova listina'!$C$8:$I$39,3,0))</f>
        <v>MARUNIAK Martin</v>
      </c>
      <c r="G35" s="420">
        <f>IF(ISERROR(VLOOKUP(C35,'startova listina'!$C$8:$I$39,4,0))=TRUE," ",VLOOKUP(C35,'startova listina'!$C$8:$I$39,4,0))</f>
        <v>2001</v>
      </c>
      <c r="H35" s="377" t="str">
        <f>IF(ISERROR(VLOOKUP(C35,'startova listina'!$C$8:$I$39,5,0))=TRUE," ",VLOOKUP(C35,'startova listina'!$C$8:$I$39,5,0))</f>
        <v>MSTK VTJ MARTIN</v>
      </c>
      <c r="I35" s="420">
        <f>IF(ISERROR(VLOOKUP(C35,'startova listina'!$C$8:$I$39,6,0))=TRUE," ",VLOOKUP(C35,'startova listina'!$C$8:$I$39,6,0))</f>
        <v>29</v>
      </c>
      <c r="J35" s="420">
        <f>IF(ISERROR(VLOOKUP(C35,'startova listina'!$C$8:$I$39,7,0))=TRUE," ",VLOOKUP(C35,'startova listina'!$C$8:$I$39,7,0))</f>
        <v>68.900000000000006</v>
      </c>
      <c r="L35" s="374" t="str">
        <f t="shared" si="1"/>
        <v>CH14</v>
      </c>
      <c r="Q35" s="374"/>
    </row>
    <row r="36" spans="1:17" s="375" customFormat="1" ht="35.1" customHeight="1">
      <c r="A36" s="374" t="str">
        <f t="shared" si="0"/>
        <v>CH24</v>
      </c>
      <c r="C36" s="376">
        <v>29</v>
      </c>
      <c r="D36" s="376">
        <v>2</v>
      </c>
      <c r="E36" s="376">
        <v>4</v>
      </c>
      <c r="F36" s="377" t="str">
        <f>IF(ISERROR(VLOOKUP(C36,'startova listina'!$C$8:$I$39,3,0))=TRUE," ",VLOOKUP(C36,'startova listina'!$C$8:$I$39,3,0))</f>
        <v>ZAJAC Jakub</v>
      </c>
      <c r="G36" s="420">
        <f>IF(ISERROR(VLOOKUP(C36,'startova listina'!$C$8:$I$39,4,0))=TRUE," ",VLOOKUP(C36,'startova listina'!$C$8:$I$39,4,0))</f>
        <v>2001</v>
      </c>
      <c r="H36" s="377" t="str">
        <f>IF(ISERROR(VLOOKUP(C36,'startova listina'!$C$8:$I$39,5,0))=TRUE," ",VLOOKUP(C36,'startova listina'!$C$8:$I$39,5,0))</f>
        <v>TJ ORAVAN NÁMESTOVO</v>
      </c>
      <c r="I36" s="420">
        <f>IF(ISERROR(VLOOKUP(C36,'startova listina'!$C$8:$I$39,6,0))=TRUE," ",VLOOKUP(C36,'startova listina'!$C$8:$I$39,6,0))</f>
        <v>30</v>
      </c>
      <c r="J36" s="420">
        <f>IF(ISERROR(VLOOKUP(C36,'startova listina'!$C$8:$I$39,7,0))=TRUE," ",VLOOKUP(C36,'startova listina'!$C$8:$I$39,7,0))</f>
        <v>68.3</v>
      </c>
      <c r="L36" s="374" t="str">
        <f t="shared" si="1"/>
        <v>CH24</v>
      </c>
      <c r="Q36" s="374"/>
    </row>
    <row r="37" spans="1:17" s="375" customFormat="1" ht="35.1" customHeight="1">
      <c r="A37" s="374" t="str">
        <f t="shared" si="0"/>
        <v>CH84</v>
      </c>
      <c r="C37" s="376">
        <v>30</v>
      </c>
      <c r="D37" s="376">
        <v>8</v>
      </c>
      <c r="E37" s="376">
        <v>4</v>
      </c>
      <c r="F37" s="377" t="str">
        <f>IF(ISERROR(VLOOKUP(C37,'startova listina'!$C$8:$I$39,3,0))=TRUE," ",VLOOKUP(C37,'startova listina'!$C$8:$I$39,3,0))</f>
        <v>TRUBÁČIK Tomáš</v>
      </c>
      <c r="G37" s="420">
        <f>IF(ISERROR(VLOOKUP(C37,'startova listina'!$C$8:$I$39,4,0))=TRUE," ",VLOOKUP(C37,'startova listina'!$C$8:$I$39,4,0))</f>
        <v>2002</v>
      </c>
      <c r="H37" s="377" t="str">
        <f>IF(ISERROR(VLOOKUP(C37,'startova listina'!$C$8:$I$39,5,0))=TRUE," ",VLOOKUP(C37,'startova listina'!$C$8:$I$39,5,0))</f>
        <v>CVČ ZLATÉ MORAVCE</v>
      </c>
      <c r="I37" s="420">
        <f>IF(ISERROR(VLOOKUP(C37,'startova listina'!$C$8:$I$39,6,0))=TRUE," ",VLOOKUP(C37,'startova listina'!$C$8:$I$39,6,0))</f>
        <v>31</v>
      </c>
      <c r="J37" s="420">
        <f>IF(ISERROR(VLOOKUP(C37,'startova listina'!$C$8:$I$39,7,0))=TRUE," ",VLOOKUP(C37,'startova listina'!$C$8:$I$39,7,0))</f>
        <v>60.74</v>
      </c>
      <c r="L37" s="374" t="str">
        <f t="shared" si="1"/>
        <v>CH84</v>
      </c>
      <c r="Q37" s="374"/>
    </row>
    <row r="38" spans="1:17" s="375" customFormat="1" ht="35.1" customHeight="1">
      <c r="A38" s="374" t="str">
        <f t="shared" si="0"/>
        <v>CH64</v>
      </c>
      <c r="C38" s="376">
        <v>31</v>
      </c>
      <c r="D38" s="376">
        <v>6</v>
      </c>
      <c r="E38" s="376">
        <v>4</v>
      </c>
      <c r="F38" s="377" t="str">
        <f>IF(ISERROR(VLOOKUP(C38,'startova listina'!$C$8:$I$39,3,0))=TRUE," ",VLOOKUP(C38,'startova listina'!$C$8:$I$39,3,0))</f>
        <v>KALINKA Timotej</v>
      </c>
      <c r="G38" s="420">
        <f>IF(ISERROR(VLOOKUP(C38,'startova listina'!$C$8:$I$39,4,0))=TRUE," ",VLOOKUP(C38,'startova listina'!$C$8:$I$39,4,0))</f>
        <v>2002</v>
      </c>
      <c r="H38" s="377" t="str">
        <f>IF(ISERROR(VLOOKUP(C38,'startova listina'!$C$8:$I$39,5,0))=TRUE," ",VLOOKUP(C38,'startova listina'!$C$8:$I$39,5,0))</f>
        <v>MSTK VTJ MARTIN</v>
      </c>
      <c r="I38" s="420">
        <f>IF(ISERROR(VLOOKUP(C38,'startova listina'!$C$8:$I$39,6,0))=TRUE," ",VLOOKUP(C38,'startova listina'!$C$8:$I$39,6,0))</f>
        <v>32</v>
      </c>
      <c r="J38" s="420">
        <f>IF(ISERROR(VLOOKUP(C38,'startova listina'!$C$8:$I$39,7,0))=TRUE," ",VLOOKUP(C38,'startova listina'!$C$8:$I$39,7,0))</f>
        <v>60.32</v>
      </c>
      <c r="L38" s="374" t="str">
        <f t="shared" si="1"/>
        <v>CH64</v>
      </c>
      <c r="Q38" s="374"/>
    </row>
    <row r="39" spans="1:17" s="375" customFormat="1" ht="35.1" customHeight="1">
      <c r="A39" s="374" t="str">
        <f t="shared" si="0"/>
        <v>CH44</v>
      </c>
      <c r="C39" s="376">
        <v>32</v>
      </c>
      <c r="D39" s="376">
        <v>4</v>
      </c>
      <c r="E39" s="376">
        <v>4</v>
      </c>
      <c r="F39" s="377" t="str">
        <f>IF(ISERROR(VLOOKUP(C39,'startova listina'!$C$8:$I$39,3,0))=TRUE," ",VLOOKUP(C39,'startova listina'!$C$8:$I$39,3,0))</f>
        <v>TRŇAN Jakub</v>
      </c>
      <c r="G39" s="420">
        <f>IF(ISERROR(VLOOKUP(C39,'startova listina'!$C$8:$I$39,4,0))=TRUE," ",VLOOKUP(C39,'startova listina'!$C$8:$I$39,4,0))</f>
        <v>2001</v>
      </c>
      <c r="H39" s="377" t="str">
        <f>IF(ISERROR(VLOOKUP(C39,'startova listina'!$C$8:$I$39,5,0))=TRUE," ",VLOOKUP(C39,'startova listina'!$C$8:$I$39,5,0))</f>
        <v>STK RYBNÍK</v>
      </c>
      <c r="I39" s="420">
        <f>IF(ISERROR(VLOOKUP(C39,'startova listina'!$C$8:$I$39,6,0))=TRUE," ",VLOOKUP(C39,'startova listina'!$C$8:$I$39,6,0))</f>
        <v>33</v>
      </c>
      <c r="J39" s="420">
        <f>IF(ISERROR(VLOOKUP(C39,'startova listina'!$C$8:$I$39,7,0))=TRUE," ",VLOOKUP(C39,'startova listina'!$C$8:$I$39,7,0))</f>
        <v>59.9</v>
      </c>
      <c r="L39" s="374" t="str">
        <f t="shared" si="1"/>
        <v>CH44</v>
      </c>
      <c r="Q39" s="374"/>
    </row>
    <row r="41" spans="1:17" ht="31.5">
      <c r="G41" s="368" t="s">
        <v>50</v>
      </c>
    </row>
    <row r="43" spans="1:17" s="379" customFormat="1" ht="23.25">
      <c r="A43" s="378"/>
      <c r="C43" s="380"/>
      <c r="D43" s="482" t="s">
        <v>8</v>
      </c>
      <c r="E43" s="482"/>
      <c r="F43" s="381"/>
      <c r="G43" s="380"/>
      <c r="H43" s="381"/>
      <c r="I43" s="380"/>
      <c r="J43" s="380"/>
      <c r="L43" s="378"/>
      <c r="Q43" s="378"/>
    </row>
    <row r="44" spans="1:17" s="379" customFormat="1" ht="23.25">
      <c r="A44" s="378" t="s">
        <v>11</v>
      </c>
      <c r="C44" s="382" t="s">
        <v>2</v>
      </c>
      <c r="D44" s="382" t="s">
        <v>9</v>
      </c>
      <c r="E44" s="382" t="s">
        <v>10</v>
      </c>
      <c r="F44" s="383" t="s">
        <v>3</v>
      </c>
      <c r="G44" s="382" t="s">
        <v>4</v>
      </c>
      <c r="H44" s="383" t="s">
        <v>5</v>
      </c>
      <c r="I44" s="382" t="s">
        <v>6</v>
      </c>
      <c r="J44" s="382" t="s">
        <v>7</v>
      </c>
      <c r="L44" s="378" t="str">
        <f t="shared" si="1"/>
        <v>kod</v>
      </c>
      <c r="Q44" s="378"/>
    </row>
    <row r="45" spans="1:17" s="375" customFormat="1" ht="35.1" customHeight="1">
      <c r="A45" s="374" t="str">
        <f>CONCATENATE("D",D45,E45)</f>
        <v>D11</v>
      </c>
      <c r="C45" s="376">
        <v>1</v>
      </c>
      <c r="D45" s="376">
        <v>1</v>
      </c>
      <c r="E45" s="376">
        <v>1</v>
      </c>
      <c r="F45" s="377" t="str">
        <f>IF(ISERROR(VLOOKUP(C45,'startova listina'!$C$45:$I$68,3,0))=TRUE," ",VLOOKUP(C45,'startova listina'!$C$45:$I$68,3,0))</f>
        <v>LABOŠOVÁ Ema</v>
      </c>
      <c r="G45" s="421">
        <f>IF(ISERROR(VLOOKUP(C45,'startova listina'!$C$45:$I$68,4,0))=TRUE," ",VLOOKUP(C45,'startova listina'!$C$45:$I$68,4,0))</f>
        <v>2001</v>
      </c>
      <c r="H45" s="377" t="str">
        <f>IF(ISERROR(VLOOKUP(C45,'startova listina'!$C$45:$I$68,5,0))=TRUE," ",VLOOKUP(C45,'startova listina'!$C$45:$I$68,5,0))</f>
        <v>ŠSTK JUNIOR ČAŇA</v>
      </c>
      <c r="I45" s="421">
        <f>IF(ISERROR(VLOOKUP(C45,'startova listina'!$C$45:$I$68,6,0))=TRUE," ",VLOOKUP(C45,'startova listina'!$C$45:$I$68,6,0))</f>
        <v>1</v>
      </c>
      <c r="J45" s="421">
        <f>IF(ISERROR(VLOOKUP(C45,'startova listina'!$C$45:$I$68,7,0))=TRUE," ",VLOOKUP(C45,'startova listina'!$C$45:$I$68,7,0))</f>
        <v>496</v>
      </c>
      <c r="L45" s="374" t="str">
        <f t="shared" si="1"/>
        <v>D11</v>
      </c>
      <c r="Q45" s="374"/>
    </row>
    <row r="46" spans="1:17" s="375" customFormat="1" ht="35.1" customHeight="1">
      <c r="A46" s="374" t="str">
        <f t="shared" ref="A46:A68" si="2">CONCATENATE("D",D46,E46)</f>
        <v>D21</v>
      </c>
      <c r="C46" s="376">
        <v>2</v>
      </c>
      <c r="D46" s="376">
        <v>2</v>
      </c>
      <c r="E46" s="376">
        <v>1</v>
      </c>
      <c r="F46" s="377" t="str">
        <f>IF(ISERROR(VLOOKUP(C46,'startova listina'!$C$45:$I$68,3,0))=TRUE," ",VLOOKUP(C46,'startova listina'!$C$45:$I$68,3,0))</f>
        <v>PEKOVÁ Zuzana</v>
      </c>
      <c r="G46" s="436">
        <f>IF(ISERROR(VLOOKUP(C46,'startova listina'!$C$45:$I$68,4,0))=TRUE," ",VLOOKUP(C46,'startova listina'!$C$45:$I$68,4,0))</f>
        <v>2002</v>
      </c>
      <c r="H46" s="377" t="str">
        <f>IF(ISERROR(VLOOKUP(C46,'startova listina'!$C$45:$I$68,5,0))=TRUE," ",VLOOKUP(C46,'startova listina'!$C$45:$I$68,5,0))</f>
        <v>KST VIKTÓRIA TRNAVA</v>
      </c>
      <c r="I46" s="436">
        <f>IF(ISERROR(VLOOKUP(C46,'startova listina'!$C$45:$I$68,6,0))=TRUE," ",VLOOKUP(C46,'startova listina'!$C$45:$I$68,6,0))</f>
        <v>2</v>
      </c>
      <c r="J46" s="436">
        <f>IF(ISERROR(VLOOKUP(C46,'startova listina'!$C$45:$I$68,7,0))=TRUE," ",VLOOKUP(C46,'startova listina'!$C$45:$I$68,7,0))</f>
        <v>307.63</v>
      </c>
      <c r="L46" s="374" t="str">
        <f t="shared" si="1"/>
        <v>D21</v>
      </c>
      <c r="Q46" s="374"/>
    </row>
    <row r="47" spans="1:17" s="375" customFormat="1" ht="35.1" customHeight="1">
      <c r="A47" s="374" t="str">
        <f t="shared" si="2"/>
        <v>D31</v>
      </c>
      <c r="C47" s="376">
        <v>3</v>
      </c>
      <c r="D47" s="376">
        <v>3</v>
      </c>
      <c r="E47" s="376">
        <v>1</v>
      </c>
      <c r="F47" s="377" t="str">
        <f>IF(ISERROR(VLOOKUP(C47,'startova listina'!$C$45:$I$68,3,0))=TRUE," ",VLOOKUP(C47,'startova listina'!$C$45:$I$68,3,0))</f>
        <v>ŠINKAROVÁ Dáša</v>
      </c>
      <c r="G47" s="436">
        <f>IF(ISERROR(VLOOKUP(C47,'startova listina'!$C$45:$I$68,4,0))=TRUE," ",VLOOKUP(C47,'startova listina'!$C$45:$I$68,4,0))</f>
        <v>2001</v>
      </c>
      <c r="H47" s="377" t="str">
        <f>IF(ISERROR(VLOOKUP(C47,'startova listina'!$C$45:$I$68,5,0))=TRUE," ",VLOOKUP(C47,'startova listina'!$C$45:$I$68,5,0))</f>
        <v>ŠKST MICHALOVCE</v>
      </c>
      <c r="I47" s="436">
        <f>IF(ISERROR(VLOOKUP(C47,'startova listina'!$C$45:$I$68,6,0))=TRUE," ",VLOOKUP(C47,'startova listina'!$C$45:$I$68,6,0))</f>
        <v>3</v>
      </c>
      <c r="J47" s="436">
        <f>IF(ISERROR(VLOOKUP(C47,'startova listina'!$C$45:$I$68,7,0))=TRUE," ",VLOOKUP(C47,'startova listina'!$C$45:$I$68,7,0))</f>
        <v>252.63</v>
      </c>
      <c r="L47" s="374" t="str">
        <f t="shared" si="1"/>
        <v>D31</v>
      </c>
      <c r="Q47" s="374"/>
    </row>
    <row r="48" spans="1:17" s="375" customFormat="1" ht="35.1" customHeight="1">
      <c r="A48" s="374" t="str">
        <f t="shared" si="2"/>
        <v>D41</v>
      </c>
      <c r="C48" s="376">
        <v>4</v>
      </c>
      <c r="D48" s="376">
        <v>4</v>
      </c>
      <c r="E48" s="376">
        <v>1</v>
      </c>
      <c r="F48" s="377" t="str">
        <f>IF(ISERROR(VLOOKUP(C48,'startova listina'!$C$45:$I$68,3,0))=TRUE," ",VLOOKUP(C48,'startova listina'!$C$45:$I$68,3,0))</f>
        <v>DZELINSKA Júlia</v>
      </c>
      <c r="G48" s="436">
        <f>IF(ISERROR(VLOOKUP(C48,'startova listina'!$C$45:$I$68,4,0))=TRUE," ",VLOOKUP(C48,'startova listina'!$C$45:$I$68,4,0))</f>
        <v>2002</v>
      </c>
      <c r="H48" s="377" t="str">
        <f>IF(ISERROR(VLOOKUP(C48,'startova listina'!$C$45:$I$68,5,0))=TRUE," ",VLOOKUP(C48,'startova listina'!$C$45:$I$68,5,0))</f>
        <v>ŠKST MICHALOVCE/STK LOKOMOTÍVA KOŠICE</v>
      </c>
      <c r="I48" s="436">
        <f>IF(ISERROR(VLOOKUP(C48,'startova listina'!$C$45:$I$68,6,0))=TRUE," ",VLOOKUP(C48,'startova listina'!$C$45:$I$68,6,0))</f>
        <v>4</v>
      </c>
      <c r="J48" s="436">
        <f>IF(ISERROR(VLOOKUP(C48,'startova listina'!$C$45:$I$68,7,0))=TRUE," ",VLOOKUP(C48,'startova listina'!$C$45:$I$68,7,0))</f>
        <v>207.64</v>
      </c>
      <c r="L48" s="374" t="str">
        <f t="shared" si="1"/>
        <v>D41</v>
      </c>
      <c r="Q48" s="374"/>
    </row>
    <row r="49" spans="1:17" s="375" customFormat="1" ht="35.1" customHeight="1">
      <c r="A49" s="374" t="str">
        <f t="shared" si="2"/>
        <v>D51</v>
      </c>
      <c r="C49" s="376">
        <v>5</v>
      </c>
      <c r="D49" s="376">
        <v>5</v>
      </c>
      <c r="E49" s="376">
        <v>1</v>
      </c>
      <c r="F49" s="377" t="str">
        <f>IF(ISERROR(VLOOKUP(C49,'startova listina'!$C$45:$I$68,3,0))=TRUE," ",VLOOKUP(C49,'startova listina'!$C$45:$I$68,3,0))</f>
        <v>DIVINSKÁ Natália</v>
      </c>
      <c r="G49" s="436">
        <f>IF(ISERROR(VLOOKUP(C49,'startova listina'!$C$45:$I$68,4,0))=TRUE," ",VLOOKUP(C49,'startova listina'!$C$45:$I$68,4,0))</f>
        <v>2002</v>
      </c>
      <c r="H49" s="377" t="str">
        <f>IF(ISERROR(VLOOKUP(C49,'startova listina'!$C$45:$I$68,5,0))=TRUE," ",VLOOKUP(C49,'startova listina'!$C$45:$I$68,5,0))</f>
        <v>MSTK TVRDOŠÍN</v>
      </c>
      <c r="I49" s="436">
        <f>IF(ISERROR(VLOOKUP(C49,'startova listina'!$C$45:$I$68,6,0))=TRUE," ",VLOOKUP(C49,'startova listina'!$C$45:$I$68,6,0))</f>
        <v>5</v>
      </c>
      <c r="J49" s="436">
        <f>IF(ISERROR(VLOOKUP(C49,'startova listina'!$C$45:$I$68,7,0))=TRUE," ",VLOOKUP(C49,'startova listina'!$C$45:$I$68,7,0))</f>
        <v>194.54</v>
      </c>
      <c r="L49" s="374" t="str">
        <f t="shared" si="1"/>
        <v>D51</v>
      </c>
      <c r="Q49" s="374"/>
    </row>
    <row r="50" spans="1:17" s="375" customFormat="1" ht="35.1" customHeight="1">
      <c r="A50" s="374" t="str">
        <f t="shared" si="2"/>
        <v>D61</v>
      </c>
      <c r="C50" s="376">
        <v>6</v>
      </c>
      <c r="D50" s="376">
        <v>6</v>
      </c>
      <c r="E50" s="376">
        <v>1</v>
      </c>
      <c r="F50" s="377" t="str">
        <f>IF(ISERROR(VLOOKUP(C50,'startova listina'!$C$45:$I$68,3,0))=TRUE," ",VLOOKUP(C50,'startova listina'!$C$45:$I$68,3,0))</f>
        <v>ŠVAJDLENKOVÁ Laura</v>
      </c>
      <c r="G50" s="436">
        <f>IF(ISERROR(VLOOKUP(C50,'startova listina'!$C$45:$I$68,4,0))=TRUE," ",VLOOKUP(C50,'startova listina'!$C$45:$I$68,4,0))</f>
        <v>2001</v>
      </c>
      <c r="H50" s="377" t="str">
        <f>IF(ISERROR(VLOOKUP(C50,'startova listina'!$C$45:$I$68,5,0))=TRUE," ",VLOOKUP(C50,'startova listina'!$C$45:$I$68,5,0))</f>
        <v>MSK MALACKY</v>
      </c>
      <c r="I50" s="436">
        <f>IF(ISERROR(VLOOKUP(C50,'startova listina'!$C$45:$I$68,6,0))=TRUE," ",VLOOKUP(C50,'startova listina'!$C$45:$I$68,6,0))</f>
        <v>6</v>
      </c>
      <c r="J50" s="436">
        <f>IF(ISERROR(VLOOKUP(C50,'startova listina'!$C$45:$I$68,7,0))=TRUE," ",VLOOKUP(C50,'startova listina'!$C$45:$I$68,7,0))</f>
        <v>180.71</v>
      </c>
      <c r="L50" s="374" t="str">
        <f t="shared" si="1"/>
        <v>D61</v>
      </c>
      <c r="Q50" s="374"/>
    </row>
    <row r="51" spans="1:17" s="375" customFormat="1" ht="35.1" customHeight="1">
      <c r="A51" s="374" t="str">
        <f t="shared" si="2"/>
        <v>D71</v>
      </c>
      <c r="C51" s="376">
        <v>7</v>
      </c>
      <c r="D51" s="376">
        <v>7</v>
      </c>
      <c r="E51" s="376">
        <v>1</v>
      </c>
      <c r="F51" s="377" t="str">
        <f>IF(ISERROR(VLOOKUP(C51,'startova listina'!$C$45:$I$68,3,0))=TRUE," ",VLOOKUP(C51,'startova listina'!$C$45:$I$68,3,0))</f>
        <v>MAJERSKÁ Alena</v>
      </c>
      <c r="G51" s="436">
        <f>IF(ISERROR(VLOOKUP(C51,'startova listina'!$C$45:$I$68,4,0))=TRUE," ",VLOOKUP(C51,'startova listina'!$C$45:$I$68,4,0))</f>
        <v>2002</v>
      </c>
      <c r="H51" s="377" t="str">
        <f>IF(ISERROR(VLOOKUP(C51,'startova listina'!$C$45:$I$68,5,0))=TRUE," ",VLOOKUP(C51,'startova listina'!$C$45:$I$68,5,0))</f>
        <v>STO VALALIKY</v>
      </c>
      <c r="I51" s="436">
        <f>IF(ISERROR(VLOOKUP(C51,'startova listina'!$C$45:$I$68,6,0))=TRUE," ",VLOOKUP(C51,'startova listina'!$C$45:$I$68,6,0))</f>
        <v>7</v>
      </c>
      <c r="J51" s="436">
        <f>IF(ISERROR(VLOOKUP(C51,'startova listina'!$C$45:$I$68,7,0))=TRUE," ",VLOOKUP(C51,'startova listina'!$C$45:$I$68,7,0))</f>
        <v>177.93</v>
      </c>
      <c r="L51" s="374" t="str">
        <f t="shared" si="1"/>
        <v>D71</v>
      </c>
      <c r="Q51" s="374"/>
    </row>
    <row r="52" spans="1:17" s="375" customFormat="1" ht="35.1" customHeight="1">
      <c r="A52" s="374" t="str">
        <f t="shared" si="2"/>
        <v>D81</v>
      </c>
      <c r="C52" s="376">
        <v>8</v>
      </c>
      <c r="D52" s="376">
        <v>8</v>
      </c>
      <c r="E52" s="376">
        <v>1</v>
      </c>
      <c r="F52" s="377" t="str">
        <f>IF(ISERROR(VLOOKUP(C52,'startova listina'!$C$45:$I$68,3,0))=TRUE," ",VLOOKUP(C52,'startova listina'!$C$45:$I$68,3,0))</f>
        <v>TEREZKOVÁ Jana</v>
      </c>
      <c r="G52" s="436">
        <f>IF(ISERROR(VLOOKUP(C52,'startova listina'!$C$45:$I$68,4,0))=TRUE," ",VLOOKUP(C52,'startova listina'!$C$45:$I$68,4,0))</f>
        <v>2002</v>
      </c>
      <c r="H52" s="377" t="str">
        <f>IF(ISERROR(VLOOKUP(C52,'startova listina'!$C$45:$I$68,5,0))=TRUE," ",VLOOKUP(C52,'startova listina'!$C$45:$I$68,5,0))</f>
        <v>ŠKST MICHALOVCE</v>
      </c>
      <c r="I52" s="436">
        <f>IF(ISERROR(VLOOKUP(C52,'startova listina'!$C$45:$I$68,6,0))=TRUE," ",VLOOKUP(C52,'startova listina'!$C$45:$I$68,6,0))</f>
        <v>8</v>
      </c>
      <c r="J52" s="436">
        <f>IF(ISERROR(VLOOKUP(C52,'startova listina'!$C$45:$I$68,7,0))=TRUE," ",VLOOKUP(C52,'startova listina'!$C$45:$I$68,7,0))</f>
        <v>165.9</v>
      </c>
      <c r="L52" s="374" t="str">
        <f t="shared" si="1"/>
        <v>D81</v>
      </c>
      <c r="Q52" s="374"/>
    </row>
    <row r="53" spans="1:17" s="375" customFormat="1" ht="35.1" customHeight="1">
      <c r="A53" s="374" t="str">
        <f t="shared" si="2"/>
        <v>D52</v>
      </c>
      <c r="C53" s="376">
        <v>9</v>
      </c>
      <c r="D53" s="376">
        <v>5</v>
      </c>
      <c r="E53" s="376">
        <v>2</v>
      </c>
      <c r="F53" s="377" t="str">
        <f>IF(ISERROR(VLOOKUP(C53,'startova listina'!$C$45:$I$68,3,0))=TRUE," ",VLOOKUP(C53,'startova listina'!$C$45:$I$68,3,0))</f>
        <v>SLOBODNÍKOVÁ Hana</v>
      </c>
      <c r="G53" s="436">
        <f>IF(ISERROR(VLOOKUP(C53,'startova listina'!$C$45:$I$68,4,0))=TRUE," ",VLOOKUP(C53,'startova listina'!$C$45:$I$68,4,0))</f>
        <v>2003</v>
      </c>
      <c r="H53" s="377" t="str">
        <f>IF(ISERROR(VLOOKUP(C53,'startova listina'!$C$45:$I$68,5,0))=TRUE," ",VLOOKUP(C53,'startova listina'!$C$45:$I$68,5,0))</f>
        <v>ŠKST KARLOVA VES</v>
      </c>
      <c r="I53" s="436">
        <f>IF(ISERROR(VLOOKUP(C53,'startova listina'!$C$45:$I$68,6,0))=TRUE," ",VLOOKUP(C53,'startova listina'!$C$45:$I$68,6,0))</f>
        <v>9</v>
      </c>
      <c r="J53" s="436">
        <f>IF(ISERROR(VLOOKUP(C53,'startova listina'!$C$45:$I$68,7,0))=TRUE," ",VLOOKUP(C53,'startova listina'!$C$45:$I$68,7,0))</f>
        <v>157.03</v>
      </c>
      <c r="L53" s="374" t="str">
        <f t="shared" si="1"/>
        <v>D52</v>
      </c>
      <c r="Q53" s="374"/>
    </row>
    <row r="54" spans="1:17" s="375" customFormat="1" ht="35.1" customHeight="1">
      <c r="A54" s="374" t="str">
        <f t="shared" si="2"/>
        <v>D62</v>
      </c>
      <c r="C54" s="376">
        <v>10</v>
      </c>
      <c r="D54" s="376">
        <v>6</v>
      </c>
      <c r="E54" s="376">
        <v>2</v>
      </c>
      <c r="F54" s="377" t="str">
        <f>IF(ISERROR(VLOOKUP(C54,'startova listina'!$C$45:$I$68,3,0))=TRUE," ",VLOOKUP(C54,'startova listina'!$C$45:$I$68,3,0))</f>
        <v>PAPCUNOVÁ Viktória</v>
      </c>
      <c r="G54" s="436">
        <f>IF(ISERROR(VLOOKUP(C54,'startova listina'!$C$45:$I$68,4,0))=TRUE," ",VLOOKUP(C54,'startova listina'!$C$45:$I$68,4,0))</f>
        <v>2001</v>
      </c>
      <c r="H54" s="377" t="str">
        <f>IF(ISERROR(VLOOKUP(C54,'startova listina'!$C$45:$I$68,5,0))=TRUE," ",VLOOKUP(C54,'startova listina'!$C$45:$I$68,5,0))</f>
        <v>ŠSTK JUNIOR ČAŇA</v>
      </c>
      <c r="I54" s="436">
        <f>IF(ISERROR(VLOOKUP(C54,'startova listina'!$C$45:$I$68,6,0))=TRUE," ",VLOOKUP(C54,'startova listina'!$C$45:$I$68,6,0))</f>
        <v>10</v>
      </c>
      <c r="J54" s="436">
        <f>IF(ISERROR(VLOOKUP(C54,'startova listina'!$C$45:$I$68,7,0))=TRUE," ",VLOOKUP(C54,'startova listina'!$C$45:$I$68,7,0))</f>
        <v>138.46</v>
      </c>
      <c r="L54" s="374" t="str">
        <f t="shared" si="1"/>
        <v>D62</v>
      </c>
      <c r="Q54" s="374"/>
    </row>
    <row r="55" spans="1:17" s="375" customFormat="1" ht="35.1" customHeight="1">
      <c r="A55" s="374" t="str">
        <f t="shared" si="2"/>
        <v>D12</v>
      </c>
      <c r="C55" s="376">
        <v>11</v>
      </c>
      <c r="D55" s="376">
        <v>1</v>
      </c>
      <c r="E55" s="376">
        <v>2</v>
      </c>
      <c r="F55" s="377" t="str">
        <f>IF(ISERROR(VLOOKUP(C55,'startova listina'!$C$45:$I$68,3,0))=TRUE," ",VLOOKUP(C55,'startova listina'!$C$45:$I$68,3,0))</f>
        <v>CHYLOVÁ Sabína</v>
      </c>
      <c r="G55" s="436">
        <f>IF(ISERROR(VLOOKUP(C55,'startova listina'!$C$45:$I$68,4,0))=TRUE," ",VLOOKUP(C55,'startova listina'!$C$45:$I$68,4,0))</f>
        <v>2001</v>
      </c>
      <c r="H55" s="377" t="str">
        <f>IF(ISERROR(VLOOKUP(C55,'startova listina'!$C$45:$I$68,5,0))=TRUE," ",VLOOKUP(C55,'startova listina'!$C$45:$I$68,5,0))</f>
        <v>MSTK TVRDOŠÍN</v>
      </c>
      <c r="I55" s="436">
        <f>IF(ISERROR(VLOOKUP(C55,'startova listina'!$C$45:$I$68,6,0))=TRUE," ",VLOOKUP(C55,'startova listina'!$C$45:$I$68,6,0))</f>
        <v>11</v>
      </c>
      <c r="J55" s="436">
        <f>IF(ISERROR(VLOOKUP(C55,'startova listina'!$C$45:$I$68,7,0))=TRUE," ",VLOOKUP(C55,'startova listina'!$C$45:$I$68,7,0))</f>
        <v>135.35</v>
      </c>
      <c r="L55" s="374" t="str">
        <f t="shared" si="1"/>
        <v>D12</v>
      </c>
      <c r="Q55" s="374"/>
    </row>
    <row r="56" spans="1:17" s="375" customFormat="1" ht="35.1" customHeight="1">
      <c r="A56" s="374" t="str">
        <f t="shared" si="2"/>
        <v>D42</v>
      </c>
      <c r="C56" s="376">
        <v>12</v>
      </c>
      <c r="D56" s="376">
        <v>4</v>
      </c>
      <c r="E56" s="376">
        <v>2</v>
      </c>
      <c r="F56" s="377" t="str">
        <f>IF(ISERROR(VLOOKUP(C56,'startova listina'!$C$45:$I$68,3,0))=TRUE," ",VLOOKUP(C56,'startova listina'!$C$45:$I$68,3,0))</f>
        <v>GAŠPARÍKOVÁ Lucia</v>
      </c>
      <c r="G56" s="436">
        <f>IF(ISERROR(VLOOKUP(C56,'startova listina'!$C$45:$I$68,4,0))=TRUE," ",VLOOKUP(C56,'startova listina'!$C$45:$I$68,4,0))</f>
        <v>2002</v>
      </c>
      <c r="H56" s="377" t="str">
        <f>IF(ISERROR(VLOOKUP(C56,'startova listina'!$C$45:$I$68,5,0))=TRUE," ",VLOOKUP(C56,'startova listina'!$C$45:$I$68,5,0))</f>
        <v>TTC MAJCICHOV</v>
      </c>
      <c r="I56" s="436">
        <f>IF(ISERROR(VLOOKUP(C56,'startova listina'!$C$45:$I$68,6,0))=TRUE," ",VLOOKUP(C56,'startova listina'!$C$45:$I$68,6,0))</f>
        <v>12</v>
      </c>
      <c r="J56" s="436">
        <f>IF(ISERROR(VLOOKUP(C56,'startova listina'!$C$45:$I$68,7,0))=TRUE," ",VLOOKUP(C56,'startova listina'!$C$45:$I$68,7,0))</f>
        <v>133.78</v>
      </c>
      <c r="L56" s="374" t="str">
        <f t="shared" si="1"/>
        <v>D42</v>
      </c>
      <c r="Q56" s="374"/>
    </row>
    <row r="57" spans="1:17" s="375" customFormat="1" ht="35.1" customHeight="1">
      <c r="A57" s="374" t="str">
        <f t="shared" si="2"/>
        <v>D22</v>
      </c>
      <c r="C57" s="376">
        <v>13</v>
      </c>
      <c r="D57" s="376">
        <v>2</v>
      </c>
      <c r="E57" s="376">
        <v>2</v>
      </c>
      <c r="F57" s="377" t="str">
        <f>IF(ISERROR(VLOOKUP(C57,'startova listina'!$C$45:$I$68,3,0))=TRUE," ",VLOOKUP(C57,'startova listina'!$C$45:$I$68,3,0))</f>
        <v>MIKULOVÁ Terézia</v>
      </c>
      <c r="G57" s="436">
        <f>IF(ISERROR(VLOOKUP(C57,'startova listina'!$C$45:$I$68,4,0))=TRUE," ",VLOOKUP(C57,'startova listina'!$C$45:$I$68,4,0))</f>
        <v>2001</v>
      </c>
      <c r="H57" s="377" t="str">
        <f>IF(ISERROR(VLOOKUP(C57,'startova listina'!$C$45:$I$68,5,0))=TRUE," ",VLOOKUP(C57,'startova listina'!$C$45:$I$68,5,0))</f>
        <v>KST DRIVE TR. JASTRABIE</v>
      </c>
      <c r="I57" s="436">
        <f>IF(ISERROR(VLOOKUP(C57,'startova listina'!$C$45:$I$68,6,0))=TRUE," ",VLOOKUP(C57,'startova listina'!$C$45:$I$68,6,0))</f>
        <v>13</v>
      </c>
      <c r="J57" s="436">
        <f>IF(ISERROR(VLOOKUP(C57,'startova listina'!$C$45:$I$68,7,0))=TRUE," ",VLOOKUP(C57,'startova listina'!$C$45:$I$68,7,0))</f>
        <v>113.65</v>
      </c>
      <c r="L57" s="374" t="str">
        <f t="shared" si="1"/>
        <v>D22</v>
      </c>
      <c r="Q57" s="374"/>
    </row>
    <row r="58" spans="1:17" s="375" customFormat="1" ht="35.1" customHeight="1">
      <c r="A58" s="374" t="str">
        <f t="shared" si="2"/>
        <v>D32</v>
      </c>
      <c r="C58" s="376">
        <v>14</v>
      </c>
      <c r="D58" s="376">
        <v>3</v>
      </c>
      <c r="E58" s="376">
        <v>2</v>
      </c>
      <c r="F58" s="377" t="str">
        <f>IF(ISERROR(VLOOKUP(C58,'startova listina'!$C$45:$I$68,3,0))=TRUE," ",VLOOKUP(C58,'startova listina'!$C$45:$I$68,3,0))</f>
        <v>DZUROVÁ Lenka</v>
      </c>
      <c r="G58" s="436">
        <f>IF(ISERROR(VLOOKUP(C58,'startova listina'!$C$45:$I$68,4,0))=TRUE," ",VLOOKUP(C58,'startova listina'!$C$45:$I$68,4,0))</f>
        <v>2002</v>
      </c>
      <c r="H58" s="377" t="str">
        <f>IF(ISERROR(VLOOKUP(C58,'startova listina'!$C$45:$I$68,5,0))=TRUE," ",VLOOKUP(C58,'startova listina'!$C$45:$I$68,5,0))</f>
        <v>STK STARÁ TURÁ</v>
      </c>
      <c r="I58" s="436">
        <f>IF(ISERROR(VLOOKUP(C58,'startova listina'!$C$45:$I$68,6,0))=TRUE," ",VLOOKUP(C58,'startova listina'!$C$45:$I$68,6,0))</f>
        <v>14</v>
      </c>
      <c r="J58" s="436">
        <f>IF(ISERROR(VLOOKUP(C58,'startova listina'!$C$45:$I$68,7,0))=TRUE," ",VLOOKUP(C58,'startova listina'!$C$45:$I$68,7,0))</f>
        <v>98.75</v>
      </c>
      <c r="L58" s="374" t="str">
        <f t="shared" si="1"/>
        <v>D32</v>
      </c>
      <c r="Q58" s="374"/>
    </row>
    <row r="59" spans="1:17" s="375" customFormat="1" ht="35.1" customHeight="1">
      <c r="A59" s="374" t="str">
        <f t="shared" si="2"/>
        <v>D72</v>
      </c>
      <c r="C59" s="376">
        <v>15</v>
      </c>
      <c r="D59" s="376">
        <v>7</v>
      </c>
      <c r="E59" s="376">
        <v>2</v>
      </c>
      <c r="F59" s="377" t="str">
        <f>IF(ISERROR(VLOOKUP(C59,'startova listina'!$C$45:$I$68,3,0))=TRUE," ",VLOOKUP(C59,'startova listina'!$C$45:$I$68,3,0))</f>
        <v>VIŠŇOVSKÁ Nina</v>
      </c>
      <c r="G59" s="436">
        <f>IF(ISERROR(VLOOKUP(C59,'startova listina'!$C$45:$I$68,4,0))=TRUE," ",VLOOKUP(C59,'startova listina'!$C$45:$I$68,4,0))</f>
        <v>2003</v>
      </c>
      <c r="H59" s="377" t="str">
        <f>IF(ISERROR(VLOOKUP(C59,'startova listina'!$C$45:$I$68,5,0))=TRUE," ",VLOOKUP(C59,'startova listina'!$C$45:$I$68,5,0))</f>
        <v>TTC INTERSPEAD N.ZÁMKY</v>
      </c>
      <c r="I59" s="436">
        <f>IF(ISERROR(VLOOKUP(C59,'startova listina'!$C$45:$I$68,6,0))=TRUE," ",VLOOKUP(C59,'startova listina'!$C$45:$I$68,6,0))</f>
        <v>15</v>
      </c>
      <c r="J59" s="436">
        <f>IF(ISERROR(VLOOKUP(C59,'startova listina'!$C$45:$I$68,7,0))=TRUE," ",VLOOKUP(C59,'startova listina'!$C$45:$I$68,7,0))</f>
        <v>93.38</v>
      </c>
      <c r="L59" s="374" t="str">
        <f t="shared" si="1"/>
        <v>D72</v>
      </c>
      <c r="Q59" s="374"/>
    </row>
    <row r="60" spans="1:17" s="375" customFormat="1" ht="35.1" customHeight="1">
      <c r="A60" s="374" t="str">
        <f t="shared" si="2"/>
        <v>D82</v>
      </c>
      <c r="C60" s="376">
        <v>16</v>
      </c>
      <c r="D60" s="376">
        <v>8</v>
      </c>
      <c r="E60" s="376">
        <v>2</v>
      </c>
      <c r="F60" s="377" t="str">
        <f>IF(ISERROR(VLOOKUP(C60,'startova listina'!$C$45:$I$68,3,0))=TRUE," ",VLOOKUP(C60,'startova listina'!$C$45:$I$68,3,0))</f>
        <v>VOJTASOVA Patrícia</v>
      </c>
      <c r="G60" s="436">
        <f>IF(ISERROR(VLOOKUP(C60,'startova listina'!$C$45:$I$68,4,0))=TRUE," ",VLOOKUP(C60,'startova listina'!$C$45:$I$68,4,0))</f>
        <v>2001</v>
      </c>
      <c r="H60" s="377" t="str">
        <f>IF(ISERROR(VLOOKUP(C60,'startova listina'!$C$45:$I$68,5,0))=TRUE," ",VLOOKUP(C60,'startova listina'!$C$45:$I$68,5,0))</f>
        <v>ZŠ LIETAVSKÁ LÚČKA</v>
      </c>
      <c r="I60" s="436">
        <f>IF(ISERROR(VLOOKUP(C60,'startova listina'!$C$45:$I$68,6,0))=TRUE," ",VLOOKUP(C60,'startova listina'!$C$45:$I$68,6,0))</f>
        <v>16</v>
      </c>
      <c r="J60" s="436">
        <f>IF(ISERROR(VLOOKUP(C60,'startova listina'!$C$45:$I$68,7,0))=TRUE," ",VLOOKUP(C60,'startova listina'!$C$45:$I$68,7,0))</f>
        <v>91.77</v>
      </c>
      <c r="L60" s="374" t="str">
        <f t="shared" si="1"/>
        <v>D82</v>
      </c>
      <c r="Q60" s="374"/>
    </row>
    <row r="61" spans="1:17" s="375" customFormat="1" ht="35.1" customHeight="1">
      <c r="A61" s="374" t="str">
        <f t="shared" si="2"/>
        <v>D13</v>
      </c>
      <c r="C61" s="376">
        <v>17</v>
      </c>
      <c r="D61" s="376">
        <v>1</v>
      </c>
      <c r="E61" s="376">
        <v>3</v>
      </c>
      <c r="F61" s="377" t="str">
        <f>IF(ISERROR(VLOOKUP(C61,'startova listina'!$C$45:$I$68,3,0))=TRUE," ",VLOOKUP(C61,'startova listina'!$C$45:$I$68,3,0))</f>
        <v>LEDAJOVÁ Martina</v>
      </c>
      <c r="G61" s="436">
        <f>IF(ISERROR(VLOOKUP(C61,'startova listina'!$C$45:$I$68,4,0))=TRUE," ",VLOOKUP(C61,'startova listina'!$C$45:$I$68,4,0))</f>
        <v>2001</v>
      </c>
      <c r="H61" s="377" t="str">
        <f>IF(ISERROR(VLOOKUP(C61,'startova listina'!$C$45:$I$68,5,0))=TRUE," ",VLOOKUP(C61,'startova listina'!$C$45:$I$68,5,0))</f>
        <v>STK OROL OTRHÁNKY</v>
      </c>
      <c r="I61" s="436">
        <f>IF(ISERROR(VLOOKUP(C61,'startova listina'!$C$45:$I$68,6,0))=TRUE," ",VLOOKUP(C61,'startova listina'!$C$45:$I$68,6,0))</f>
        <v>17</v>
      </c>
      <c r="J61" s="436">
        <f>IF(ISERROR(VLOOKUP(C61,'startova listina'!$C$45:$I$68,7,0))=TRUE," ",VLOOKUP(C61,'startova listina'!$C$45:$I$68,7,0))</f>
        <v>87.84</v>
      </c>
      <c r="L61" s="374" t="str">
        <f t="shared" si="1"/>
        <v>D13</v>
      </c>
      <c r="Q61" s="374"/>
    </row>
    <row r="62" spans="1:17" s="375" customFormat="1" ht="35.1" customHeight="1">
      <c r="A62" s="374" t="str">
        <f t="shared" si="2"/>
        <v>D23</v>
      </c>
      <c r="C62" s="376">
        <v>18</v>
      </c>
      <c r="D62" s="376">
        <v>2</v>
      </c>
      <c r="E62" s="376">
        <v>3</v>
      </c>
      <c r="F62" s="377" t="str">
        <f>IF(ISERROR(VLOOKUP(C62,'startova listina'!$C$45:$I$68,3,0))=TRUE," ",VLOOKUP(C62,'startova listina'!$C$45:$I$68,3,0))</f>
        <v>GALČÍKOVÁ Sára</v>
      </c>
      <c r="G62" s="436">
        <f>IF(ISERROR(VLOOKUP(C62,'startova listina'!$C$45:$I$68,4,0))=TRUE," ",VLOOKUP(C62,'startova listina'!$C$45:$I$68,4,0))</f>
        <v>2001</v>
      </c>
      <c r="H62" s="377" t="str">
        <f>IF(ISERROR(VLOOKUP(C62,'startova listina'!$C$45:$I$68,5,0))=TRUE," ",VLOOKUP(C62,'startova listina'!$C$45:$I$68,5,0))</f>
        <v>TJ ORAVAN NÁMESTOVO</v>
      </c>
      <c r="I62" s="436">
        <f>IF(ISERROR(VLOOKUP(C62,'startova listina'!$C$45:$I$68,6,0))=TRUE," ",VLOOKUP(C62,'startova listina'!$C$45:$I$68,6,0))</f>
        <v>18</v>
      </c>
      <c r="J62" s="436">
        <f>IF(ISERROR(VLOOKUP(C62,'startova listina'!$C$45:$I$68,7,0))=TRUE," ",VLOOKUP(C62,'startova listina'!$C$45:$I$68,7,0))</f>
        <v>79.099999999999994</v>
      </c>
      <c r="L62" s="374" t="str">
        <f t="shared" si="1"/>
        <v>D23</v>
      </c>
      <c r="Q62" s="374"/>
    </row>
    <row r="63" spans="1:17" s="375" customFormat="1" ht="35.1" customHeight="1">
      <c r="A63" s="374" t="str">
        <f t="shared" si="2"/>
        <v>D83</v>
      </c>
      <c r="C63" s="376">
        <v>19</v>
      </c>
      <c r="D63" s="376">
        <v>8</v>
      </c>
      <c r="E63" s="376">
        <v>3</v>
      </c>
      <c r="F63" s="377" t="str">
        <f>IF(ISERROR(VLOOKUP(C63,'startova listina'!$C$45:$I$68,3,0))=TRUE," ",VLOOKUP(C63,'startova listina'!$C$45:$I$68,3,0))</f>
        <v>PISARČIKOVÁ Frederika</v>
      </c>
      <c r="G63" s="436">
        <f>IF(ISERROR(VLOOKUP(C63,'startova listina'!$C$45:$I$68,4,0))=TRUE," ",VLOOKUP(C63,'startova listina'!$C$45:$I$68,4,0))</f>
        <v>2002</v>
      </c>
      <c r="H63" s="377" t="str">
        <f>IF(ISERROR(VLOOKUP(C63,'startova listina'!$C$45:$I$68,5,0))=TRUE," ",VLOOKUP(C63,'startova listina'!$C$45:$I$68,5,0))</f>
        <v>ŠKST RUŽOMBEROK</v>
      </c>
      <c r="I63" s="436">
        <f>IF(ISERROR(VLOOKUP(C63,'startova listina'!$C$45:$I$68,6,0))=TRUE," ",VLOOKUP(C63,'startova listina'!$C$45:$I$68,6,0))</f>
        <v>19</v>
      </c>
      <c r="J63" s="436">
        <f>IF(ISERROR(VLOOKUP(C63,'startova listina'!$C$45:$I$68,7,0))=TRUE," ",VLOOKUP(C63,'startova listina'!$C$45:$I$68,7,0))</f>
        <v>78.19</v>
      </c>
      <c r="L63" s="374" t="str">
        <f t="shared" si="1"/>
        <v>D83</v>
      </c>
      <c r="Q63" s="374"/>
    </row>
    <row r="64" spans="1:17" s="375" customFormat="1" ht="35.1" customHeight="1">
      <c r="A64" s="374" t="str">
        <f t="shared" si="2"/>
        <v>D63</v>
      </c>
      <c r="C64" s="376">
        <v>20</v>
      </c>
      <c r="D64" s="376">
        <v>6</v>
      </c>
      <c r="E64" s="376">
        <v>3</v>
      </c>
      <c r="F64" s="377" t="str">
        <f>IF(ISERROR(VLOOKUP(C64,'startova listina'!$C$45:$I$68,3,0))=TRUE," ",VLOOKUP(C64,'startova listina'!$C$45:$I$68,3,0))</f>
        <v>LACENOVÁ Renáta</v>
      </c>
      <c r="G64" s="436">
        <f>IF(ISERROR(VLOOKUP(C64,'startova listina'!$C$45:$I$68,4,0))=TRUE," ",VLOOKUP(C64,'startova listina'!$C$45:$I$68,4,0))</f>
        <v>2003</v>
      </c>
      <c r="H64" s="377" t="str">
        <f>IF(ISERROR(VLOOKUP(C64,'startova listina'!$C$45:$I$68,5,0))=TRUE," ",VLOOKUP(C64,'startova listina'!$C$45:$I$68,5,0))</f>
        <v>ŠKST TOPOĽČANY</v>
      </c>
      <c r="I64" s="436">
        <f>IF(ISERROR(VLOOKUP(C64,'startova listina'!$C$45:$I$68,6,0))=TRUE," ",VLOOKUP(C64,'startova listina'!$C$45:$I$68,6,0))</f>
        <v>20</v>
      </c>
      <c r="J64" s="436">
        <f>IF(ISERROR(VLOOKUP(C64,'startova listina'!$C$45:$I$68,7,0))=TRUE," ",VLOOKUP(C64,'startova listina'!$C$45:$I$68,7,0))</f>
        <v>76.44</v>
      </c>
      <c r="L64" s="374" t="str">
        <f t="shared" si="1"/>
        <v>D63</v>
      </c>
      <c r="Q64" s="374"/>
    </row>
    <row r="65" spans="1:17" s="375" customFormat="1" ht="35.1" customHeight="1">
      <c r="A65" s="374" t="str">
        <f t="shared" si="2"/>
        <v>D73</v>
      </c>
      <c r="C65" s="376">
        <v>21</v>
      </c>
      <c r="D65" s="376">
        <v>7</v>
      </c>
      <c r="E65" s="376">
        <v>3</v>
      </c>
      <c r="F65" s="377" t="str">
        <f>IF(ISERROR(VLOOKUP(C65,'startova listina'!$C$45:$I$68,3,0))=TRUE," ",VLOOKUP(C65,'startova listina'!$C$45:$I$68,3,0))</f>
        <v>GORFOLOVÁ Viktória</v>
      </c>
      <c r="G65" s="436">
        <f>IF(ISERROR(VLOOKUP(C65,'startova listina'!$C$45:$I$68,4,0))=TRUE," ",VLOOKUP(C65,'startova listina'!$C$45:$I$68,4,0))</f>
        <v>2001</v>
      </c>
      <c r="H65" s="377" t="str">
        <f>IF(ISERROR(VLOOKUP(C65,'startova listina'!$C$45:$I$68,5,0))=TRUE," ",VLOOKUP(C65,'startova listina'!$C$45:$I$68,5,0))</f>
        <v>GASTO METALFIN GALANTA</v>
      </c>
      <c r="I65" s="436">
        <f>IF(ISERROR(VLOOKUP(C65,'startova listina'!$C$45:$I$68,6,0))=TRUE," ",VLOOKUP(C65,'startova listina'!$C$45:$I$68,6,0))</f>
        <v>21</v>
      </c>
      <c r="J65" s="436">
        <f>IF(ISERROR(VLOOKUP(C65,'startova listina'!$C$45:$I$68,7,0))=TRUE," ",VLOOKUP(C65,'startova listina'!$C$45:$I$68,7,0))</f>
        <v>72.400000000000006</v>
      </c>
      <c r="L65" s="374" t="str">
        <f t="shared" si="1"/>
        <v>D73</v>
      </c>
      <c r="Q65" s="374"/>
    </row>
    <row r="66" spans="1:17" s="375" customFormat="1" ht="35.1" customHeight="1">
      <c r="A66" s="374" t="str">
        <f t="shared" si="2"/>
        <v>D33</v>
      </c>
      <c r="C66" s="376">
        <v>22</v>
      </c>
      <c r="D66" s="376">
        <v>3</v>
      </c>
      <c r="E66" s="376">
        <v>3</v>
      </c>
      <c r="F66" s="377" t="str">
        <f>IF(ISERROR(VLOOKUP(C66,'startova listina'!$C$45:$I$68,3,0))=TRUE," ",VLOOKUP(C66,'startova listina'!$C$45:$I$68,3,0))</f>
        <v>SISKOVÁ Zuzana</v>
      </c>
      <c r="G66" s="436">
        <f>IF(ISERROR(VLOOKUP(C66,'startova listina'!$C$45:$I$68,4,0))=TRUE," ",VLOOKUP(C66,'startova listina'!$C$45:$I$68,4,0))</f>
        <v>2003</v>
      </c>
      <c r="H66" s="377" t="str">
        <f>IF(ISERROR(VLOOKUP(C66,'startova listina'!$C$45:$I$68,5,0))=TRUE," ",VLOOKUP(C66,'startova listina'!$C$45:$I$68,5,0))</f>
        <v>TTC MAJCICHOV</v>
      </c>
      <c r="I66" s="436">
        <f>IF(ISERROR(VLOOKUP(C66,'startova listina'!$C$45:$I$68,6,0))=TRUE," ",VLOOKUP(C66,'startova listina'!$C$45:$I$68,6,0))</f>
        <v>22</v>
      </c>
      <c r="J66" s="436">
        <f>IF(ISERROR(VLOOKUP(C66,'startova listina'!$C$45:$I$68,7,0))=TRUE," ",VLOOKUP(C66,'startova listina'!$C$45:$I$68,7,0))</f>
        <v>69.599999999999994</v>
      </c>
      <c r="L66" s="374" t="str">
        <f t="shared" si="1"/>
        <v>D33</v>
      </c>
      <c r="Q66" s="374"/>
    </row>
    <row r="67" spans="1:17" s="375" customFormat="1" ht="35.1" customHeight="1">
      <c r="A67" s="374" t="str">
        <f t="shared" si="2"/>
        <v>D43</v>
      </c>
      <c r="C67" s="376">
        <v>23</v>
      </c>
      <c r="D67" s="376">
        <v>4</v>
      </c>
      <c r="E67" s="376">
        <v>3</v>
      </c>
      <c r="F67" s="377" t="str">
        <f>IF(ISERROR(VLOOKUP(C67,'startova listina'!$C$45:$I$68,3,0))=TRUE," ",VLOOKUP(C67,'startova listina'!$C$45:$I$68,3,0))</f>
        <v>HUDÁKOVÁ Ivana</v>
      </c>
      <c r="G67" s="436">
        <f>IF(ISERROR(VLOOKUP(C67,'startova listina'!$C$45:$I$68,4,0))=TRUE," ",VLOOKUP(C67,'startova listina'!$C$45:$I$68,4,0))</f>
        <v>2001</v>
      </c>
      <c r="H67" s="377" t="str">
        <f>IF(ISERROR(VLOOKUP(C67,'startova listina'!$C$45:$I$68,5,0))=TRUE," ",VLOOKUP(C67,'startova listina'!$C$45:$I$68,5,0))</f>
        <v>ZŠ VYŠNÝ ŽIPOV</v>
      </c>
      <c r="I67" s="436">
        <f>IF(ISERROR(VLOOKUP(C67,'startova listina'!$C$45:$I$68,6,0))=TRUE," ",VLOOKUP(C67,'startova listina'!$C$45:$I$68,6,0))</f>
        <v>23</v>
      </c>
      <c r="J67" s="436">
        <f>IF(ISERROR(VLOOKUP(C67,'startova listina'!$C$45:$I$68,7,0))=TRUE," ",VLOOKUP(C67,'startova listina'!$C$45:$I$68,7,0))</f>
        <v>68.58</v>
      </c>
      <c r="L67" s="374" t="str">
        <f t="shared" si="1"/>
        <v>D43</v>
      </c>
      <c r="Q67" s="374"/>
    </row>
    <row r="68" spans="1:17" s="375" customFormat="1" ht="35.1" customHeight="1">
      <c r="A68" s="374" t="str">
        <f t="shared" si="2"/>
        <v>D53</v>
      </c>
      <c r="C68" s="376">
        <v>24</v>
      </c>
      <c r="D68" s="376">
        <v>5</v>
      </c>
      <c r="E68" s="376">
        <v>3</v>
      </c>
      <c r="F68" s="377" t="str">
        <f>IF(ISERROR(VLOOKUP(C68,'startova listina'!$C$45:$I$68,3,0))=TRUE," ",VLOOKUP(C68,'startova listina'!$C$45:$I$68,3,0))</f>
        <v>HURBANOVÁ Isabella</v>
      </c>
      <c r="G68" s="436">
        <f>IF(ISERROR(VLOOKUP(C68,'startova listina'!$C$45:$I$68,4,0))=TRUE," ",VLOOKUP(C68,'startova listina'!$C$45:$I$68,4,0))</f>
        <v>2003</v>
      </c>
      <c r="H68" s="377" t="str">
        <f>IF(ISERROR(VLOOKUP(C68,'startova listina'!$C$45:$I$68,5,0))=TRUE," ",VLOOKUP(C68,'startova listina'!$C$45:$I$68,5,0))</f>
        <v>MSK MALACKY</v>
      </c>
      <c r="I68" s="436">
        <f>IF(ISERROR(VLOOKUP(C68,'startova listina'!$C$45:$I$68,6,0))=TRUE," ",VLOOKUP(C68,'startova listina'!$C$45:$I$68,6,0))</f>
        <v>24</v>
      </c>
      <c r="J68" s="436">
        <f>IF(ISERROR(VLOOKUP(C68,'startova listina'!$C$45:$I$68,7,0))=TRUE," ",VLOOKUP(C68,'startova listina'!$C$45:$I$68,7,0))</f>
        <v>67.63</v>
      </c>
      <c r="L68" s="374" t="str">
        <f t="shared" si="1"/>
        <v>D53</v>
      </c>
      <c r="Q68" s="374"/>
    </row>
    <row r="71" spans="1:17" ht="31.5">
      <c r="G71" s="368" t="s">
        <v>51</v>
      </c>
    </row>
    <row r="73" spans="1:17">
      <c r="D73" s="17"/>
      <c r="E73" s="17"/>
    </row>
    <row r="74" spans="1:17" s="84" customFormat="1" ht="66" customHeight="1">
      <c r="A74" s="388"/>
      <c r="C74" s="389" t="s">
        <v>55</v>
      </c>
      <c r="D74" s="390" t="s">
        <v>397</v>
      </c>
      <c r="E74" s="391" t="s">
        <v>52</v>
      </c>
      <c r="F74" s="392" t="s">
        <v>3</v>
      </c>
      <c r="G74" s="389" t="s">
        <v>4</v>
      </c>
      <c r="H74" s="392" t="s">
        <v>5</v>
      </c>
      <c r="I74" s="391" t="s">
        <v>54</v>
      </c>
      <c r="J74" s="391" t="s">
        <v>53</v>
      </c>
      <c r="L74" s="388">
        <f t="shared" ref="L74:L136" si="3">A74</f>
        <v>0</v>
      </c>
      <c r="Q74" s="388"/>
    </row>
    <row r="75" spans="1:17" s="375" customFormat="1" ht="35.1" customHeight="1">
      <c r="A75" s="374">
        <v>11</v>
      </c>
      <c r="C75" s="479">
        <v>1</v>
      </c>
      <c r="D75" s="480">
        <v>1</v>
      </c>
      <c r="E75" s="376">
        <f>IF(ISERROR(VLOOKUP(A75,'startova listina'!$A$75:$I$106,4,0))=TRUE," ",VLOOKUP(A75,'startova listina'!$A$75:$I$106,4,0))</f>
        <v>1</v>
      </c>
      <c r="F75" s="377" t="str">
        <f>IF(ISERROR(VLOOKUP(A75,'startova listina'!$A$75:$I$106,5,0))=TRUE," ",VLOOKUP(A75,'startova listina'!$A$75:$I$106,5,0))</f>
        <v>DIKO Dalibor</v>
      </c>
      <c r="G75" s="376">
        <f>IF(ISERROR(VLOOKUP(A75,'startova listina'!$A$75:$I$106,6,0))=TRUE," ",VLOOKUP(A75,'startova listina'!$A$75:$I$106,6,0))</f>
        <v>2002</v>
      </c>
      <c r="H75" s="377" t="str">
        <f>IF(ISERROR(VLOOKUP(A75,'startova listina'!$A$75:$I$106,7,0))=TRUE," ",VLOOKUP(A75,'startova listina'!$A$75:$I$106,7,0))</f>
        <v>TJ ORAVAN NÁMESTOVO</v>
      </c>
      <c r="I75" s="376">
        <f>IF(ISERROR(VLOOKUP(A75,'startova listina'!$A$75:$I$106,8,0))=TRUE," ",VLOOKUP(A75,'startova listina'!$A$75:$I$106,8,0))</f>
        <v>398.3</v>
      </c>
      <c r="J75" s="479">
        <f>SUM(I75:I76)</f>
        <v>683.99</v>
      </c>
      <c r="L75" s="374">
        <f t="shared" si="3"/>
        <v>11</v>
      </c>
      <c r="N75" s="477" t="str">
        <f>CONCATENATE(LEFT(F75,FIND(" ",F75,1)-1)," / ",LEFT(F76,FIND(" ",F76,1)-1))</f>
        <v>DIKO / KYSEL</v>
      </c>
      <c r="O75" s="477" t="str">
        <f>CONCATENATE(H75," / ",H76)</f>
        <v>TJ ORAVAN NÁMESTOVO / MSTK TVRDOŠÍN</v>
      </c>
      <c r="P75" s="477" t="str">
        <f>F75</f>
        <v>DIKO Dalibor</v>
      </c>
      <c r="Q75" s="477" t="str">
        <f>F76</f>
        <v>KYSEL Martin</v>
      </c>
    </row>
    <row r="76" spans="1:17" s="375" customFormat="1" ht="35.1" customHeight="1">
      <c r="A76" s="374">
        <v>12</v>
      </c>
      <c r="C76" s="479"/>
      <c r="D76" s="481"/>
      <c r="E76" s="376">
        <f>IF(ISERROR(VLOOKUP(A76,'startova listina'!$A$75:$I$106,4,0))=TRUE," ",VLOOKUP(A76,'startova listina'!$A$75:$I$106,4,0))</f>
        <v>2</v>
      </c>
      <c r="F76" s="377" t="str">
        <f>IF(ISERROR(VLOOKUP(A76,'startova listina'!$A$75:$I$106,5,0))=TRUE," ",VLOOKUP(A76,'startova listina'!$A$75:$I$106,5,0))</f>
        <v>KYSEL Martin</v>
      </c>
      <c r="G76" s="376">
        <f>IF(ISERROR(VLOOKUP(A76,'startova listina'!$A$75:$I$106,6,0))=TRUE," ",VLOOKUP(A76,'startova listina'!$A$75:$I$106,6,0))</f>
        <v>2001</v>
      </c>
      <c r="H76" s="377" t="str">
        <f>IF(ISERROR(VLOOKUP(A76,'startova listina'!$A$75:$I$106,7,0))=TRUE," ",VLOOKUP(A76,'startova listina'!$A$75:$I$106,7,0))</f>
        <v>MSTK TVRDOŠÍN</v>
      </c>
      <c r="I76" s="376">
        <f>IF(ISERROR(VLOOKUP(A76,'startova listina'!$A$75:$I$106,8,0))=TRUE," ",VLOOKUP(A76,'startova listina'!$A$75:$I$106,8,0))</f>
        <v>285.69</v>
      </c>
      <c r="J76" s="479"/>
      <c r="L76" s="374">
        <f t="shared" si="3"/>
        <v>12</v>
      </c>
      <c r="N76" s="478"/>
      <c r="O76" s="478"/>
      <c r="P76" s="478"/>
      <c r="Q76" s="478"/>
    </row>
    <row r="77" spans="1:17" s="375" customFormat="1" ht="35.1" customHeight="1">
      <c r="A77" s="374">
        <v>21</v>
      </c>
      <c r="C77" s="479">
        <v>2</v>
      </c>
      <c r="D77" s="480">
        <v>16</v>
      </c>
      <c r="E77" s="376">
        <f>IF(ISERROR(VLOOKUP(A77,'startova listina'!$A$75:$I$106,4,0))=TRUE," ",VLOOKUP(A77,'startova listina'!$A$75:$I$106,4,0))</f>
        <v>4</v>
      </c>
      <c r="F77" s="377" t="str">
        <f>IF(ISERROR(VLOOKUP(A77,'startova listina'!$A$75:$I$106,5,0))=TRUE," ",VLOOKUP(A77,'startova listina'!$A$75:$I$106,5,0))</f>
        <v>PINDURA Tobiáš</v>
      </c>
      <c r="G77" s="376">
        <f>IF(ISERROR(VLOOKUP(A77,'startova listina'!$A$75:$I$106,6,0))=TRUE," ",VLOOKUP(A77,'startova listina'!$A$75:$I$106,6,0))</f>
        <v>2001</v>
      </c>
      <c r="H77" s="377" t="str">
        <f>IF(ISERROR(VLOOKUP(A77,'startova listina'!$A$75:$I$106,7,0))=TRUE," ",VLOOKUP(A77,'startova listina'!$A$75:$I$106,7,0))</f>
        <v>ŠKST RUŽOMBEROK</v>
      </c>
      <c r="I77" s="376">
        <f>IF(ISERROR(VLOOKUP(A77,'startova listina'!$A$75:$I$106,8,0))=TRUE," ",VLOOKUP(A77,'startova listina'!$A$75:$I$106,8,0))</f>
        <v>244</v>
      </c>
      <c r="J77" s="479">
        <f t="shared" ref="J77" si="4">SUM(I77:I78)</f>
        <v>440.82</v>
      </c>
      <c r="L77" s="374">
        <f t="shared" si="3"/>
        <v>21</v>
      </c>
      <c r="N77" s="477" t="str">
        <f t="shared" ref="N77" si="5">CONCATENATE(LEFT(F77,FIND(" ",F77,1)-1)," / ",LEFT(F78,FIND(" ",F78,1)-1))</f>
        <v>PINDURA / CYPRICH</v>
      </c>
      <c r="O77" s="477" t="str">
        <f t="shared" ref="O77" si="6">CONCATENATE(H77," / ",H78)</f>
        <v>ŠKST RUŽOMBEROK / MSK ČADCA</v>
      </c>
      <c r="P77" s="477" t="str">
        <f t="shared" ref="P77" si="7">F77</f>
        <v>PINDURA Tobiáš</v>
      </c>
      <c r="Q77" s="477" t="str">
        <f t="shared" ref="Q77" si="8">F78</f>
        <v>CYPRICH Samuel</v>
      </c>
    </row>
    <row r="78" spans="1:17" s="375" customFormat="1" ht="35.1" customHeight="1">
      <c r="A78" s="374">
        <v>22</v>
      </c>
      <c r="C78" s="479"/>
      <c r="D78" s="481"/>
      <c r="E78" s="376">
        <f>IF(ISERROR(VLOOKUP(A78,'startova listina'!$A$75:$I$106,4,0))=TRUE," ",VLOOKUP(A78,'startova listina'!$A$75:$I$106,4,0))</f>
        <v>6</v>
      </c>
      <c r="F78" s="377" t="str">
        <f>IF(ISERROR(VLOOKUP(A78,'startova listina'!$A$75:$I$106,5,0))=TRUE," ",VLOOKUP(A78,'startova listina'!$A$75:$I$106,5,0))</f>
        <v>CYPRICH Samuel</v>
      </c>
      <c r="G78" s="376">
        <f>IF(ISERROR(VLOOKUP(A78,'startova listina'!$A$75:$I$106,6,0))=TRUE," ",VLOOKUP(A78,'startova listina'!$A$75:$I$106,6,0))</f>
        <v>2001</v>
      </c>
      <c r="H78" s="377" t="str">
        <f>IF(ISERROR(VLOOKUP(A78,'startova listina'!$A$75:$I$106,7,0))=TRUE," ",VLOOKUP(A78,'startova listina'!$A$75:$I$106,7,0))</f>
        <v>MSK ČADCA</v>
      </c>
      <c r="I78" s="376">
        <f>IF(ISERROR(VLOOKUP(A78,'startova listina'!$A$75:$I$106,8,0))=TRUE," ",VLOOKUP(A78,'startova listina'!$A$75:$I$106,8,0))</f>
        <v>196.82</v>
      </c>
      <c r="J78" s="479"/>
      <c r="L78" s="374">
        <f t="shared" si="3"/>
        <v>22</v>
      </c>
      <c r="N78" s="478"/>
      <c r="O78" s="478"/>
      <c r="P78" s="478"/>
      <c r="Q78" s="478"/>
    </row>
    <row r="79" spans="1:17" s="375" customFormat="1" ht="35.1" customHeight="1">
      <c r="A79" s="374">
        <v>31</v>
      </c>
      <c r="C79" s="479">
        <v>3</v>
      </c>
      <c r="D79" s="480">
        <v>8</v>
      </c>
      <c r="E79" s="376">
        <f>IF(ISERROR(VLOOKUP(A79,'startova listina'!$A$75:$I$106,4,0))=TRUE," ",VLOOKUP(A79,'startova listina'!$A$75:$I$106,4,0))</f>
        <v>3</v>
      </c>
      <c r="F79" s="377" t="str">
        <f>IF(ISERROR(VLOOKUP(A79,'startova listina'!$A$75:$I$106,5,0))=TRUE," ",VLOOKUP(A79,'startova listina'!$A$75:$I$106,5,0))</f>
        <v>FEČO Samuel</v>
      </c>
      <c r="G79" s="376">
        <f>IF(ISERROR(VLOOKUP(A79,'startova listina'!$A$75:$I$106,6,0))=TRUE," ",VLOOKUP(A79,'startova listina'!$A$75:$I$106,6,0))</f>
        <v>2001</v>
      </c>
      <c r="H79" s="377" t="str">
        <f>IF(ISERROR(VLOOKUP(A79,'startova listina'!$A$75:$I$106,7,0))=TRUE," ",VLOOKUP(A79,'startova listina'!$A$75:$I$106,7,0))</f>
        <v>MŠK VSTK VRANOV NAD TOPĽOU</v>
      </c>
      <c r="I79" s="376">
        <f>IF(ISERROR(VLOOKUP(A79,'startova listina'!$A$75:$I$106,8,0))=TRUE," ",VLOOKUP(A79,'startova listina'!$A$75:$I$106,8,0))</f>
        <v>283.54000000000002</v>
      </c>
      <c r="J79" s="479">
        <f t="shared" ref="J79" si="9">SUM(I79:I80)</f>
        <v>438.14</v>
      </c>
      <c r="L79" s="374">
        <f t="shared" si="3"/>
        <v>31</v>
      </c>
      <c r="N79" s="477" t="str">
        <f t="shared" ref="N79" si="10">CONCATENATE(LEFT(F79,FIND(" ",F79,1)-1)," / ",LEFT(F80,FIND(" ",F80,1)-1))</f>
        <v>FEČO / PAPÁNEK</v>
      </c>
      <c r="O79" s="477" t="str">
        <f t="shared" ref="O79" si="11">CONCATENATE(H79," / ",H80)</f>
        <v>MŠK VSTK VRANOV NAD TOPĽOU / STK NOVÁ BAŇA/PODLUŽANY</v>
      </c>
      <c r="P79" s="477" t="str">
        <f t="shared" ref="P79" si="12">F79</f>
        <v>FEČO Samuel</v>
      </c>
      <c r="Q79" s="477" t="str">
        <f t="shared" ref="Q79" si="13">F80</f>
        <v>PAPÁNEK Martin</v>
      </c>
    </row>
    <row r="80" spans="1:17" s="375" customFormat="1" ht="35.1" customHeight="1">
      <c r="A80" s="374">
        <v>32</v>
      </c>
      <c r="C80" s="479"/>
      <c r="D80" s="481"/>
      <c r="E80" s="376">
        <f>IF(ISERROR(VLOOKUP(A80,'startova listina'!$A$75:$I$106,4,0))=TRUE," ",VLOOKUP(A80,'startova listina'!$A$75:$I$106,4,0))</f>
        <v>8</v>
      </c>
      <c r="F80" s="377" t="str">
        <f>IF(ISERROR(VLOOKUP(A80,'startova listina'!$A$75:$I$106,5,0))=TRUE," ",VLOOKUP(A80,'startova listina'!$A$75:$I$106,5,0))</f>
        <v>PAPÁNEK Martin</v>
      </c>
      <c r="G80" s="376">
        <f>IF(ISERROR(VLOOKUP(A80,'startova listina'!$A$75:$I$106,6,0))=TRUE," ",VLOOKUP(A80,'startova listina'!$A$75:$I$106,6,0))</f>
        <v>2001</v>
      </c>
      <c r="H80" s="377" t="str">
        <f>IF(ISERROR(VLOOKUP(A80,'startova listina'!$A$75:$I$106,7,0))=TRUE," ",VLOOKUP(A80,'startova listina'!$A$75:$I$106,7,0))</f>
        <v>STK NOVÁ BAŇA/PODLUŽANY</v>
      </c>
      <c r="I80" s="376">
        <f>IF(ISERROR(VLOOKUP(A80,'startova listina'!$A$75:$I$106,8,0))=TRUE," ",VLOOKUP(A80,'startova listina'!$A$75:$I$106,8,0))</f>
        <v>154.6</v>
      </c>
      <c r="J80" s="479"/>
      <c r="L80" s="374">
        <f t="shared" si="3"/>
        <v>32</v>
      </c>
      <c r="N80" s="478"/>
      <c r="O80" s="478"/>
      <c r="P80" s="478"/>
      <c r="Q80" s="478"/>
    </row>
    <row r="81" spans="1:17" s="375" customFormat="1" ht="35.1" customHeight="1">
      <c r="A81" s="374">
        <v>41</v>
      </c>
      <c r="C81" s="479">
        <v>4</v>
      </c>
      <c r="D81" s="480">
        <v>9</v>
      </c>
      <c r="E81" s="376">
        <f>IF(ISERROR(VLOOKUP(A81,'startova listina'!$A$75:$I$106,4,0))=TRUE," ",VLOOKUP(A81,'startova listina'!$A$75:$I$106,4,0))</f>
        <v>5</v>
      </c>
      <c r="F81" s="377" t="str">
        <f>IF(ISERROR(VLOOKUP(A81,'startova listina'!$A$75:$I$106,5,0))=TRUE," ",VLOOKUP(A81,'startova listina'!$A$75:$I$106,5,0))</f>
        <v>PETRÍK Filip</v>
      </c>
      <c r="G81" s="376">
        <f>IF(ISERROR(VLOOKUP(A81,'startova listina'!$A$75:$I$106,6,0))=TRUE," ",VLOOKUP(A81,'startova listina'!$A$75:$I$106,6,0))</f>
        <v>2001</v>
      </c>
      <c r="H81" s="377" t="str">
        <f>IF(ISERROR(VLOOKUP(A81,'startova listina'!$A$75:$I$106,7,0))=TRUE," ",VLOOKUP(A81,'startova listina'!$A$75:$I$106,7,0))</f>
        <v>KST PLUS40 TREBIŠOV/ŠKST MICHALOVCE</v>
      </c>
      <c r="I81" s="376">
        <f>IF(ISERROR(VLOOKUP(A81,'startova listina'!$A$75:$I$106,8,0))=TRUE," ",VLOOKUP(A81,'startova listina'!$A$75:$I$106,8,0))</f>
        <v>202.47</v>
      </c>
      <c r="J81" s="479">
        <f t="shared" ref="J81:J105" si="14">SUM(I81:I82)</f>
        <v>378.52</v>
      </c>
      <c r="L81" s="374">
        <f t="shared" si="3"/>
        <v>41</v>
      </c>
      <c r="N81" s="477" t="str">
        <f t="shared" ref="N81" si="15">CONCATENATE(LEFT(F81,FIND(" ",F81,1)-1)," / ",LEFT(F82,FIND(" ",F82,1)-1))</f>
        <v>PETRÍK / TUREK</v>
      </c>
      <c r="O81" s="477" t="str">
        <f t="shared" ref="O81" si="16">CONCATENATE(H81," / ",H82)</f>
        <v>KST PLUS40 TREBIŠOV/ŠKST MICHALOVCE / ŠK ŠOG NITRA</v>
      </c>
      <c r="P81" s="477" t="str">
        <f t="shared" ref="P81" si="17">F81</f>
        <v>PETRÍK Filip</v>
      </c>
      <c r="Q81" s="477" t="str">
        <f t="shared" ref="Q81" si="18">F82</f>
        <v>TUREK Teodor</v>
      </c>
    </row>
    <row r="82" spans="1:17" s="375" customFormat="1" ht="35.1" customHeight="1">
      <c r="A82" s="374">
        <v>42</v>
      </c>
      <c r="C82" s="479"/>
      <c r="D82" s="481"/>
      <c r="E82" s="376">
        <f>IF(ISERROR(VLOOKUP(A82,'startova listina'!$A$75:$I$106,4,0))=TRUE," ",VLOOKUP(A82,'startova listina'!$A$75:$I$106,4,0))</f>
        <v>7</v>
      </c>
      <c r="F82" s="377" t="str">
        <f>IF(ISERROR(VLOOKUP(A82,'startova listina'!$A$75:$I$106,5,0))=TRUE," ",VLOOKUP(A82,'startova listina'!$A$75:$I$106,5,0))</f>
        <v>TUREK Teodor</v>
      </c>
      <c r="G82" s="376">
        <f>IF(ISERROR(VLOOKUP(A82,'startova listina'!$A$75:$I$106,6,0))=TRUE," ",VLOOKUP(A82,'startova listina'!$A$75:$I$106,6,0))</f>
        <v>2001</v>
      </c>
      <c r="H82" s="377" t="str">
        <f>IF(ISERROR(VLOOKUP(A82,'startova listina'!$A$75:$I$106,7,0))=TRUE," ",VLOOKUP(A82,'startova listina'!$A$75:$I$106,7,0))</f>
        <v>ŠK ŠOG NITRA</v>
      </c>
      <c r="I82" s="376">
        <f>IF(ISERROR(VLOOKUP(A82,'startova listina'!$A$75:$I$106,8,0))=TRUE," ",VLOOKUP(A82,'startova listina'!$A$75:$I$106,8,0))</f>
        <v>176.05</v>
      </c>
      <c r="J82" s="479"/>
      <c r="L82" s="374">
        <f t="shared" si="3"/>
        <v>42</v>
      </c>
      <c r="N82" s="478"/>
      <c r="O82" s="478"/>
      <c r="P82" s="478"/>
      <c r="Q82" s="478"/>
    </row>
    <row r="83" spans="1:17" s="375" customFormat="1" ht="35.1" customHeight="1">
      <c r="A83" s="374">
        <v>51</v>
      </c>
      <c r="C83" s="479">
        <v>5</v>
      </c>
      <c r="D83" s="480">
        <v>13</v>
      </c>
      <c r="E83" s="376">
        <f>IF(ISERROR(VLOOKUP(A83,'startova listina'!$A$75:$I$106,4,0))=TRUE," ",VLOOKUP(A83,'startova listina'!$A$75:$I$106,4,0))</f>
        <v>9</v>
      </c>
      <c r="F83" s="377" t="str">
        <f>IF(ISERROR(VLOOKUP(A83,'startova listina'!$A$75:$I$106,5,0))=TRUE," ",VLOOKUP(A83,'startova listina'!$A$75:$I$106,5,0))</f>
        <v>HURKA Rastislav</v>
      </c>
      <c r="G83" s="376">
        <f>IF(ISERROR(VLOOKUP(A83,'startova listina'!$A$75:$I$106,6,0))=TRUE," ",VLOOKUP(A83,'startova listina'!$A$75:$I$106,6,0))</f>
        <v>2001</v>
      </c>
      <c r="H83" s="377" t="str">
        <f>IF(ISERROR(VLOOKUP(A83,'startova listina'!$A$75:$I$106,7,0))=TRUE," ",VLOOKUP(A83,'startova listina'!$A$75:$I$106,7,0))</f>
        <v>STO VALALIKY</v>
      </c>
      <c r="I83" s="376">
        <f>IF(ISERROR(VLOOKUP(A83,'startova listina'!$A$75:$I$106,8,0))=TRUE," ",VLOOKUP(A83,'startova listina'!$A$75:$I$106,8,0))</f>
        <v>152.49</v>
      </c>
      <c r="J83" s="479">
        <f t="shared" si="14"/>
        <v>263.99</v>
      </c>
      <c r="L83" s="374">
        <f t="shared" si="3"/>
        <v>51</v>
      </c>
      <c r="N83" s="477" t="str">
        <f t="shared" ref="N83" si="19">CONCATENATE(LEFT(F83,FIND(" ",F83,1)-1)," / ",LEFT(F84,FIND(" ",F84,1)-1))</f>
        <v>HURKA / JALOVECKÝ</v>
      </c>
      <c r="O83" s="477" t="str">
        <f t="shared" ref="O83" si="20">CONCATENATE(H83," / ",H84)</f>
        <v>STO VALALIKY / STK ZŠ NA BIELENISKU PEZINOK</v>
      </c>
      <c r="P83" s="477" t="str">
        <f t="shared" ref="P83" si="21">F83</f>
        <v>HURKA Rastislav</v>
      </c>
      <c r="Q83" s="477" t="str">
        <f t="shared" ref="Q83" si="22">F84</f>
        <v>JALOVECKÝ Marek</v>
      </c>
    </row>
    <row r="84" spans="1:17" s="375" customFormat="1" ht="35.1" customHeight="1">
      <c r="A84" s="374">
        <v>52</v>
      </c>
      <c r="C84" s="479"/>
      <c r="D84" s="481"/>
      <c r="E84" s="376">
        <f>IF(ISERROR(VLOOKUP(A84,'startova listina'!$A$75:$I$106,4,0))=TRUE," ",VLOOKUP(A84,'startova listina'!$A$75:$I$106,4,0))</f>
        <v>14</v>
      </c>
      <c r="F84" s="377" t="str">
        <f>IF(ISERROR(VLOOKUP(A84,'startova listina'!$A$75:$I$106,5,0))=TRUE," ",VLOOKUP(A84,'startova listina'!$A$75:$I$106,5,0))</f>
        <v>JALOVECKÝ Marek</v>
      </c>
      <c r="G84" s="376">
        <f>IF(ISERROR(VLOOKUP(A84,'startova listina'!$A$75:$I$106,6,0))=TRUE," ",VLOOKUP(A84,'startova listina'!$A$75:$I$106,6,0))</f>
        <v>2001</v>
      </c>
      <c r="H84" s="377" t="str">
        <f>IF(ISERROR(VLOOKUP(A84,'startova listina'!$A$75:$I$106,7,0))=TRUE," ",VLOOKUP(A84,'startova listina'!$A$75:$I$106,7,0))</f>
        <v>STK ZŠ NA BIELENISKU PEZINOK</v>
      </c>
      <c r="I84" s="376">
        <f>IF(ISERROR(VLOOKUP(A84,'startova listina'!$A$75:$I$106,8,0))=TRUE," ",VLOOKUP(A84,'startova listina'!$A$75:$I$106,8,0))</f>
        <v>111.5</v>
      </c>
      <c r="J84" s="479"/>
      <c r="L84" s="374">
        <f t="shared" si="3"/>
        <v>52</v>
      </c>
      <c r="N84" s="478"/>
      <c r="O84" s="478"/>
      <c r="P84" s="478"/>
      <c r="Q84" s="478"/>
    </row>
    <row r="85" spans="1:17" s="375" customFormat="1" ht="35.1" customHeight="1">
      <c r="A85" s="374">
        <v>61</v>
      </c>
      <c r="C85" s="479">
        <v>6</v>
      </c>
      <c r="D85" s="480">
        <v>12</v>
      </c>
      <c r="E85" s="376">
        <f>IF(ISERROR(VLOOKUP(A85,'startova listina'!$A$75:$I$106,4,0))=TRUE," ",VLOOKUP(A85,'startova listina'!$A$75:$I$106,4,0))</f>
        <v>10</v>
      </c>
      <c r="F85" s="377" t="str">
        <f>IF(ISERROR(VLOOKUP(A85,'startova listina'!$A$75:$I$106,5,0))=TRUE," ",VLOOKUP(A85,'startova listina'!$A$75:$I$106,5,0))</f>
        <v>ĎANOVSKÝ Martin</v>
      </c>
      <c r="G85" s="376">
        <f>IF(ISERROR(VLOOKUP(A85,'startova listina'!$A$75:$I$106,6,0))=TRUE," ",VLOOKUP(A85,'startova listina'!$A$75:$I$106,6,0))</f>
        <v>2002</v>
      </c>
      <c r="H85" s="377" t="str">
        <f>IF(ISERROR(VLOOKUP(A85,'startova listina'!$A$75:$I$106,7,0))=TRUE," ",VLOOKUP(A85,'startova listina'!$A$75:$I$106,7,0))</f>
        <v>LOKOMOTÍVA VRÚTKY</v>
      </c>
      <c r="I85" s="376">
        <f>IF(ISERROR(VLOOKUP(A85,'startova listina'!$A$75:$I$106,8,0))=TRUE," ",VLOOKUP(A85,'startova listina'!$A$75:$I$106,8,0))</f>
        <v>128.26</v>
      </c>
      <c r="J85" s="479">
        <f t="shared" si="14"/>
        <v>253.85999999999999</v>
      </c>
      <c r="L85" s="374">
        <f t="shared" si="3"/>
        <v>61</v>
      </c>
      <c r="N85" s="477" t="str">
        <f t="shared" ref="N85" si="23">CONCATENATE(LEFT(F85,FIND(" ",F85,1)-1)," / ",LEFT(F86,FIND(" ",F86,1)-1))</f>
        <v>ĎANOVSKÝ / MILAN</v>
      </c>
      <c r="O85" s="477" t="str">
        <f t="shared" ref="O85" si="24">CONCATENATE(H85," / ",H86)</f>
        <v>LOKOMOTÍVA VRÚTKY / 1.PPC FORTUNA KEŽMAROK/TJ OBCE SPIŠSKÝ ŠTIAVNIK</v>
      </c>
      <c r="P85" s="477" t="str">
        <f t="shared" ref="P85" si="25">F85</f>
        <v>ĎANOVSKÝ Martin</v>
      </c>
      <c r="Q85" s="477" t="str">
        <f t="shared" ref="Q85" si="26">F86</f>
        <v>MILAN Martin</v>
      </c>
    </row>
    <row r="86" spans="1:17" s="375" customFormat="1" ht="35.1" customHeight="1">
      <c r="A86" s="374">
        <v>62</v>
      </c>
      <c r="C86" s="479"/>
      <c r="D86" s="481"/>
      <c r="E86" s="376">
        <f>IF(ISERROR(VLOOKUP(A86,'startova listina'!$A$75:$I$106,4,0))=TRUE," ",VLOOKUP(A86,'startova listina'!$A$75:$I$106,4,0))</f>
        <v>11</v>
      </c>
      <c r="F86" s="377" t="str">
        <f>IF(ISERROR(VLOOKUP(A86,'startova listina'!$A$75:$I$106,5,0))=TRUE," ",VLOOKUP(A86,'startova listina'!$A$75:$I$106,5,0))</f>
        <v>MILAN Martin</v>
      </c>
      <c r="G86" s="376">
        <f>IF(ISERROR(VLOOKUP(A86,'startova listina'!$A$75:$I$106,6,0))=TRUE," ",VLOOKUP(A86,'startova listina'!$A$75:$I$106,6,0))</f>
        <v>2001</v>
      </c>
      <c r="H86" s="377" t="str">
        <f>IF(ISERROR(VLOOKUP(A86,'startova listina'!$A$75:$I$106,7,0))=TRUE," ",VLOOKUP(A86,'startova listina'!$A$75:$I$106,7,0))</f>
        <v>1.PPC FORTUNA KEŽMAROK/TJ OBCE SPIŠSKÝ ŠTIAVNIK</v>
      </c>
      <c r="I86" s="376">
        <f>IF(ISERROR(VLOOKUP(A86,'startova listina'!$A$75:$I$106,8,0))=TRUE," ",VLOOKUP(A86,'startova listina'!$A$75:$I$106,8,0))</f>
        <v>125.6</v>
      </c>
      <c r="J86" s="479"/>
      <c r="L86" s="374">
        <f t="shared" si="3"/>
        <v>62</v>
      </c>
      <c r="N86" s="478"/>
      <c r="O86" s="478"/>
      <c r="P86" s="478"/>
      <c r="Q86" s="478"/>
    </row>
    <row r="87" spans="1:17" s="375" customFormat="1" ht="35.1" customHeight="1">
      <c r="A87" s="374">
        <v>71</v>
      </c>
      <c r="C87" s="479">
        <v>7</v>
      </c>
      <c r="D87" s="480">
        <v>4</v>
      </c>
      <c r="E87" s="376">
        <f>IF(ISERROR(VLOOKUP(A87,'startova listina'!$A$75:$I$106,4,0))=TRUE," ",VLOOKUP(A87,'startova listina'!$A$75:$I$106,4,0))</f>
        <v>13</v>
      </c>
      <c r="F87" s="377" t="str">
        <f>IF(ISERROR(VLOOKUP(A87,'startova listina'!$A$75:$I$106,5,0))=TRUE," ",VLOOKUP(A87,'startova listina'!$A$75:$I$106,5,0))</f>
        <v>KLAJBER Adam</v>
      </c>
      <c r="G87" s="376">
        <f>IF(ISERROR(VLOOKUP(A87,'startova listina'!$A$75:$I$106,6,0))=TRUE," ",VLOOKUP(A87,'startova listina'!$A$75:$I$106,6,0))</f>
        <v>2003</v>
      </c>
      <c r="H87" s="377" t="str">
        <f>IF(ISERROR(VLOOKUP(A87,'startova listina'!$A$75:$I$106,7,0))=TRUE," ",VLOOKUP(A87,'startova listina'!$A$75:$I$106,7,0))</f>
        <v>SŠK POPROČ</v>
      </c>
      <c r="I87" s="376">
        <f>IF(ISERROR(VLOOKUP(A87,'startova listina'!$A$75:$I$106,8,0))=TRUE," ",VLOOKUP(A87,'startova listina'!$A$75:$I$106,8,0))</f>
        <v>120.11</v>
      </c>
      <c r="J87" s="479">
        <f t="shared" si="14"/>
        <v>241.37</v>
      </c>
      <c r="L87" s="374">
        <f t="shared" si="3"/>
        <v>71</v>
      </c>
      <c r="N87" s="477" t="str">
        <f t="shared" ref="N87" si="27">CONCATENATE(LEFT(F87,FIND(" ",F87,1)-1)," / ",LEFT(F88,FIND(" ",F88,1)-1))</f>
        <v>KLAJBER / IVANČO</v>
      </c>
      <c r="O87" s="477" t="str">
        <f t="shared" ref="O87" si="28">CONCATENATE(H87," / ",H88)</f>
        <v>SŠK POPROČ / MSK MALACKY</v>
      </c>
      <c r="P87" s="477" t="str">
        <f t="shared" ref="P87" si="29">F87</f>
        <v>KLAJBER Adam</v>
      </c>
      <c r="Q87" s="477" t="str">
        <f t="shared" ref="Q87" si="30">F88</f>
        <v>IVANČO Félix</v>
      </c>
    </row>
    <row r="88" spans="1:17" s="375" customFormat="1" ht="35.1" customHeight="1">
      <c r="A88" s="374">
        <v>72</v>
      </c>
      <c r="C88" s="479"/>
      <c r="D88" s="481"/>
      <c r="E88" s="376">
        <f>IF(ISERROR(VLOOKUP(A88,'startova listina'!$A$75:$I$106,4,0))=TRUE," ",VLOOKUP(A88,'startova listina'!$A$75:$I$106,4,0))</f>
        <v>12</v>
      </c>
      <c r="F88" s="377" t="str">
        <f>IF(ISERROR(VLOOKUP(A88,'startova listina'!$A$75:$I$106,5,0))=TRUE," ",VLOOKUP(A88,'startova listina'!$A$75:$I$106,5,0))</f>
        <v>IVANČO Félix</v>
      </c>
      <c r="G88" s="376">
        <f>IF(ISERROR(VLOOKUP(A88,'startova listina'!$A$75:$I$106,6,0))=TRUE," ",VLOOKUP(A88,'startova listina'!$A$75:$I$106,6,0))</f>
        <v>2003</v>
      </c>
      <c r="H88" s="377" t="str">
        <f>IF(ISERROR(VLOOKUP(A88,'startova listina'!$A$75:$I$106,7,0))=TRUE," ",VLOOKUP(A88,'startova listina'!$A$75:$I$106,7,0))</f>
        <v>MSK MALACKY</v>
      </c>
      <c r="I88" s="376">
        <f>IF(ISERROR(VLOOKUP(A88,'startova listina'!$A$75:$I$106,8,0))=TRUE," ",VLOOKUP(A88,'startova listina'!$A$75:$I$106,8,0))</f>
        <v>121.26</v>
      </c>
      <c r="J88" s="479"/>
      <c r="L88" s="374">
        <f t="shared" si="3"/>
        <v>72</v>
      </c>
      <c r="N88" s="478"/>
      <c r="O88" s="478"/>
      <c r="P88" s="478"/>
      <c r="Q88" s="478"/>
    </row>
    <row r="89" spans="1:17" s="375" customFormat="1" ht="35.1" customHeight="1">
      <c r="A89" s="374">
        <v>81</v>
      </c>
      <c r="C89" s="479">
        <v>8</v>
      </c>
      <c r="D89" s="480">
        <v>5</v>
      </c>
      <c r="E89" s="376">
        <f>IF(ISERROR(VLOOKUP(A89,'startova listina'!$A$75:$I$106,4,0))=TRUE," ",VLOOKUP(A89,'startova listina'!$A$75:$I$106,4,0))</f>
        <v>15</v>
      </c>
      <c r="F89" s="377" t="str">
        <f>IF(ISERROR(VLOOKUP(A89,'startova listina'!$A$75:$I$106,5,0))=TRUE," ",VLOOKUP(A89,'startova listina'!$A$75:$I$106,5,0))</f>
        <v>FUSEK Patrik</v>
      </c>
      <c r="G89" s="376">
        <f>IF(ISERROR(VLOOKUP(A89,'startova listina'!$A$75:$I$106,6,0))=TRUE," ",VLOOKUP(A89,'startova listina'!$A$75:$I$106,6,0))</f>
        <v>2002</v>
      </c>
      <c r="H89" s="377" t="str">
        <f>IF(ISERROR(VLOOKUP(A89,'startova listina'!$A$75:$I$106,7,0))=TRUE," ",VLOOKUP(A89,'startova listina'!$A$75:$I$106,7,0))</f>
        <v>MSK MALACKY</v>
      </c>
      <c r="I89" s="376">
        <f>IF(ISERROR(VLOOKUP(A89,'startova listina'!$A$75:$I$106,8,0))=TRUE," ",VLOOKUP(A89,'startova listina'!$A$75:$I$106,8,0))</f>
        <v>108.51</v>
      </c>
      <c r="J89" s="479">
        <f t="shared" si="14"/>
        <v>209.71</v>
      </c>
      <c r="L89" s="374">
        <f t="shared" si="3"/>
        <v>81</v>
      </c>
      <c r="N89" s="477" t="str">
        <f t="shared" ref="N89" si="31">CONCATENATE(LEFT(F89,FIND(" ",F89,1)-1)," / ",LEFT(F90,FIND(" ",F90,1)-1))</f>
        <v>FUSEK / FREUND</v>
      </c>
      <c r="O89" s="477" t="str">
        <f t="shared" ref="O89" si="32">CONCATENATE(H89," / ",H90)</f>
        <v>MSK MALACKY / MSK MALACKY</v>
      </c>
      <c r="P89" s="477" t="str">
        <f t="shared" ref="P89" si="33">F89</f>
        <v>FUSEK Patrik</v>
      </c>
      <c r="Q89" s="477" t="str">
        <f t="shared" ref="Q89" si="34">F90</f>
        <v>FREUND Andrej</v>
      </c>
    </row>
    <row r="90" spans="1:17" s="375" customFormat="1" ht="35.1" customHeight="1">
      <c r="A90" s="374">
        <v>82</v>
      </c>
      <c r="C90" s="479"/>
      <c r="D90" s="481"/>
      <c r="E90" s="376">
        <f>IF(ISERROR(VLOOKUP(A90,'startova listina'!$A$75:$I$106,4,0))=TRUE," ",VLOOKUP(A90,'startova listina'!$A$75:$I$106,4,0))</f>
        <v>17</v>
      </c>
      <c r="F90" s="377" t="str">
        <f>IF(ISERROR(VLOOKUP(A90,'startova listina'!$A$75:$I$106,5,0))=TRUE," ",VLOOKUP(A90,'startova listina'!$A$75:$I$106,5,0))</f>
        <v>FREUND Andrej</v>
      </c>
      <c r="G90" s="376">
        <f>IF(ISERROR(VLOOKUP(A90,'startova listina'!$A$75:$I$106,6,0))=TRUE," ",VLOOKUP(A90,'startova listina'!$A$75:$I$106,6,0))</f>
        <v>2002</v>
      </c>
      <c r="H90" s="377" t="str">
        <f>IF(ISERROR(VLOOKUP(A90,'startova listina'!$A$75:$I$106,7,0))=TRUE," ",VLOOKUP(A90,'startova listina'!$A$75:$I$106,7,0))</f>
        <v>MSK MALACKY</v>
      </c>
      <c r="I90" s="376">
        <f>IF(ISERROR(VLOOKUP(A90,'startova listina'!$A$75:$I$106,8,0))=TRUE," ",VLOOKUP(A90,'startova listina'!$A$75:$I$106,8,0))</f>
        <v>101.2</v>
      </c>
      <c r="J90" s="479"/>
      <c r="L90" s="374">
        <f t="shared" si="3"/>
        <v>82</v>
      </c>
      <c r="N90" s="478"/>
      <c r="O90" s="478"/>
      <c r="P90" s="478"/>
      <c r="Q90" s="478"/>
    </row>
    <row r="91" spans="1:17" s="375" customFormat="1" ht="35.1" customHeight="1">
      <c r="A91" s="374">
        <v>91</v>
      </c>
      <c r="C91" s="479">
        <v>9</v>
      </c>
      <c r="D91" s="477">
        <v>10</v>
      </c>
      <c r="E91" s="376">
        <f>IF(ISERROR(VLOOKUP(A91,'startova listina'!$A$75:$I$106,4,0))=TRUE," ",VLOOKUP(A91,'startova listina'!$A$75:$I$106,4,0))</f>
        <v>16</v>
      </c>
      <c r="F91" s="377" t="str">
        <f>IF(ISERROR(VLOOKUP(A91,'startova listina'!$A$75:$I$106,5,0))=TRUE," ",VLOOKUP(A91,'startova listina'!$A$75:$I$106,5,0))</f>
        <v>SUCHA Tomáš</v>
      </c>
      <c r="G91" s="376">
        <f>IF(ISERROR(VLOOKUP(A91,'startova listina'!$A$75:$I$106,6,0))=TRUE," ",VLOOKUP(A91,'startova listina'!$A$75:$I$106,6,0))</f>
        <v>2001</v>
      </c>
      <c r="H91" s="377" t="str">
        <f>IF(ISERROR(VLOOKUP(A91,'startova listina'!$A$75:$I$106,7,0))=TRUE," ",VLOOKUP(A91,'startova listina'!$A$75:$I$106,7,0))</f>
        <v>ŠKST KARLOVA VES</v>
      </c>
      <c r="I91" s="376">
        <f>IF(ISERROR(VLOOKUP(A91,'startova listina'!$A$75:$I$106,8,0))=TRUE," ",VLOOKUP(A91,'startova listina'!$A$75:$I$106,8,0))</f>
        <v>106.88</v>
      </c>
      <c r="J91" s="479">
        <f t="shared" si="14"/>
        <v>195.88</v>
      </c>
      <c r="L91" s="374">
        <f t="shared" si="3"/>
        <v>91</v>
      </c>
      <c r="N91" s="477" t="str">
        <f t="shared" ref="N91" si="35">CONCATENATE(LEFT(F91,FIND(" ",F91,1)-1)," / ",LEFT(F92,FIND(" ",F92,1)-1))</f>
        <v>SUCHA / MIKLUŠČÁK</v>
      </c>
      <c r="O91" s="477" t="str">
        <f t="shared" ref="O91" si="36">CONCATENATE(H91," / ",H92)</f>
        <v>ŠKST KARLOVA VES / ŠKST KARLOVA VES</v>
      </c>
      <c r="P91" s="477" t="str">
        <f t="shared" ref="P91" si="37">F91</f>
        <v>SUCHA Tomáš</v>
      </c>
      <c r="Q91" s="477" t="str">
        <f t="shared" ref="Q91" si="38">F92</f>
        <v>MIKLUŠČÁK Benjamín</v>
      </c>
    </row>
    <row r="92" spans="1:17" s="375" customFormat="1" ht="35.1" customHeight="1">
      <c r="A92" s="374">
        <v>92</v>
      </c>
      <c r="C92" s="479"/>
      <c r="D92" s="478"/>
      <c r="E92" s="376">
        <f>IF(ISERROR(VLOOKUP(A92,'startova listina'!$A$75:$I$106,4,0))=TRUE," ",VLOOKUP(A92,'startova listina'!$A$75:$I$106,4,0))</f>
        <v>22</v>
      </c>
      <c r="F92" s="377" t="str">
        <f>IF(ISERROR(VLOOKUP(A92,'startova listina'!$A$75:$I$106,5,0))=TRUE," ",VLOOKUP(A92,'startova listina'!$A$75:$I$106,5,0))</f>
        <v>MIKLUŠČÁK Benjamín</v>
      </c>
      <c r="G92" s="376">
        <f>IF(ISERROR(VLOOKUP(A92,'startova listina'!$A$75:$I$106,6,0))=TRUE," ",VLOOKUP(A92,'startova listina'!$A$75:$I$106,6,0))</f>
        <v>2002</v>
      </c>
      <c r="H92" s="377" t="str">
        <f>IF(ISERROR(VLOOKUP(A92,'startova listina'!$A$75:$I$106,7,0))=TRUE," ",VLOOKUP(A92,'startova listina'!$A$75:$I$106,7,0))</f>
        <v>ŠKST KARLOVA VES</v>
      </c>
      <c r="I92" s="376">
        <f>IF(ISERROR(VLOOKUP(A92,'startova listina'!$A$75:$I$106,8,0))=TRUE," ",VLOOKUP(A92,'startova listina'!$A$75:$I$106,8,0))</f>
        <v>89</v>
      </c>
      <c r="J92" s="479"/>
      <c r="L92" s="374">
        <f t="shared" si="3"/>
        <v>92</v>
      </c>
      <c r="N92" s="478"/>
      <c r="O92" s="478"/>
      <c r="P92" s="478"/>
      <c r="Q92" s="478"/>
    </row>
    <row r="93" spans="1:17" s="375" customFormat="1" ht="35.1" customHeight="1">
      <c r="A93" s="374">
        <v>101</v>
      </c>
      <c r="C93" s="479">
        <v>10</v>
      </c>
      <c r="D93" s="477">
        <v>3</v>
      </c>
      <c r="E93" s="376">
        <f>IF(ISERROR(VLOOKUP(A93,'startova listina'!$A$75:$I$106,4,0))=TRUE," ",VLOOKUP(A93,'startova listina'!$A$75:$I$106,4,0))</f>
        <v>19</v>
      </c>
      <c r="F93" s="377" t="str">
        <f>IF(ISERROR(VLOOKUP(A93,'startova listina'!$A$75:$I$106,5,0))=TRUE," ",VLOOKUP(A93,'startova listina'!$A$75:$I$106,5,0))</f>
        <v>PACH Kamil</v>
      </c>
      <c r="G93" s="376">
        <f>IF(ISERROR(VLOOKUP(A93,'startova listina'!$A$75:$I$106,6,0))=TRUE," ",VLOOKUP(A93,'startova listina'!$A$75:$I$106,6,0))</f>
        <v>2003</v>
      </c>
      <c r="H93" s="377" t="str">
        <f>IF(ISERROR(VLOOKUP(A93,'startova listina'!$A$75:$I$106,7,0))=TRUE," ",VLOOKUP(A93,'startova listina'!$A$75:$I$106,7,0))</f>
        <v>STO VALALIKY</v>
      </c>
      <c r="I93" s="376">
        <f>IF(ISERROR(VLOOKUP(A93,'startova listina'!$A$75:$I$106,8,0))=TRUE," ",VLOOKUP(A93,'startova listina'!$A$75:$I$106,8,0))</f>
        <v>90.72</v>
      </c>
      <c r="J93" s="479">
        <f t="shared" si="14"/>
        <v>179.72</v>
      </c>
      <c r="L93" s="374">
        <f t="shared" si="3"/>
        <v>101</v>
      </c>
      <c r="N93" s="477" t="str">
        <f t="shared" ref="N93" si="39">CONCATENATE(LEFT(F93,FIND(" ",F93,1)-1)," / ",LEFT(F94,FIND(" ",F94,1)-1))</f>
        <v>PACH / DELINČAK</v>
      </c>
      <c r="O93" s="477" t="str">
        <f t="shared" ref="O93" si="40">CONCATENATE(H93," / ",H94)</f>
        <v>STO VALALIKY / MSK ČADCA</v>
      </c>
      <c r="P93" s="477" t="str">
        <f t="shared" ref="P93" si="41">F93</f>
        <v>PACH Kamil</v>
      </c>
      <c r="Q93" s="477" t="str">
        <f t="shared" ref="Q93" si="42">F94</f>
        <v>DELINČAK Filip</v>
      </c>
    </row>
    <row r="94" spans="1:17" s="375" customFormat="1" ht="35.1" customHeight="1">
      <c r="A94" s="374">
        <v>102</v>
      </c>
      <c r="C94" s="479"/>
      <c r="D94" s="478"/>
      <c r="E94" s="376">
        <f>IF(ISERROR(VLOOKUP(A94,'startova listina'!$A$75:$I$106,4,0))=TRUE," ",VLOOKUP(A94,'startova listina'!$A$75:$I$106,4,0))</f>
        <v>21</v>
      </c>
      <c r="F94" s="377" t="str">
        <f>IF(ISERROR(VLOOKUP(A94,'startova listina'!$A$75:$I$106,5,0))=TRUE," ",VLOOKUP(A94,'startova listina'!$A$75:$I$106,5,0))</f>
        <v>DELINČAK Filip</v>
      </c>
      <c r="G94" s="376">
        <f>IF(ISERROR(VLOOKUP(A94,'startova listina'!$A$75:$I$106,6,0))=TRUE," ",VLOOKUP(A94,'startova listina'!$A$75:$I$106,6,0))</f>
        <v>2003</v>
      </c>
      <c r="H94" s="377" t="str">
        <f>IF(ISERROR(VLOOKUP(A94,'startova listina'!$A$75:$I$106,7,0))=TRUE," ",VLOOKUP(A94,'startova listina'!$A$75:$I$106,7,0))</f>
        <v>MSK ČADCA</v>
      </c>
      <c r="I94" s="376">
        <f>IF(ISERROR(VLOOKUP(A94,'startova listina'!$A$75:$I$106,8,0))=TRUE," ",VLOOKUP(A94,'startova listina'!$A$75:$I$106,8,0))</f>
        <v>89</v>
      </c>
      <c r="J94" s="479"/>
      <c r="L94" s="374">
        <f t="shared" si="3"/>
        <v>102</v>
      </c>
      <c r="N94" s="478"/>
      <c r="O94" s="478"/>
      <c r="P94" s="478"/>
      <c r="Q94" s="478"/>
    </row>
    <row r="95" spans="1:17" s="375" customFormat="1" ht="35.1" customHeight="1">
      <c r="A95" s="374">
        <v>111</v>
      </c>
      <c r="C95" s="479">
        <v>11</v>
      </c>
      <c r="D95" s="477">
        <v>2</v>
      </c>
      <c r="E95" s="376">
        <f>IF(ISERROR(VLOOKUP(A95,'startova listina'!$A$75:$I$106,4,0))=TRUE," ",VLOOKUP(A95,'startova listina'!$A$75:$I$106,4,0))</f>
        <v>18</v>
      </c>
      <c r="F95" s="377" t="str">
        <f>IF(ISERROR(VLOOKUP(A95,'startova listina'!$A$75:$I$106,5,0))=TRUE," ",VLOOKUP(A95,'startova listina'!$A$75:$I$106,5,0))</f>
        <v>VICO Dávid</v>
      </c>
      <c r="G95" s="376">
        <f>IF(ISERROR(VLOOKUP(A95,'startova listina'!$A$75:$I$106,6,0))=TRUE," ",VLOOKUP(A95,'startova listina'!$A$75:$I$106,6,0))</f>
        <v>2001</v>
      </c>
      <c r="H95" s="377" t="str">
        <f>IF(ISERROR(VLOOKUP(A95,'startova listina'!$A$75:$I$106,7,0))=TRUE," ",VLOOKUP(A95,'startova listina'!$A$75:$I$106,7,0))</f>
        <v>STO VALALIKY</v>
      </c>
      <c r="I95" s="376">
        <f>IF(ISERROR(VLOOKUP(A95,'startova listina'!$A$75:$I$106,8,0))=TRUE," ",VLOOKUP(A95,'startova listina'!$A$75:$I$106,8,0))</f>
        <v>98.33</v>
      </c>
      <c r="J95" s="479">
        <f t="shared" si="14"/>
        <v>172.39999999999998</v>
      </c>
      <c r="L95" s="374">
        <f t="shared" si="3"/>
        <v>111</v>
      </c>
      <c r="N95" s="477" t="str">
        <f t="shared" ref="N95" si="43">CONCATENATE(LEFT(F95,FIND(" ",F95,1)-1)," / ",LEFT(F96,FIND(" ",F96,1)-1))</f>
        <v>VICO / KLUČÁR</v>
      </c>
      <c r="O95" s="477" t="str">
        <f t="shared" ref="O95" si="44">CONCATENATE(H95," / ",H96)</f>
        <v>STO VALALIKY / TTC MAJCICHOV</v>
      </c>
      <c r="P95" s="477" t="str">
        <f t="shared" ref="P95" si="45">F95</f>
        <v>VICO Dávid</v>
      </c>
      <c r="Q95" s="477" t="str">
        <f t="shared" ref="Q95" si="46">F96</f>
        <v>KLUČÁR Matej</v>
      </c>
    </row>
    <row r="96" spans="1:17" s="375" customFormat="1" ht="35.1" customHeight="1">
      <c r="A96" s="374">
        <v>112</v>
      </c>
      <c r="C96" s="479"/>
      <c r="D96" s="478"/>
      <c r="E96" s="376">
        <f>IF(ISERROR(VLOOKUP(A96,'startova listina'!$A$75:$I$106,4,0))=TRUE," ",VLOOKUP(A96,'startova listina'!$A$75:$I$106,4,0))</f>
        <v>26</v>
      </c>
      <c r="F96" s="377" t="str">
        <f>IF(ISERROR(VLOOKUP(A96,'startova listina'!$A$75:$I$106,5,0))=TRUE," ",VLOOKUP(A96,'startova listina'!$A$75:$I$106,5,0))</f>
        <v>KLUČÁR Matej</v>
      </c>
      <c r="G96" s="376">
        <f>IF(ISERROR(VLOOKUP(A96,'startova listina'!$A$75:$I$106,6,0))=TRUE," ",VLOOKUP(A96,'startova listina'!$A$75:$I$106,6,0))</f>
        <v>2002</v>
      </c>
      <c r="H96" s="377" t="str">
        <f>IF(ISERROR(VLOOKUP(A96,'startova listina'!$A$75:$I$106,7,0))=TRUE," ",VLOOKUP(A96,'startova listina'!$A$75:$I$106,7,0))</f>
        <v>TTC MAJCICHOV</v>
      </c>
      <c r="I96" s="376">
        <f>IF(ISERROR(VLOOKUP(A96,'startova listina'!$A$75:$I$106,8,0))=TRUE," ",VLOOKUP(A96,'startova listina'!$A$75:$I$106,8,0))</f>
        <v>74.069999999999993</v>
      </c>
      <c r="J96" s="479"/>
      <c r="L96" s="374">
        <f t="shared" si="3"/>
        <v>112</v>
      </c>
      <c r="N96" s="478"/>
      <c r="O96" s="478"/>
      <c r="P96" s="478"/>
      <c r="Q96" s="478"/>
    </row>
    <row r="97" spans="1:17" s="375" customFormat="1" ht="35.1" customHeight="1">
      <c r="A97" s="374">
        <v>121</v>
      </c>
      <c r="C97" s="479">
        <v>12</v>
      </c>
      <c r="D97" s="477">
        <v>7</v>
      </c>
      <c r="E97" s="376">
        <f>IF(ISERROR(VLOOKUP(A97,'startova listina'!$A$75:$I$106,4,0))=TRUE," ",VLOOKUP(A97,'startova listina'!$A$75:$I$106,4,0))</f>
        <v>24</v>
      </c>
      <c r="F97" s="377" t="str">
        <f>IF(ISERROR(VLOOKUP(A97,'startova listina'!$A$75:$I$106,5,0))=TRUE," ",VLOOKUP(A97,'startova listina'!$A$75:$I$106,5,0))</f>
        <v>FEČO Michal</v>
      </c>
      <c r="G97" s="376">
        <f>IF(ISERROR(VLOOKUP(A97,'startova listina'!$A$75:$I$106,6,0))=TRUE," ",VLOOKUP(A97,'startova listina'!$A$75:$I$106,6,0))</f>
        <v>2001</v>
      </c>
      <c r="H97" s="377" t="str">
        <f>IF(ISERROR(VLOOKUP(A97,'startova listina'!$A$75:$I$106,7,0))=TRUE," ",VLOOKUP(A97,'startova listina'!$A$75:$I$106,7,0))</f>
        <v>MŠK VSTK VRANOV NAD TOPĽOU</v>
      </c>
      <c r="I97" s="376">
        <f>IF(ISERROR(VLOOKUP(A97,'startova listina'!$A$75:$I$106,8,0))=TRUE," ",VLOOKUP(A97,'startova listina'!$A$75:$I$106,8,0))</f>
        <v>74.64</v>
      </c>
      <c r="J97" s="479">
        <f t="shared" si="14"/>
        <v>164.4</v>
      </c>
      <c r="L97" s="374">
        <f t="shared" si="3"/>
        <v>121</v>
      </c>
      <c r="N97" s="477" t="str">
        <f t="shared" ref="N97" si="47">CONCATENATE(LEFT(F97,FIND(" ",F97,1)-1)," / ",LEFT(F98,FIND(" ",F98,1)-1))</f>
        <v>FEČO / KAPUSTA</v>
      </c>
      <c r="O97" s="477" t="str">
        <f t="shared" ref="O97" si="48">CONCATENATE(H97," / ",H98)</f>
        <v>MŠK VSTK VRANOV NAD TOPĽOU / MSK ČADCA</v>
      </c>
      <c r="P97" s="477" t="str">
        <f t="shared" ref="P97" si="49">F97</f>
        <v>FEČO Michal</v>
      </c>
      <c r="Q97" s="477" t="str">
        <f t="shared" ref="Q97" si="50">F98</f>
        <v>KAPUSTA Martin</v>
      </c>
    </row>
    <row r="98" spans="1:17" s="375" customFormat="1" ht="35.1" customHeight="1">
      <c r="A98" s="374">
        <v>122</v>
      </c>
      <c r="C98" s="479"/>
      <c r="D98" s="478"/>
      <c r="E98" s="376">
        <f>IF(ISERROR(VLOOKUP(A98,'startova listina'!$A$75:$I$106,4,0))=TRUE," ",VLOOKUP(A98,'startova listina'!$A$75:$I$106,4,0))</f>
        <v>20</v>
      </c>
      <c r="F98" s="377" t="str">
        <f>IF(ISERROR(VLOOKUP(A98,'startova listina'!$A$75:$I$106,5,0))=TRUE," ",VLOOKUP(A98,'startova listina'!$A$75:$I$106,5,0))</f>
        <v>KAPUSTA Martin</v>
      </c>
      <c r="G98" s="376">
        <f>IF(ISERROR(VLOOKUP(A98,'startova listina'!$A$75:$I$106,6,0))=TRUE," ",VLOOKUP(A98,'startova listina'!$A$75:$I$106,6,0))</f>
        <v>2002</v>
      </c>
      <c r="H98" s="377" t="str">
        <f>IF(ISERROR(VLOOKUP(A98,'startova listina'!$A$75:$I$106,7,0))=TRUE," ",VLOOKUP(A98,'startova listina'!$A$75:$I$106,7,0))</f>
        <v>MSK ČADCA</v>
      </c>
      <c r="I98" s="376">
        <f>IF(ISERROR(VLOOKUP(A98,'startova listina'!$A$75:$I$106,8,0))=TRUE," ",VLOOKUP(A98,'startova listina'!$A$75:$I$106,8,0))</f>
        <v>89.76</v>
      </c>
      <c r="J98" s="479"/>
      <c r="L98" s="374">
        <f t="shared" si="3"/>
        <v>122</v>
      </c>
      <c r="N98" s="478"/>
      <c r="O98" s="478"/>
      <c r="P98" s="478"/>
      <c r="Q98" s="478"/>
    </row>
    <row r="99" spans="1:17" s="375" customFormat="1" ht="35.1" customHeight="1">
      <c r="A99" s="374">
        <v>131</v>
      </c>
      <c r="C99" s="479">
        <v>13</v>
      </c>
      <c r="D99" s="477">
        <v>6</v>
      </c>
      <c r="E99" s="376">
        <f>IF(ISERROR(VLOOKUP(A99,'startova listina'!$A$75:$I$106,4,0))=TRUE," ",VLOOKUP(A99,'startova listina'!$A$75:$I$106,4,0))</f>
        <v>27</v>
      </c>
      <c r="F99" s="377" t="str">
        <f>IF(ISERROR(VLOOKUP(A99,'startova listina'!$A$75:$I$106,5,0))=TRUE," ",VLOOKUP(A99,'startova listina'!$A$75:$I$106,5,0))</f>
        <v>MACKO Miroslav</v>
      </c>
      <c r="G99" s="376">
        <f>IF(ISERROR(VLOOKUP(A99,'startova listina'!$A$75:$I$106,6,0))=TRUE," ",VLOOKUP(A99,'startova listina'!$A$75:$I$106,6,0))</f>
        <v>2001</v>
      </c>
      <c r="H99" s="377" t="str">
        <f>IF(ISERROR(VLOOKUP(A99,'startova listina'!$A$75:$I$106,7,0))=TRUE," ",VLOOKUP(A99,'startova listina'!$A$75:$I$106,7,0))</f>
        <v>ŠKST KARLOVA VES</v>
      </c>
      <c r="I99" s="376">
        <f>IF(ISERROR(VLOOKUP(A99,'startova listina'!$A$75:$I$106,8,0))=TRUE," ",VLOOKUP(A99,'startova listina'!$A$75:$I$106,8,0))</f>
        <v>73.39</v>
      </c>
      <c r="J99" s="479">
        <f t="shared" si="14"/>
        <v>145.30000000000001</v>
      </c>
      <c r="L99" s="374">
        <f t="shared" si="3"/>
        <v>131</v>
      </c>
      <c r="N99" s="477" t="str">
        <f t="shared" ref="N99" si="51">CONCATENATE(LEFT(F99,FIND(" ",F99,1)-1)," / ",LEFT(F100,FIND(" ",F100,1)-1))</f>
        <v>MACKO / GREGOR</v>
      </c>
      <c r="O99" s="477" t="str">
        <f t="shared" ref="O99" si="52">CONCATENATE(H99," / ",H100)</f>
        <v>ŠKST KARLOVA VES / ŠKST KARLOVA VES</v>
      </c>
      <c r="P99" s="477" t="str">
        <f t="shared" ref="P99" si="53">F99</f>
        <v>MACKO Miroslav</v>
      </c>
      <c r="Q99" s="477" t="str">
        <f t="shared" ref="Q99" si="54">F100</f>
        <v>GREGOR Jakub</v>
      </c>
    </row>
    <row r="100" spans="1:17" s="375" customFormat="1" ht="35.1" customHeight="1">
      <c r="A100" s="374">
        <v>132</v>
      </c>
      <c r="C100" s="479"/>
      <c r="D100" s="478"/>
      <c r="E100" s="376">
        <f>IF(ISERROR(VLOOKUP(A100,'startova listina'!$A$75:$I$106,4,0))=TRUE," ",VLOOKUP(A100,'startova listina'!$A$75:$I$106,4,0))</f>
        <v>28</v>
      </c>
      <c r="F100" s="377" t="str">
        <f>IF(ISERROR(VLOOKUP(A100,'startova listina'!$A$75:$I$106,5,0))=TRUE," ",VLOOKUP(A100,'startova listina'!$A$75:$I$106,5,0))</f>
        <v>GREGOR Jakub</v>
      </c>
      <c r="G100" s="376">
        <f>IF(ISERROR(VLOOKUP(A100,'startova listina'!$A$75:$I$106,6,0))=TRUE," ",VLOOKUP(A100,'startova listina'!$A$75:$I$106,6,0))</f>
        <v>2001</v>
      </c>
      <c r="H100" s="377" t="str">
        <f>IF(ISERROR(VLOOKUP(A100,'startova listina'!$A$75:$I$106,7,0))=TRUE," ",VLOOKUP(A100,'startova listina'!$A$75:$I$106,7,0))</f>
        <v>ŠKST KARLOVA VES</v>
      </c>
      <c r="I100" s="376">
        <f>IF(ISERROR(VLOOKUP(A100,'startova listina'!$A$75:$I$106,8,0))=TRUE," ",VLOOKUP(A100,'startova listina'!$A$75:$I$106,8,0))</f>
        <v>71.91</v>
      </c>
      <c r="J100" s="479"/>
      <c r="L100" s="374">
        <f t="shared" si="3"/>
        <v>132</v>
      </c>
      <c r="N100" s="478"/>
      <c r="O100" s="478"/>
      <c r="P100" s="478"/>
      <c r="Q100" s="478"/>
    </row>
    <row r="101" spans="1:17" s="375" customFormat="1" ht="35.1" customHeight="1">
      <c r="A101" s="374">
        <v>141</v>
      </c>
      <c r="C101" s="479">
        <v>14</v>
      </c>
      <c r="D101" s="477">
        <v>14</v>
      </c>
      <c r="E101" s="376">
        <f>IF(ISERROR(VLOOKUP(A101,'startova listina'!$A$75:$I$106,4,0))=TRUE," ",VLOOKUP(A101,'startova listina'!$A$75:$I$106,4,0))</f>
        <v>30</v>
      </c>
      <c r="F101" s="377" t="str">
        <f>IF(ISERROR(VLOOKUP(A101,'startova listina'!$A$75:$I$106,5,0))=TRUE," ",VLOOKUP(A101,'startova listina'!$A$75:$I$106,5,0))</f>
        <v>ZAJAC Jakub</v>
      </c>
      <c r="G101" s="376">
        <f>IF(ISERROR(VLOOKUP(A101,'startova listina'!$A$75:$I$106,6,0))=TRUE," ",VLOOKUP(A101,'startova listina'!$A$75:$I$106,6,0))</f>
        <v>2001</v>
      </c>
      <c r="H101" s="377" t="str">
        <f>IF(ISERROR(VLOOKUP(A101,'startova listina'!$A$75:$I$106,7,0))=TRUE," ",VLOOKUP(A101,'startova listina'!$A$75:$I$106,7,0))</f>
        <v>TJ ORAVAN NÁMESTOVO</v>
      </c>
      <c r="I101" s="376">
        <f>IF(ISERROR(VLOOKUP(A101,'startova listina'!$A$75:$I$106,8,0))=TRUE," ",VLOOKUP(A101,'startova listina'!$A$75:$I$106,8,0))</f>
        <v>68.3</v>
      </c>
      <c r="J101" s="479">
        <f t="shared" si="14"/>
        <v>143.14999999999998</v>
      </c>
      <c r="L101" s="374">
        <f t="shared" si="3"/>
        <v>141</v>
      </c>
      <c r="N101" s="477" t="str">
        <f t="shared" ref="N101" si="55">CONCATENATE(LEFT(F101,FIND(" ",F101,1)-1)," / ",LEFT(F102,FIND(" ",F102,1)-1))</f>
        <v>ZAJAC / MAKÚCH</v>
      </c>
      <c r="O101" s="477" t="str">
        <f t="shared" ref="O101" si="56">CONCATENATE(H101," / ",H102)</f>
        <v>TJ ORAVAN NÁMESTOVO / TJ ORAVAN NÁMESTOVO/TATRAN KRUŠETNICA</v>
      </c>
      <c r="P101" s="477" t="str">
        <f t="shared" ref="P101" si="57">F101</f>
        <v>ZAJAC Jakub</v>
      </c>
      <c r="Q101" s="477" t="str">
        <f t="shared" ref="Q101" si="58">F102</f>
        <v>MAKÚCH Damian</v>
      </c>
    </row>
    <row r="102" spans="1:17" s="375" customFormat="1" ht="35.1" customHeight="1">
      <c r="A102" s="374">
        <v>142</v>
      </c>
      <c r="C102" s="479"/>
      <c r="D102" s="478"/>
      <c r="E102" s="376">
        <f>IF(ISERROR(VLOOKUP(A102,'startova listina'!$A$75:$I$106,4,0))=TRUE," ",VLOOKUP(A102,'startova listina'!$A$75:$I$106,4,0))</f>
        <v>23</v>
      </c>
      <c r="F102" s="377" t="str">
        <f>IF(ISERROR(VLOOKUP(A102,'startova listina'!$A$75:$I$106,5,0))=TRUE," ",VLOOKUP(A102,'startova listina'!$A$75:$I$106,5,0))</f>
        <v>MAKÚCH Damian</v>
      </c>
      <c r="G102" s="376">
        <f>IF(ISERROR(VLOOKUP(A102,'startova listina'!$A$75:$I$106,6,0))=TRUE," ",VLOOKUP(A102,'startova listina'!$A$75:$I$106,6,0))</f>
        <v>2001</v>
      </c>
      <c r="H102" s="377" t="str">
        <f>IF(ISERROR(VLOOKUP(A102,'startova listina'!$A$75:$I$106,7,0))=TRUE," ",VLOOKUP(A102,'startova listina'!$A$75:$I$106,7,0))</f>
        <v>TJ ORAVAN NÁMESTOVO/TATRAN KRUŠETNICA</v>
      </c>
      <c r="I102" s="376">
        <f>IF(ISERROR(VLOOKUP(A102,'startova listina'!$A$75:$I$106,8,0))=TRUE," ",VLOOKUP(A102,'startova listina'!$A$75:$I$106,8,0))</f>
        <v>74.849999999999994</v>
      </c>
      <c r="J102" s="479"/>
      <c r="L102" s="374">
        <f t="shared" si="3"/>
        <v>142</v>
      </c>
      <c r="N102" s="478"/>
      <c r="O102" s="478"/>
      <c r="P102" s="478"/>
      <c r="Q102" s="478"/>
    </row>
    <row r="103" spans="1:17" s="375" customFormat="1" ht="35.1" customHeight="1">
      <c r="A103" s="374">
        <v>151</v>
      </c>
      <c r="C103" s="479">
        <v>15</v>
      </c>
      <c r="D103" s="477">
        <v>15</v>
      </c>
      <c r="E103" s="376">
        <f>IF(ISERROR(VLOOKUP(A103,'startova listina'!$A$75:$I$106,4,0))=TRUE," ",VLOOKUP(A103,'startova listina'!$A$75:$I$106,4,0))</f>
        <v>29</v>
      </c>
      <c r="F103" s="377" t="str">
        <f>IF(ISERROR(VLOOKUP(A103,'startova listina'!$A$75:$I$106,5,0))=TRUE," ",VLOOKUP(A103,'startova listina'!$A$75:$I$106,5,0))</f>
        <v>MARUNIAK Martin</v>
      </c>
      <c r="G103" s="376">
        <f>IF(ISERROR(VLOOKUP(A103,'startova listina'!$A$75:$I$106,6,0))=TRUE," ",VLOOKUP(A103,'startova listina'!$A$75:$I$106,6,0))</f>
        <v>2001</v>
      </c>
      <c r="H103" s="377" t="str">
        <f>IF(ISERROR(VLOOKUP(A103,'startova listina'!$A$75:$I$106,7,0))=TRUE," ",VLOOKUP(A103,'startova listina'!$A$75:$I$106,7,0))</f>
        <v>MSTK VTJ MARTIN</v>
      </c>
      <c r="I103" s="376">
        <f>IF(ISERROR(VLOOKUP(A103,'startova listina'!$A$75:$I$106,8,0))=TRUE," ",VLOOKUP(A103,'startova listina'!$A$75:$I$106,8,0))</f>
        <v>68.900000000000006</v>
      </c>
      <c r="J103" s="479">
        <f t="shared" si="14"/>
        <v>129.22</v>
      </c>
      <c r="L103" s="374">
        <f t="shared" si="3"/>
        <v>151</v>
      </c>
      <c r="N103" s="477" t="str">
        <f t="shared" ref="N103" si="59">CONCATENATE(LEFT(F103,FIND(" ",F103,1)-1)," / ",LEFT(F104,FIND(" ",F104,1)-1))</f>
        <v>MARUNIAK / KALINKA</v>
      </c>
      <c r="O103" s="477" t="str">
        <f t="shared" ref="O103" si="60">CONCATENATE(H103," / ",H104)</f>
        <v>MSTK VTJ MARTIN / MSTK VTJ MARTIN</v>
      </c>
      <c r="P103" s="477" t="str">
        <f t="shared" ref="P103" si="61">F103</f>
        <v>MARUNIAK Martin</v>
      </c>
      <c r="Q103" s="477" t="str">
        <f t="shared" ref="Q103" si="62">F104</f>
        <v>KALINKA Timotej</v>
      </c>
    </row>
    <row r="104" spans="1:17" s="375" customFormat="1" ht="35.1" customHeight="1">
      <c r="A104" s="374">
        <v>152</v>
      </c>
      <c r="C104" s="479"/>
      <c r="D104" s="478"/>
      <c r="E104" s="376">
        <f>IF(ISERROR(VLOOKUP(A104,'startova listina'!$A$75:$I$106,4,0))=TRUE," ",VLOOKUP(A104,'startova listina'!$A$75:$I$106,4,0))</f>
        <v>32</v>
      </c>
      <c r="F104" s="377" t="str">
        <f>IF(ISERROR(VLOOKUP(A104,'startova listina'!$A$75:$I$106,5,0))=TRUE," ",VLOOKUP(A104,'startova listina'!$A$75:$I$106,5,0))</f>
        <v>KALINKA Timotej</v>
      </c>
      <c r="G104" s="376">
        <f>IF(ISERROR(VLOOKUP(A104,'startova listina'!$A$75:$I$106,6,0))=TRUE," ",VLOOKUP(A104,'startova listina'!$A$75:$I$106,6,0))</f>
        <v>2002</v>
      </c>
      <c r="H104" s="377" t="str">
        <f>IF(ISERROR(VLOOKUP(A104,'startova listina'!$A$75:$I$106,7,0))=TRUE," ",VLOOKUP(A104,'startova listina'!$A$75:$I$106,7,0))</f>
        <v>MSTK VTJ MARTIN</v>
      </c>
      <c r="I104" s="376">
        <f>IF(ISERROR(VLOOKUP(A104,'startova listina'!$A$75:$I$106,8,0))=TRUE," ",VLOOKUP(A104,'startova listina'!$A$75:$I$106,8,0))</f>
        <v>60.32</v>
      </c>
      <c r="J104" s="479"/>
      <c r="L104" s="374">
        <f t="shared" si="3"/>
        <v>152</v>
      </c>
      <c r="N104" s="478"/>
      <c r="O104" s="478"/>
      <c r="P104" s="478"/>
      <c r="Q104" s="478"/>
    </row>
    <row r="105" spans="1:17" s="375" customFormat="1" ht="35.1" customHeight="1">
      <c r="A105" s="374">
        <v>161</v>
      </c>
      <c r="C105" s="479">
        <v>16</v>
      </c>
      <c r="D105" s="477">
        <v>11</v>
      </c>
      <c r="E105" s="376">
        <f>IF(ISERROR(VLOOKUP(A105,'startova listina'!$A$75:$I$106,4,0))=TRUE," ",VLOOKUP(A105,'startova listina'!$A$75:$I$106,4,0))</f>
        <v>25</v>
      </c>
      <c r="F105" s="377" t="str">
        <f>IF(ISERROR(VLOOKUP(A105,'startova listina'!$A$75:$I$106,5,0))=TRUE," ",VLOOKUP(A105,'startova listina'!$A$75:$I$106,5,0))</f>
        <v>TRŇAN Jakub</v>
      </c>
      <c r="G105" s="376">
        <f>IF(ISERROR(VLOOKUP(A105,'startova listina'!$A$75:$I$106,6,0))=TRUE," ",VLOOKUP(A105,'startova listina'!$A$75:$I$106,6,0))</f>
        <v>2001</v>
      </c>
      <c r="H105" s="377" t="str">
        <f>IF(ISERROR(VLOOKUP(A105,'startova listina'!$A$75:$I$106,7,0))=TRUE," ",VLOOKUP(A105,'startova listina'!$A$75:$I$106,7,0))</f>
        <v>STK RYBNÍK</v>
      </c>
      <c r="I105" s="376">
        <f>IF(ISERROR(VLOOKUP(A105,'startova listina'!$A$75:$I$106,8,0))=TRUE," ",VLOOKUP(A105,'startova listina'!$A$75:$I$106,8,0))</f>
        <v>59.9</v>
      </c>
      <c r="J105" s="479">
        <f t="shared" si="14"/>
        <v>120.64</v>
      </c>
      <c r="L105" s="374">
        <f t="shared" si="3"/>
        <v>161</v>
      </c>
      <c r="N105" s="477" t="str">
        <f t="shared" ref="N105" si="63">CONCATENATE(LEFT(F105,FIND(" ",F105,1)-1)," / ",LEFT(F106,FIND(" ",F106,1)-1))</f>
        <v>TRŇAN / TRUBÁČIK</v>
      </c>
      <c r="O105" s="477" t="str">
        <f t="shared" ref="O105" si="64">CONCATENATE(H105," / ",H106)</f>
        <v>STK RYBNÍK / CVČ ZLATÉ MORAVCE</v>
      </c>
      <c r="P105" s="477" t="str">
        <f t="shared" ref="P105" si="65">F105</f>
        <v>TRŇAN Jakub</v>
      </c>
      <c r="Q105" s="477" t="str">
        <f t="shared" ref="Q105" si="66">F106</f>
        <v>TRUBÁČIK Tomáš</v>
      </c>
    </row>
    <row r="106" spans="1:17" s="375" customFormat="1" ht="35.1" customHeight="1">
      <c r="A106" s="374">
        <v>162</v>
      </c>
      <c r="C106" s="479"/>
      <c r="D106" s="478"/>
      <c r="E106" s="376">
        <f>IF(ISERROR(VLOOKUP(A106,'startova listina'!$A$75:$I$106,4,0))=TRUE," ",VLOOKUP(A106,'startova listina'!$A$75:$I$106,4,0))</f>
        <v>31</v>
      </c>
      <c r="F106" s="377" t="str">
        <f>IF(ISERROR(VLOOKUP(A106,'startova listina'!$A$75:$I$106,5,0))=TRUE," ",VLOOKUP(A106,'startova listina'!$A$75:$I$106,5,0))</f>
        <v>TRUBÁČIK Tomáš</v>
      </c>
      <c r="G106" s="376">
        <f>IF(ISERROR(VLOOKUP(A106,'startova listina'!$A$75:$I$106,6,0))=TRUE," ",VLOOKUP(A106,'startova listina'!$A$75:$I$106,6,0))</f>
        <v>2002</v>
      </c>
      <c r="H106" s="377" t="str">
        <f>IF(ISERROR(VLOOKUP(A106,'startova listina'!$A$75:$I$106,7,0))=TRUE," ",VLOOKUP(A106,'startova listina'!$A$75:$I$106,7,0))</f>
        <v>CVČ ZLATÉ MORAVCE</v>
      </c>
      <c r="I106" s="376">
        <f>IF(ISERROR(VLOOKUP(A106,'startova listina'!$A$75:$I$106,8,0))=TRUE," ",VLOOKUP(A106,'startova listina'!$A$75:$I$106,8,0))</f>
        <v>60.74</v>
      </c>
      <c r="J106" s="479"/>
      <c r="L106" s="374">
        <f t="shared" si="3"/>
        <v>162</v>
      </c>
      <c r="N106" s="478"/>
      <c r="O106" s="478"/>
      <c r="P106" s="478"/>
      <c r="Q106" s="478"/>
    </row>
    <row r="107" spans="1:17" s="204" customFormat="1">
      <c r="A107" s="203"/>
      <c r="C107" s="205" t="s">
        <v>121</v>
      </c>
      <c r="D107" s="205" t="s">
        <v>121</v>
      </c>
      <c r="E107" s="205" t="s">
        <v>121</v>
      </c>
      <c r="F107" s="204" t="s">
        <v>121</v>
      </c>
      <c r="G107" s="205" t="s">
        <v>121</v>
      </c>
      <c r="H107" s="204" t="s">
        <v>121</v>
      </c>
      <c r="I107" s="205" t="s">
        <v>121</v>
      </c>
      <c r="J107" s="205" t="s">
        <v>121</v>
      </c>
      <c r="K107" s="204" t="s">
        <v>121</v>
      </c>
      <c r="L107" s="203"/>
      <c r="N107" s="204" t="s">
        <v>121</v>
      </c>
      <c r="O107" s="204" t="s">
        <v>121</v>
      </c>
      <c r="P107" s="204" t="s">
        <v>121</v>
      </c>
      <c r="Q107" s="204" t="s">
        <v>121</v>
      </c>
    </row>
    <row r="109" spans="1:17" ht="31.5">
      <c r="G109" s="368" t="s">
        <v>396</v>
      </c>
    </row>
    <row r="111" spans="1:17">
      <c r="D111" s="17"/>
      <c r="E111" s="17"/>
    </row>
    <row r="112" spans="1:17" s="379" customFormat="1" ht="69.75">
      <c r="A112" s="378"/>
      <c r="C112" s="384" t="s">
        <v>55</v>
      </c>
      <c r="D112" s="385" t="s">
        <v>397</v>
      </c>
      <c r="E112" s="386" t="s">
        <v>57</v>
      </c>
      <c r="F112" s="387" t="s">
        <v>3</v>
      </c>
      <c r="G112" s="384" t="s">
        <v>4</v>
      </c>
      <c r="H112" s="387" t="s">
        <v>5</v>
      </c>
      <c r="I112" s="386" t="s">
        <v>54</v>
      </c>
      <c r="J112" s="386" t="s">
        <v>53</v>
      </c>
      <c r="L112" s="378">
        <f t="shared" si="3"/>
        <v>0</v>
      </c>
      <c r="Q112" s="378"/>
    </row>
    <row r="113" spans="1:17" s="375" customFormat="1" ht="35.1" customHeight="1">
      <c r="A113" s="374">
        <v>11</v>
      </c>
      <c r="C113" s="479">
        <f>RANK(J113,$J$113:$J$136,0)</f>
        <v>1</v>
      </c>
      <c r="D113" s="477">
        <v>1</v>
      </c>
      <c r="E113" s="376">
        <f>IF(ISERROR(VLOOKUP(A113,'startova listina'!$A$113:$I$136,4,0))=TRUE," ",VLOOKUP(A113,'startova listina'!$A$113:$I$136,4,0))</f>
        <v>1</v>
      </c>
      <c r="F113" s="377" t="str">
        <f>IF(ISERROR(VLOOKUP(A113,'startova listina'!$A$113:$I$136,5,0))=TRUE," ",VLOOKUP(A113,'startova listina'!$A$113:$I$136,5,0))</f>
        <v>LABOŠOVÁ Ema</v>
      </c>
      <c r="G113" s="376">
        <f>IF(ISERROR(VLOOKUP(A113,'startova listina'!$A$113:$I$136,6,0))=TRUE," ",VLOOKUP(A113,'startova listina'!$A$113:$I$136,6,0))</f>
        <v>2001</v>
      </c>
      <c r="H113" s="377" t="str">
        <f>IF(ISERROR(VLOOKUP(A113,'startova listina'!$A$113:$I$136,7,0))=TRUE," ",VLOOKUP(A113,'startova listina'!$A$113:$I$136,7,0))</f>
        <v>ŠSTK JUNIOR ČAŇA</v>
      </c>
      <c r="I113" s="376">
        <f>IF(ISERROR(VLOOKUP(A113,'startova listina'!$A$113:$I$136,8,0))=TRUE," ",VLOOKUP(A113,'startova listina'!$A$113:$I$136,8,0))</f>
        <v>496</v>
      </c>
      <c r="J113" s="479">
        <f>SUM(I113:I114)</f>
        <v>748.63</v>
      </c>
      <c r="L113" s="374">
        <f t="shared" si="3"/>
        <v>11</v>
      </c>
      <c r="N113" s="477" t="str">
        <f t="shared" ref="N113" si="67">CONCATENATE(LEFT(F113,FIND(" ",F113,1)-1)," / ",LEFT(F114,FIND(" ",F114,1)-1))</f>
        <v>LABOŠOVÁ / ŠINKAROVÁ</v>
      </c>
      <c r="O113" s="477" t="str">
        <f t="shared" ref="O113" si="68">CONCATENATE(H113," / ",H114)</f>
        <v>ŠSTK JUNIOR ČAŇA / ŠKST MICHALOVCE</v>
      </c>
      <c r="P113" s="477" t="str">
        <f t="shared" ref="P113" si="69">F113</f>
        <v>LABOŠOVÁ Ema</v>
      </c>
      <c r="Q113" s="477" t="str">
        <f t="shared" ref="Q113" si="70">F114</f>
        <v>ŠINKAROVÁ Dáša</v>
      </c>
    </row>
    <row r="114" spans="1:17" s="375" customFormat="1" ht="35.1" customHeight="1">
      <c r="A114" s="374">
        <v>12</v>
      </c>
      <c r="C114" s="479"/>
      <c r="D114" s="478"/>
      <c r="E114" s="376">
        <f>IF(ISERROR(VLOOKUP(A114,'startova listina'!$A$113:$I$136,4,0))=TRUE," ",VLOOKUP(A114,'startova listina'!$A$113:$I$136,4,0))</f>
        <v>3</v>
      </c>
      <c r="F114" s="377" t="str">
        <f>IF(ISERROR(VLOOKUP(A114,'startova listina'!$A$113:$I$136,5,0))=TRUE," ",VLOOKUP(A114,'startova listina'!$A$113:$I$136,5,0))</f>
        <v>ŠINKAROVÁ Dáša</v>
      </c>
      <c r="G114" s="376">
        <f>IF(ISERROR(VLOOKUP(A114,'startova listina'!$A$113:$I$136,6,0))=TRUE," ",VLOOKUP(A114,'startova listina'!$A$113:$I$136,6,0))</f>
        <v>2001</v>
      </c>
      <c r="H114" s="377" t="str">
        <f>IF(ISERROR(VLOOKUP(A114,'startova listina'!$A$113:$I$136,7,0))=TRUE," ",VLOOKUP(A114,'startova listina'!$A$113:$I$136,7,0))</f>
        <v>ŠKST MICHALOVCE</v>
      </c>
      <c r="I114" s="376">
        <f>IF(ISERROR(VLOOKUP(A114,'startova listina'!$A$113:$I$136,8,0))=TRUE," ",VLOOKUP(A114,'startova listina'!$A$113:$I$136,8,0))</f>
        <v>252.63</v>
      </c>
      <c r="J114" s="479"/>
      <c r="L114" s="374">
        <f t="shared" si="3"/>
        <v>12</v>
      </c>
      <c r="N114" s="478"/>
      <c r="O114" s="478"/>
      <c r="P114" s="478"/>
      <c r="Q114" s="478"/>
    </row>
    <row r="115" spans="1:17" s="375" customFormat="1" ht="35.1" customHeight="1">
      <c r="A115" s="374">
        <v>21</v>
      </c>
      <c r="C115" s="479">
        <f t="shared" ref="C115" si="71">RANK(J115,$J$113:$J$136,0)</f>
        <v>2</v>
      </c>
      <c r="D115" s="477">
        <v>16</v>
      </c>
      <c r="E115" s="376">
        <f>IF(ISERROR(VLOOKUP(A115,'startova listina'!$A$113:$I$136,4,0))=TRUE," ",VLOOKUP(A115,'startova listina'!$A$113:$I$136,4,0))</f>
        <v>2</v>
      </c>
      <c r="F115" s="377" t="str">
        <f>IF(ISERROR(VLOOKUP(A115,'startova listina'!$A$113:$I$136,5,0))=TRUE," ",VLOOKUP(A115,'startova listina'!$A$113:$I$136,5,0))</f>
        <v>PEKOVÁ Zuzana</v>
      </c>
      <c r="G115" s="376">
        <f>IF(ISERROR(VLOOKUP(A115,'startova listina'!$A$113:$I$136,6,0))=TRUE," ",VLOOKUP(A115,'startova listina'!$A$113:$I$136,6,0))</f>
        <v>2002</v>
      </c>
      <c r="H115" s="377" t="str">
        <f>IF(ISERROR(VLOOKUP(A115,'startova listina'!$A$113:$I$136,7,0))=TRUE," ",VLOOKUP(A115,'startova listina'!$A$113:$I$136,7,0))</f>
        <v>KST VIKTÓRIA TRNAVA</v>
      </c>
      <c r="I115" s="376">
        <f>IF(ISERROR(VLOOKUP(A115,'startova listina'!$A$113:$I$136,8,0))=TRUE," ",VLOOKUP(A115,'startova listina'!$A$113:$I$136,8,0))</f>
        <v>307.63</v>
      </c>
      <c r="J115" s="479">
        <f t="shared" ref="J115" si="72">SUM(I115:I116)</f>
        <v>502.16999999999996</v>
      </c>
      <c r="L115" s="374">
        <f t="shared" si="3"/>
        <v>21</v>
      </c>
      <c r="N115" s="477" t="str">
        <f t="shared" ref="N115" si="73">CONCATENATE(LEFT(F115,FIND(" ",F115,1)-1)," / ",LEFT(F116,FIND(" ",F116,1)-1))</f>
        <v>PEKOVÁ / DIVINSKÁ</v>
      </c>
      <c r="O115" s="477" t="str">
        <f t="shared" ref="O115" si="74">CONCATENATE(H115," / ",H116)</f>
        <v>KST VIKTÓRIA TRNAVA / MSTK TVRDOŠÍN</v>
      </c>
      <c r="P115" s="477" t="str">
        <f t="shared" ref="P115" si="75">F115</f>
        <v>PEKOVÁ Zuzana</v>
      </c>
      <c r="Q115" s="477" t="str">
        <f t="shared" ref="Q115" si="76">F116</f>
        <v>DIVINSKÁ Natália</v>
      </c>
    </row>
    <row r="116" spans="1:17" s="375" customFormat="1" ht="35.1" customHeight="1">
      <c r="A116" s="374">
        <v>22</v>
      </c>
      <c r="C116" s="479"/>
      <c r="D116" s="478"/>
      <c r="E116" s="376">
        <f>IF(ISERROR(VLOOKUP(A116,'startova listina'!$A$113:$I$136,4,0))=TRUE," ",VLOOKUP(A116,'startova listina'!$A$113:$I$136,4,0))</f>
        <v>5</v>
      </c>
      <c r="F116" s="377" t="str">
        <f>IF(ISERROR(VLOOKUP(A116,'startova listina'!$A$113:$I$136,5,0))=TRUE," ",VLOOKUP(A116,'startova listina'!$A$113:$I$136,5,0))</f>
        <v>DIVINSKÁ Natália</v>
      </c>
      <c r="G116" s="376">
        <f>IF(ISERROR(VLOOKUP(A116,'startova listina'!$A$113:$I$136,6,0))=TRUE," ",VLOOKUP(A116,'startova listina'!$A$113:$I$136,6,0))</f>
        <v>2002</v>
      </c>
      <c r="H116" s="377" t="str">
        <f>IF(ISERROR(VLOOKUP(A116,'startova listina'!$A$113:$I$136,7,0))=TRUE," ",VLOOKUP(A116,'startova listina'!$A$113:$I$136,7,0))</f>
        <v>MSTK TVRDOŠÍN</v>
      </c>
      <c r="I116" s="376">
        <f>IF(ISERROR(VLOOKUP(A116,'startova listina'!$A$113:$I$136,8,0))=TRUE," ",VLOOKUP(A116,'startova listina'!$A$113:$I$136,8,0))</f>
        <v>194.54</v>
      </c>
      <c r="J116" s="479"/>
      <c r="L116" s="374">
        <f t="shared" si="3"/>
        <v>22</v>
      </c>
      <c r="N116" s="478"/>
      <c r="O116" s="478"/>
      <c r="P116" s="478"/>
      <c r="Q116" s="478"/>
    </row>
    <row r="117" spans="1:17" s="375" customFormat="1" ht="35.1" customHeight="1">
      <c r="A117" s="374">
        <v>31</v>
      </c>
      <c r="C117" s="479">
        <f t="shared" ref="C117" si="77">RANK(J117,$J$113:$J$136,0)</f>
        <v>3</v>
      </c>
      <c r="D117" s="477">
        <v>9</v>
      </c>
      <c r="E117" s="376">
        <f>IF(ISERROR(VLOOKUP(A117,'startova listina'!$A$113:$I$136,4,0))=TRUE," ",VLOOKUP(A117,'startova listina'!$A$113:$I$136,4,0))</f>
        <v>4</v>
      </c>
      <c r="F117" s="377" t="str">
        <f>IF(ISERROR(VLOOKUP(A117,'startova listina'!$A$113:$I$136,5,0))=TRUE," ",VLOOKUP(A117,'startova listina'!$A$113:$I$136,5,0))</f>
        <v>DZELINSKA Júlia</v>
      </c>
      <c r="G117" s="376">
        <f>IF(ISERROR(VLOOKUP(A117,'startova listina'!$A$113:$I$136,6,0))=TRUE," ",VLOOKUP(A117,'startova listina'!$A$113:$I$136,6,0))</f>
        <v>2002</v>
      </c>
      <c r="H117" s="377" t="str">
        <f>IF(ISERROR(VLOOKUP(A117,'startova listina'!$A$113:$I$136,7,0))=TRUE," ",VLOOKUP(A117,'startova listina'!$A$113:$I$136,7,0))</f>
        <v>ŠKST MICHALOVCE/STK LOKOMOTÍVA KOŠICE</v>
      </c>
      <c r="I117" s="376">
        <f>IF(ISERROR(VLOOKUP(A117,'startova listina'!$A$113:$I$136,8,0))=TRUE," ",VLOOKUP(A117,'startova listina'!$A$113:$I$136,8,0))</f>
        <v>207.64</v>
      </c>
      <c r="J117" s="479">
        <f t="shared" ref="J117" si="78">SUM(I117:I118)</f>
        <v>373.53999999999996</v>
      </c>
      <c r="L117" s="374">
        <f t="shared" si="3"/>
        <v>31</v>
      </c>
      <c r="N117" s="477" t="str">
        <f t="shared" ref="N117" si="79">CONCATENATE(LEFT(F117,FIND(" ",F117,1)-1)," / ",LEFT(F118,FIND(" ",F118,1)-1))</f>
        <v>DZELINSKA / TEREZKOVÁ</v>
      </c>
      <c r="O117" s="477" t="str">
        <f t="shared" ref="O117" si="80">CONCATENATE(H117," / ",H118)</f>
        <v>ŠKST MICHALOVCE/STK LOKOMOTÍVA KOŠICE / ŠKST MICHALOVCE</v>
      </c>
      <c r="P117" s="477" t="str">
        <f t="shared" ref="P117" si="81">F117</f>
        <v>DZELINSKA Júlia</v>
      </c>
      <c r="Q117" s="477" t="str">
        <f t="shared" ref="Q117" si="82">F118</f>
        <v>TEREZKOVÁ Jana</v>
      </c>
    </row>
    <row r="118" spans="1:17" s="375" customFormat="1" ht="35.1" customHeight="1">
      <c r="A118" s="374">
        <v>32</v>
      </c>
      <c r="C118" s="479"/>
      <c r="D118" s="478"/>
      <c r="E118" s="376">
        <f>IF(ISERROR(VLOOKUP(A118,'startova listina'!$A$113:$I$136,4,0))=TRUE," ",VLOOKUP(A118,'startova listina'!$A$113:$I$136,4,0))</f>
        <v>8</v>
      </c>
      <c r="F118" s="377" t="str">
        <f>IF(ISERROR(VLOOKUP(A118,'startova listina'!$A$113:$I$136,5,0))=TRUE," ",VLOOKUP(A118,'startova listina'!$A$113:$I$136,5,0))</f>
        <v>TEREZKOVÁ Jana</v>
      </c>
      <c r="G118" s="376">
        <f>IF(ISERROR(VLOOKUP(A118,'startova listina'!$A$113:$I$136,6,0))=TRUE," ",VLOOKUP(A118,'startova listina'!$A$113:$I$136,6,0))</f>
        <v>2002</v>
      </c>
      <c r="H118" s="377" t="str">
        <f>IF(ISERROR(VLOOKUP(A118,'startova listina'!$A$113:$I$136,7,0))=TRUE," ",VLOOKUP(A118,'startova listina'!$A$113:$I$136,7,0))</f>
        <v>ŠKST MICHALOVCE</v>
      </c>
      <c r="I118" s="376">
        <f>IF(ISERROR(VLOOKUP(A118,'startova listina'!$A$113:$I$136,8,0))=TRUE," ",VLOOKUP(A118,'startova listina'!$A$113:$I$136,8,0))</f>
        <v>165.9</v>
      </c>
      <c r="J118" s="479"/>
      <c r="L118" s="374">
        <f t="shared" si="3"/>
        <v>32</v>
      </c>
      <c r="N118" s="478"/>
      <c r="O118" s="478"/>
      <c r="P118" s="478"/>
      <c r="Q118" s="478"/>
    </row>
    <row r="119" spans="1:17" s="375" customFormat="1" ht="35.1" customHeight="1">
      <c r="A119" s="374">
        <v>41</v>
      </c>
      <c r="C119" s="479">
        <f t="shared" ref="C119" si="83">RANK(J119,$J$113:$J$136,0)</f>
        <v>4</v>
      </c>
      <c r="D119" s="477">
        <v>8</v>
      </c>
      <c r="E119" s="376">
        <f>IF(ISERROR(VLOOKUP(A119,'startova listina'!$A$113:$I$136,4,0))=TRUE," ",VLOOKUP(A119,'startova listina'!$A$113:$I$136,4,0))</f>
        <v>7</v>
      </c>
      <c r="F119" s="377" t="str">
        <f>IF(ISERROR(VLOOKUP(A119,'startova listina'!$A$113:$I$136,5,0))=TRUE," ",VLOOKUP(A119,'startova listina'!$A$113:$I$136,5,0))</f>
        <v>MAJERSKÁ Alena</v>
      </c>
      <c r="G119" s="376">
        <f>IF(ISERROR(VLOOKUP(A119,'startova listina'!$A$113:$I$136,6,0))=TRUE," ",VLOOKUP(A119,'startova listina'!$A$113:$I$136,6,0))</f>
        <v>2002</v>
      </c>
      <c r="H119" s="377" t="str">
        <f>IF(ISERROR(VLOOKUP(A119,'startova listina'!$A$113:$I$136,7,0))=TRUE," ",VLOOKUP(A119,'startova listina'!$A$113:$I$136,7,0))</f>
        <v>STO VALALIKY</v>
      </c>
      <c r="I119" s="376">
        <f>IF(ISERROR(VLOOKUP(A119,'startova listina'!$A$113:$I$136,8,0))=TRUE," ",VLOOKUP(A119,'startova listina'!$A$113:$I$136,8,0))</f>
        <v>177.93</v>
      </c>
      <c r="J119" s="479">
        <f t="shared" ref="J119:J135" si="84">SUM(I119:I120)</f>
        <v>311.71000000000004</v>
      </c>
      <c r="L119" s="374">
        <f t="shared" si="3"/>
        <v>41</v>
      </c>
      <c r="N119" s="477" t="str">
        <f t="shared" ref="N119" si="85">CONCATENATE(LEFT(F119,FIND(" ",F119,1)-1)," / ",LEFT(F120,FIND(" ",F120,1)-1))</f>
        <v>MAJERSKÁ / GAŠPARÍKOVÁ</v>
      </c>
      <c r="O119" s="477" t="str">
        <f t="shared" ref="O119" si="86">CONCATENATE(H119," / ",H120)</f>
        <v>STO VALALIKY / TTC MAJCICHOV</v>
      </c>
      <c r="P119" s="477" t="str">
        <f t="shared" ref="P119" si="87">F119</f>
        <v>MAJERSKÁ Alena</v>
      </c>
      <c r="Q119" s="477" t="str">
        <f t="shared" ref="Q119" si="88">F120</f>
        <v>GAŠPARÍKOVÁ Lucia</v>
      </c>
    </row>
    <row r="120" spans="1:17" s="375" customFormat="1" ht="35.1" customHeight="1">
      <c r="A120" s="374">
        <v>42</v>
      </c>
      <c r="C120" s="479"/>
      <c r="D120" s="478"/>
      <c r="E120" s="376">
        <f>IF(ISERROR(VLOOKUP(A120,'startova listina'!$A$113:$I$136,4,0))=TRUE," ",VLOOKUP(A120,'startova listina'!$A$113:$I$136,4,0))</f>
        <v>12</v>
      </c>
      <c r="F120" s="377" t="str">
        <f>IF(ISERROR(VLOOKUP(A120,'startova listina'!$A$113:$I$136,5,0))=TRUE," ",VLOOKUP(A120,'startova listina'!$A$113:$I$136,5,0))</f>
        <v>GAŠPARÍKOVÁ Lucia</v>
      </c>
      <c r="G120" s="376">
        <f>IF(ISERROR(VLOOKUP(A120,'startova listina'!$A$113:$I$136,6,0))=TRUE," ",VLOOKUP(A120,'startova listina'!$A$113:$I$136,6,0))</f>
        <v>2002</v>
      </c>
      <c r="H120" s="377" t="str">
        <f>IF(ISERROR(VLOOKUP(A120,'startova listina'!$A$113:$I$136,7,0))=TRUE," ",VLOOKUP(A120,'startova listina'!$A$113:$I$136,7,0))</f>
        <v>TTC MAJCICHOV</v>
      </c>
      <c r="I120" s="376">
        <f>IF(ISERROR(VLOOKUP(A120,'startova listina'!$A$113:$I$136,8,0))=TRUE," ",VLOOKUP(A120,'startova listina'!$A$113:$I$136,8,0))</f>
        <v>133.78</v>
      </c>
      <c r="J120" s="479"/>
      <c r="L120" s="374">
        <f t="shared" si="3"/>
        <v>42</v>
      </c>
      <c r="N120" s="478"/>
      <c r="O120" s="478"/>
      <c r="P120" s="478"/>
      <c r="Q120" s="478"/>
    </row>
    <row r="121" spans="1:17" s="375" customFormat="1" ht="35.1" customHeight="1">
      <c r="A121" s="374">
        <v>51</v>
      </c>
      <c r="C121" s="479">
        <f t="shared" ref="C121" si="89">RANK(J121,$J$113:$J$136,0)</f>
        <v>5</v>
      </c>
      <c r="D121" s="477">
        <v>4</v>
      </c>
      <c r="E121" s="376">
        <f>IF(ISERROR(VLOOKUP(A121,'startova listina'!$A$113:$I$136,4,0))=TRUE," ",VLOOKUP(A121,'startova listina'!$A$113:$I$136,4,0))</f>
        <v>11</v>
      </c>
      <c r="F121" s="377" t="str">
        <f>IF(ISERROR(VLOOKUP(A121,'startova listina'!$A$113:$I$136,5,0))=TRUE," ",VLOOKUP(A121,'startova listina'!$A$113:$I$136,5,0))</f>
        <v>CHYLOVÁ Sabína</v>
      </c>
      <c r="G121" s="376">
        <f>IF(ISERROR(VLOOKUP(A121,'startova listina'!$A$113:$I$136,6,0))=TRUE," ",VLOOKUP(A121,'startova listina'!$A$113:$I$136,6,0))</f>
        <v>2001</v>
      </c>
      <c r="H121" s="377" t="str">
        <f>IF(ISERROR(VLOOKUP(A121,'startova listina'!$A$113:$I$136,7,0))=TRUE," ",VLOOKUP(A121,'startova listina'!$A$113:$I$136,7,0))</f>
        <v>MSTK TVRDOŠÍN</v>
      </c>
      <c r="I121" s="376">
        <f>IF(ISERROR(VLOOKUP(A121,'startova listina'!$A$113:$I$136,8,0))=TRUE," ",VLOOKUP(A121,'startova listina'!$A$113:$I$136,8,0))</f>
        <v>135.35</v>
      </c>
      <c r="J121" s="479">
        <f t="shared" si="84"/>
        <v>273.81</v>
      </c>
      <c r="L121" s="374">
        <f t="shared" si="3"/>
        <v>51</v>
      </c>
      <c r="N121" s="477" t="str">
        <f t="shared" ref="N121" si="90">CONCATENATE(LEFT(F121,FIND(" ",F121,1)-1)," / ",LEFT(F122,FIND(" ",F122,1)-1))</f>
        <v>CHYLOVÁ / PAPCUNOVÁ</v>
      </c>
      <c r="O121" s="477" t="str">
        <f t="shared" ref="O121" si="91">CONCATENATE(H121," / ",H122)</f>
        <v>MSTK TVRDOŠÍN / ŠSTK JUNIOR ČAŇA</v>
      </c>
      <c r="P121" s="477" t="str">
        <f t="shared" ref="P121" si="92">F121</f>
        <v>CHYLOVÁ Sabína</v>
      </c>
      <c r="Q121" s="477" t="str">
        <f t="shared" ref="Q121" si="93">F122</f>
        <v>PAPCUNOVÁ Viktória</v>
      </c>
    </row>
    <row r="122" spans="1:17" s="375" customFormat="1" ht="35.1" customHeight="1">
      <c r="A122" s="374">
        <v>52</v>
      </c>
      <c r="C122" s="479"/>
      <c r="D122" s="478"/>
      <c r="E122" s="376">
        <f>IF(ISERROR(VLOOKUP(A122,'startova listina'!$A$113:$I$136,4,0))=TRUE," ",VLOOKUP(A122,'startova listina'!$A$113:$I$136,4,0))</f>
        <v>10</v>
      </c>
      <c r="F122" s="377" t="str">
        <f>IF(ISERROR(VLOOKUP(A122,'startova listina'!$A$113:$I$136,5,0))=TRUE," ",VLOOKUP(A122,'startova listina'!$A$113:$I$136,5,0))</f>
        <v>PAPCUNOVÁ Viktória</v>
      </c>
      <c r="G122" s="376">
        <f>IF(ISERROR(VLOOKUP(A122,'startova listina'!$A$113:$I$136,6,0))=TRUE," ",VLOOKUP(A122,'startova listina'!$A$113:$I$136,6,0))</f>
        <v>2001</v>
      </c>
      <c r="H122" s="377" t="str">
        <f>IF(ISERROR(VLOOKUP(A122,'startova listina'!$A$113:$I$136,7,0))=TRUE," ",VLOOKUP(A122,'startova listina'!$A$113:$I$136,7,0))</f>
        <v>ŠSTK JUNIOR ČAŇA</v>
      </c>
      <c r="I122" s="376">
        <f>IF(ISERROR(VLOOKUP(A122,'startova listina'!$A$113:$I$136,8,0))=TRUE," ",VLOOKUP(A122,'startova listina'!$A$113:$I$136,8,0))</f>
        <v>138.46</v>
      </c>
      <c r="J122" s="479"/>
      <c r="L122" s="374">
        <f t="shared" si="3"/>
        <v>52</v>
      </c>
      <c r="N122" s="478"/>
      <c r="O122" s="478"/>
      <c r="P122" s="478"/>
      <c r="Q122" s="478"/>
    </row>
    <row r="123" spans="1:17" s="375" customFormat="1" ht="35.1" customHeight="1">
      <c r="A123" s="374">
        <v>61</v>
      </c>
      <c r="C123" s="479">
        <f t="shared" ref="C123" si="94">RANK(J123,$J$113:$J$136,0)</f>
        <v>6</v>
      </c>
      <c r="D123" s="477">
        <v>5</v>
      </c>
      <c r="E123" s="376">
        <f>IF(ISERROR(VLOOKUP(A123,'startova listina'!$A$113:$I$136,4,0))=TRUE," ",VLOOKUP(A123,'startova listina'!$A$113:$I$136,4,0))</f>
        <v>6</v>
      </c>
      <c r="F123" s="377" t="str">
        <f>IF(ISERROR(VLOOKUP(A123,'startova listina'!$A$113:$I$136,5,0))=TRUE," ",VLOOKUP(A123,'startova listina'!$A$113:$I$136,5,0))</f>
        <v>ŠVAJDLENKOVÁ Laura</v>
      </c>
      <c r="G123" s="376">
        <f>IF(ISERROR(VLOOKUP(A123,'startova listina'!$A$113:$I$136,6,0))=TRUE," ",VLOOKUP(A123,'startova listina'!$A$113:$I$136,6,0))</f>
        <v>2001</v>
      </c>
      <c r="H123" s="377" t="str">
        <f>IF(ISERROR(VLOOKUP(A123,'startova listina'!$A$113:$I$136,7,0))=TRUE," ",VLOOKUP(A123,'startova listina'!$A$113:$I$136,7,0))</f>
        <v>MSK MALACKY</v>
      </c>
      <c r="I123" s="376">
        <f>IF(ISERROR(VLOOKUP(A123,'startova listina'!$A$113:$I$136,8,0))=TRUE," ",VLOOKUP(A123,'startova listina'!$A$113:$I$136,8,0))</f>
        <v>180.71</v>
      </c>
      <c r="J123" s="479">
        <f t="shared" si="84"/>
        <v>248.34</v>
      </c>
      <c r="L123" s="374">
        <f t="shared" si="3"/>
        <v>61</v>
      </c>
      <c r="N123" s="477" t="str">
        <f t="shared" ref="N123" si="95">CONCATENATE(LEFT(F123,FIND(" ",F123,1)-1)," / ",LEFT(F124,FIND(" ",F124,1)-1))</f>
        <v>ŠVAJDLENKOVÁ / HURBANOVÁ</v>
      </c>
      <c r="O123" s="477" t="str">
        <f t="shared" ref="O123" si="96">CONCATENATE(H123," / ",H124)</f>
        <v>MSK MALACKY / MSK MALACKY</v>
      </c>
      <c r="P123" s="477" t="str">
        <f t="shared" ref="P123" si="97">F123</f>
        <v>ŠVAJDLENKOVÁ Laura</v>
      </c>
      <c r="Q123" s="477" t="str">
        <f t="shared" ref="Q123" si="98">F124</f>
        <v>HURBANOVÁ Isabella</v>
      </c>
    </row>
    <row r="124" spans="1:17" s="375" customFormat="1" ht="35.1" customHeight="1">
      <c r="A124" s="374">
        <v>62</v>
      </c>
      <c r="C124" s="479"/>
      <c r="D124" s="478"/>
      <c r="E124" s="376">
        <f>IF(ISERROR(VLOOKUP(A124,'startova listina'!$A$113:$I$136,4,0))=TRUE," ",VLOOKUP(A124,'startova listina'!$A$113:$I$136,4,0))</f>
        <v>24</v>
      </c>
      <c r="F124" s="377" t="str">
        <f>IF(ISERROR(VLOOKUP(A124,'startova listina'!$A$113:$I$136,5,0))=TRUE," ",VLOOKUP(A124,'startova listina'!$A$113:$I$136,5,0))</f>
        <v>HURBANOVÁ Isabella</v>
      </c>
      <c r="G124" s="376">
        <f>IF(ISERROR(VLOOKUP(A124,'startova listina'!$A$113:$I$136,6,0))=TRUE," ",VLOOKUP(A124,'startova listina'!$A$113:$I$136,6,0))</f>
        <v>2003</v>
      </c>
      <c r="H124" s="377" t="str">
        <f>IF(ISERROR(VLOOKUP(A124,'startova listina'!$A$113:$I$136,7,0))=TRUE," ",VLOOKUP(A124,'startova listina'!$A$113:$I$136,7,0))</f>
        <v>MSK MALACKY</v>
      </c>
      <c r="I124" s="376">
        <f>IF(ISERROR(VLOOKUP(A124,'startova listina'!$A$113:$I$136,8,0))=TRUE," ",VLOOKUP(A124,'startova listina'!$A$113:$I$136,8,0))</f>
        <v>67.63</v>
      </c>
      <c r="J124" s="479"/>
      <c r="L124" s="374">
        <f t="shared" si="3"/>
        <v>62</v>
      </c>
      <c r="N124" s="478"/>
      <c r="O124" s="478"/>
      <c r="P124" s="478"/>
      <c r="Q124" s="478"/>
    </row>
    <row r="125" spans="1:17" s="375" customFormat="1" ht="35.1" customHeight="1">
      <c r="A125" s="374">
        <v>71</v>
      </c>
      <c r="C125" s="479">
        <f t="shared" ref="C125" si="99">RANK(J125,$J$113:$J$136,0)</f>
        <v>7</v>
      </c>
      <c r="D125" s="477">
        <v>13</v>
      </c>
      <c r="E125" s="376">
        <f>IF(ISERROR(VLOOKUP(A125,'startova listina'!$A$113:$I$136,4,0))=TRUE," ",VLOOKUP(A125,'startova listina'!$A$113:$I$136,4,0))</f>
        <v>9</v>
      </c>
      <c r="F125" s="377" t="str">
        <f>IF(ISERROR(VLOOKUP(A125,'startova listina'!$A$113:$I$136,5,0))=TRUE," ",VLOOKUP(A125,'startova listina'!$A$113:$I$136,5,0))</f>
        <v>SLOBODNÍKOVÁ Hana</v>
      </c>
      <c r="G125" s="376">
        <f>IF(ISERROR(VLOOKUP(A125,'startova listina'!$A$113:$I$136,6,0))=TRUE," ",VLOOKUP(A125,'startova listina'!$A$113:$I$136,6,0))</f>
        <v>2003</v>
      </c>
      <c r="H125" s="377" t="str">
        <f>IF(ISERROR(VLOOKUP(A125,'startova listina'!$A$113:$I$136,7,0))=TRUE," ",VLOOKUP(A125,'startova listina'!$A$113:$I$136,7,0))</f>
        <v>ŠKST KARLOVA VES</v>
      </c>
      <c r="I125" s="376">
        <f>IF(ISERROR(VLOOKUP(A125,'startova listina'!$A$113:$I$136,8,0))=TRUE," ",VLOOKUP(A125,'startova listina'!$A$113:$I$136,8,0))</f>
        <v>157.03</v>
      </c>
      <c r="J125" s="479">
        <f t="shared" si="84"/>
        <v>233.47</v>
      </c>
      <c r="L125" s="374">
        <f t="shared" si="3"/>
        <v>71</v>
      </c>
      <c r="N125" s="477" t="str">
        <f t="shared" ref="N125" si="100">CONCATENATE(LEFT(F125,FIND(" ",F125,1)-1)," / ",LEFT(F126,FIND(" ",F126,1)-1))</f>
        <v>SLOBODNÍKOVÁ / LACENOVÁ</v>
      </c>
      <c r="O125" s="477" t="str">
        <f t="shared" ref="O125" si="101">CONCATENATE(H125," / ",H126)</f>
        <v>ŠKST KARLOVA VES / ŠKST TOPOĽČANY</v>
      </c>
      <c r="P125" s="477" t="str">
        <f t="shared" ref="P125" si="102">F125</f>
        <v>SLOBODNÍKOVÁ Hana</v>
      </c>
      <c r="Q125" s="477" t="str">
        <f t="shared" ref="Q125" si="103">F126</f>
        <v>LACENOVÁ Renáta</v>
      </c>
    </row>
    <row r="126" spans="1:17" s="375" customFormat="1" ht="35.1" customHeight="1">
      <c r="A126" s="374">
        <v>72</v>
      </c>
      <c r="C126" s="479"/>
      <c r="D126" s="478"/>
      <c r="E126" s="376">
        <f>IF(ISERROR(VLOOKUP(A126,'startova listina'!$A$113:$I$136,4,0))=TRUE," ",VLOOKUP(A126,'startova listina'!$A$113:$I$136,4,0))</f>
        <v>20</v>
      </c>
      <c r="F126" s="377" t="str">
        <f>IF(ISERROR(VLOOKUP(A126,'startova listina'!$A$113:$I$136,5,0))=TRUE," ",VLOOKUP(A126,'startova listina'!$A$113:$I$136,5,0))</f>
        <v>LACENOVÁ Renáta</v>
      </c>
      <c r="G126" s="376">
        <f>IF(ISERROR(VLOOKUP(A126,'startova listina'!$A$113:$I$136,6,0))=TRUE," ",VLOOKUP(A126,'startova listina'!$A$113:$I$136,6,0))</f>
        <v>2003</v>
      </c>
      <c r="H126" s="377" t="str">
        <f>IF(ISERROR(VLOOKUP(A126,'startova listina'!$A$113:$I$136,7,0))=TRUE," ",VLOOKUP(A126,'startova listina'!$A$113:$I$136,7,0))</f>
        <v>ŠKST TOPOĽČANY</v>
      </c>
      <c r="I126" s="376">
        <f>IF(ISERROR(VLOOKUP(A126,'startova listina'!$A$113:$I$136,8,0))=TRUE," ",VLOOKUP(A126,'startova listina'!$A$113:$I$136,8,0))</f>
        <v>76.44</v>
      </c>
      <c r="J126" s="479"/>
      <c r="L126" s="374">
        <f t="shared" si="3"/>
        <v>72</v>
      </c>
      <c r="N126" s="478"/>
      <c r="O126" s="478"/>
      <c r="P126" s="478"/>
      <c r="Q126" s="478"/>
    </row>
    <row r="127" spans="1:17" s="375" customFormat="1" ht="35.1" customHeight="1">
      <c r="A127" s="374">
        <v>81</v>
      </c>
      <c r="C127" s="479">
        <f t="shared" ref="C127" si="104">RANK(J127,$J$113:$J$136,0)</f>
        <v>8</v>
      </c>
      <c r="D127" s="477">
        <v>12</v>
      </c>
      <c r="E127" s="376">
        <f>IF(ISERROR(VLOOKUP(A127,'startova listina'!$A$113:$I$136,4,0))=TRUE," ",VLOOKUP(A127,'startova listina'!$A$113:$I$136,4,0))</f>
        <v>13</v>
      </c>
      <c r="F127" s="377" t="str">
        <f>IF(ISERROR(VLOOKUP(A127,'startova listina'!$A$113:$I$136,5,0))=TRUE," ",VLOOKUP(A127,'startova listina'!$A$113:$I$136,5,0))</f>
        <v>MIKULOVÁ Terézia</v>
      </c>
      <c r="G127" s="376">
        <f>IF(ISERROR(VLOOKUP(A127,'startova listina'!$A$113:$I$136,6,0))=TRUE," ",VLOOKUP(A127,'startova listina'!$A$113:$I$136,6,0))</f>
        <v>2001</v>
      </c>
      <c r="H127" s="377" t="str">
        <f>IF(ISERROR(VLOOKUP(A127,'startova listina'!$A$113:$I$136,7,0))=TRUE," ",VLOOKUP(A127,'startova listina'!$A$113:$I$136,7,0))</f>
        <v>KST DRIVE TR. JASTRABIE</v>
      </c>
      <c r="I127" s="376">
        <f>IF(ISERROR(VLOOKUP(A127,'startova listina'!$A$113:$I$136,8,0))=TRUE," ",VLOOKUP(A127,'startova listina'!$A$113:$I$136,8,0))</f>
        <v>113.65</v>
      </c>
      <c r="J127" s="479">
        <f t="shared" si="84"/>
        <v>212.4</v>
      </c>
      <c r="L127" s="374">
        <f t="shared" si="3"/>
        <v>81</v>
      </c>
      <c r="N127" s="477" t="str">
        <f t="shared" ref="N127" si="105">CONCATENATE(LEFT(F127,FIND(" ",F127,1)-1)," / ",LEFT(F128,FIND(" ",F128,1)-1))</f>
        <v>MIKULOVÁ / DZUROVÁ</v>
      </c>
      <c r="O127" s="477" t="str">
        <f t="shared" ref="O127" si="106">CONCATENATE(H127," / ",H128)</f>
        <v>KST DRIVE TR. JASTRABIE / STK STARÁ TURÁ</v>
      </c>
      <c r="P127" s="477" t="str">
        <f t="shared" ref="P127" si="107">F127</f>
        <v>MIKULOVÁ Terézia</v>
      </c>
      <c r="Q127" s="477" t="str">
        <f t="shared" ref="Q127" si="108">F128</f>
        <v>DZUROVÁ Lenka</v>
      </c>
    </row>
    <row r="128" spans="1:17" s="375" customFormat="1" ht="35.1" customHeight="1">
      <c r="A128" s="374">
        <v>82</v>
      </c>
      <c r="C128" s="479"/>
      <c r="D128" s="478"/>
      <c r="E128" s="376">
        <f>IF(ISERROR(VLOOKUP(A128,'startova listina'!$A$113:$I$136,4,0))=TRUE," ",VLOOKUP(A128,'startova listina'!$A$113:$I$136,4,0))</f>
        <v>14</v>
      </c>
      <c r="F128" s="377" t="str">
        <f>IF(ISERROR(VLOOKUP(A128,'startova listina'!$A$113:$I$136,5,0))=TRUE," ",VLOOKUP(A128,'startova listina'!$A$113:$I$136,5,0))</f>
        <v>DZUROVÁ Lenka</v>
      </c>
      <c r="G128" s="376">
        <f>IF(ISERROR(VLOOKUP(A128,'startova listina'!$A$113:$I$136,6,0))=TRUE," ",VLOOKUP(A128,'startova listina'!$A$113:$I$136,6,0))</f>
        <v>2002</v>
      </c>
      <c r="H128" s="377" t="str">
        <f>IF(ISERROR(VLOOKUP(A128,'startova listina'!$A$113:$I$136,7,0))=TRUE," ",VLOOKUP(A128,'startova listina'!$A$113:$I$136,7,0))</f>
        <v>STK STARÁ TURÁ</v>
      </c>
      <c r="I128" s="376">
        <f>IF(ISERROR(VLOOKUP(A128,'startova listina'!$A$113:$I$136,8,0))=TRUE," ",VLOOKUP(A128,'startova listina'!$A$113:$I$136,8,0))</f>
        <v>98.75</v>
      </c>
      <c r="J128" s="479"/>
      <c r="L128" s="374">
        <f t="shared" si="3"/>
        <v>82</v>
      </c>
      <c r="N128" s="478"/>
      <c r="O128" s="478"/>
      <c r="P128" s="478"/>
      <c r="Q128" s="478"/>
    </row>
    <row r="129" spans="1:17" s="375" customFormat="1" ht="35.1" customHeight="1">
      <c r="A129" s="374">
        <v>91</v>
      </c>
      <c r="C129" s="479">
        <f t="shared" ref="C129" si="109">RANK(J129,$J$113:$J$136,0)</f>
        <v>9</v>
      </c>
      <c r="D129" s="477">
        <v>11</v>
      </c>
      <c r="E129" s="376">
        <f>IF(ISERROR(VLOOKUP(A129,'startova listina'!$A$113:$I$136,4,0))=TRUE," ",VLOOKUP(A129,'startova listina'!$A$113:$I$136,4,0))</f>
        <v>15</v>
      </c>
      <c r="F129" s="377" t="str">
        <f>IF(ISERROR(VLOOKUP(A129,'startova listina'!$A$113:$I$136,5,0))=TRUE," ",VLOOKUP(A129,'startova listina'!$A$113:$I$136,5,0))</f>
        <v>VIŠŇOVSKÁ Nina</v>
      </c>
      <c r="G129" s="376">
        <f>IF(ISERROR(VLOOKUP(A129,'startova listina'!$A$113:$I$136,6,0))=TRUE," ",VLOOKUP(A129,'startova listina'!$A$113:$I$136,6,0))</f>
        <v>2003</v>
      </c>
      <c r="H129" s="377" t="str">
        <f>IF(ISERROR(VLOOKUP(A129,'startova listina'!$A$113:$I$136,7,0))=TRUE," ",VLOOKUP(A129,'startova listina'!$A$113:$I$136,7,0))</f>
        <v>TTC INTERSPEAD N.ZÁMKY</v>
      </c>
      <c r="I129" s="376">
        <f>IF(ISERROR(VLOOKUP(A129,'startova listina'!$A$113:$I$136,8,0))=TRUE," ",VLOOKUP(A129,'startova listina'!$A$113:$I$136,8,0))</f>
        <v>93.38</v>
      </c>
      <c r="J129" s="479">
        <f t="shared" si="84"/>
        <v>181.22</v>
      </c>
      <c r="L129" s="374">
        <f t="shared" si="3"/>
        <v>91</v>
      </c>
      <c r="N129" s="477" t="str">
        <f t="shared" ref="N129" si="110">CONCATENATE(LEFT(F129,FIND(" ",F129,1)-1)," / ",LEFT(F130,FIND(" ",F130,1)-1))</f>
        <v>VIŠŇOVSKÁ / LEDAJOVÁ</v>
      </c>
      <c r="O129" s="477" t="str">
        <f t="shared" ref="O129" si="111">CONCATENATE(H129," / ",H130)</f>
        <v>TTC INTERSPEAD N.ZÁMKY / STK OROL OTRHÁNKY</v>
      </c>
      <c r="P129" s="477" t="str">
        <f t="shared" ref="P129" si="112">F129</f>
        <v>VIŠŇOVSKÁ Nina</v>
      </c>
      <c r="Q129" s="477" t="str">
        <f t="shared" ref="Q129" si="113">F130</f>
        <v>LEDAJOVÁ Martina</v>
      </c>
    </row>
    <row r="130" spans="1:17" s="375" customFormat="1" ht="35.1" customHeight="1">
      <c r="A130" s="374">
        <v>92</v>
      </c>
      <c r="C130" s="479"/>
      <c r="D130" s="478"/>
      <c r="E130" s="376">
        <f>IF(ISERROR(VLOOKUP(A130,'startova listina'!$A$113:$I$136,4,0))=TRUE," ",VLOOKUP(A130,'startova listina'!$A$113:$I$136,4,0))</f>
        <v>17</v>
      </c>
      <c r="F130" s="377" t="str">
        <f>IF(ISERROR(VLOOKUP(A130,'startova listina'!$A$113:$I$136,5,0))=TRUE," ",VLOOKUP(A130,'startova listina'!$A$113:$I$136,5,0))</f>
        <v>LEDAJOVÁ Martina</v>
      </c>
      <c r="G130" s="376">
        <f>IF(ISERROR(VLOOKUP(A130,'startova listina'!$A$113:$I$136,6,0))=TRUE," ",VLOOKUP(A130,'startova listina'!$A$113:$I$136,6,0))</f>
        <v>2001</v>
      </c>
      <c r="H130" s="377" t="str">
        <f>IF(ISERROR(VLOOKUP(A130,'startova listina'!$A$113:$I$136,7,0))=TRUE," ",VLOOKUP(A130,'startova listina'!$A$113:$I$136,7,0))</f>
        <v>STK OROL OTRHÁNKY</v>
      </c>
      <c r="I130" s="376">
        <f>IF(ISERROR(VLOOKUP(A130,'startova listina'!$A$113:$I$136,8,0))=TRUE," ",VLOOKUP(A130,'startova listina'!$A$113:$I$136,8,0))</f>
        <v>87.84</v>
      </c>
      <c r="J130" s="479"/>
      <c r="L130" s="374">
        <f t="shared" si="3"/>
        <v>92</v>
      </c>
      <c r="N130" s="478"/>
      <c r="O130" s="478"/>
      <c r="P130" s="478"/>
      <c r="Q130" s="478"/>
    </row>
    <row r="131" spans="1:17" s="375" customFormat="1" ht="35.1" customHeight="1">
      <c r="A131" s="374">
        <v>101</v>
      </c>
      <c r="C131" s="479">
        <f t="shared" ref="C131" si="114">RANK(J131,$J$113:$J$136,0)</f>
        <v>10</v>
      </c>
      <c r="D131" s="477">
        <v>14</v>
      </c>
      <c r="E131" s="376">
        <f>IF(ISERROR(VLOOKUP(A131,'startova listina'!$A$113:$I$136,4,0))=TRUE," ",VLOOKUP(A131,'startova listina'!$A$113:$I$136,4,0))</f>
        <v>18</v>
      </c>
      <c r="F131" s="377" t="str">
        <f>IF(ISERROR(VLOOKUP(A131,'startova listina'!$A$113:$I$136,5,0))=TRUE," ",VLOOKUP(A131,'startova listina'!$A$113:$I$136,5,0))</f>
        <v>GALČÍKOVÁ Sára</v>
      </c>
      <c r="G131" s="376">
        <f>IF(ISERROR(VLOOKUP(A131,'startova listina'!$A$113:$I$136,6,0))=TRUE," ",VLOOKUP(A131,'startova listina'!$A$113:$I$136,6,0))</f>
        <v>2001</v>
      </c>
      <c r="H131" s="377" t="str">
        <f>IF(ISERROR(VLOOKUP(A131,'startova listina'!$A$113:$I$136,7,0))=TRUE," ",VLOOKUP(A131,'startova listina'!$A$113:$I$136,7,0))</f>
        <v>TJ ORAVAN NÁMESTOVO</v>
      </c>
      <c r="I131" s="376">
        <f>IF(ISERROR(VLOOKUP(A131,'startova listina'!$A$113:$I$136,8,0))=TRUE," ",VLOOKUP(A131,'startova listina'!$A$113:$I$136,8,0))</f>
        <v>79.099999999999994</v>
      </c>
      <c r="J131" s="479">
        <f t="shared" si="84"/>
        <v>170.87</v>
      </c>
      <c r="L131" s="374">
        <f t="shared" si="3"/>
        <v>101</v>
      </c>
      <c r="N131" s="477" t="str">
        <f t="shared" ref="N131" si="115">CONCATENATE(LEFT(F131,FIND(" ",F131,1)-1)," / ",LEFT(F132,FIND(" ",F132,1)-1))</f>
        <v>GALČÍKOVÁ / VOJTASOVA</v>
      </c>
      <c r="O131" s="477" t="str">
        <f t="shared" ref="O131" si="116">CONCATENATE(H131," / ",H132)</f>
        <v>TJ ORAVAN NÁMESTOVO / ZŠ LIETAVSKÁ LÚČKA</v>
      </c>
      <c r="P131" s="477" t="str">
        <f t="shared" ref="P131" si="117">F131</f>
        <v>GALČÍKOVÁ Sára</v>
      </c>
      <c r="Q131" s="477" t="str">
        <f t="shared" ref="Q131" si="118">F132</f>
        <v>VOJTASOVA Patrícia</v>
      </c>
    </row>
    <row r="132" spans="1:17" s="375" customFormat="1" ht="35.1" customHeight="1">
      <c r="A132" s="374">
        <v>102</v>
      </c>
      <c r="C132" s="479"/>
      <c r="D132" s="478"/>
      <c r="E132" s="376">
        <f>IF(ISERROR(VLOOKUP(A132,'startova listina'!$A$113:$I$136,4,0))=TRUE," ",VLOOKUP(A132,'startova listina'!$A$113:$I$136,4,0))</f>
        <v>16</v>
      </c>
      <c r="F132" s="377" t="str">
        <f>IF(ISERROR(VLOOKUP(A132,'startova listina'!$A$113:$I$136,5,0))=TRUE," ",VLOOKUP(A132,'startova listina'!$A$113:$I$136,5,0))</f>
        <v>VOJTASOVA Patrícia</v>
      </c>
      <c r="G132" s="376">
        <f>IF(ISERROR(VLOOKUP(A132,'startova listina'!$A$113:$I$136,6,0))=TRUE," ",VLOOKUP(A132,'startova listina'!$A$113:$I$136,6,0))</f>
        <v>2001</v>
      </c>
      <c r="H132" s="377" t="str">
        <f>IF(ISERROR(VLOOKUP(A132,'startova listina'!$A$113:$I$136,7,0))=TRUE," ",VLOOKUP(A132,'startova listina'!$A$113:$I$136,7,0))</f>
        <v>ZŠ LIETAVSKÁ LÚČKA</v>
      </c>
      <c r="I132" s="376">
        <f>IF(ISERROR(VLOOKUP(A132,'startova listina'!$A$113:$I$136,8,0))=TRUE," ",VLOOKUP(A132,'startova listina'!$A$113:$I$136,8,0))</f>
        <v>91.77</v>
      </c>
      <c r="J132" s="479"/>
      <c r="L132" s="374">
        <f t="shared" si="3"/>
        <v>102</v>
      </c>
      <c r="N132" s="478"/>
      <c r="O132" s="478"/>
      <c r="P132" s="478"/>
      <c r="Q132" s="478"/>
    </row>
    <row r="133" spans="1:17" s="375" customFormat="1" ht="35.1" customHeight="1">
      <c r="A133" s="374">
        <v>111</v>
      </c>
      <c r="C133" s="479">
        <f t="shared" ref="C133" si="119">RANK(J133,$J$113:$J$136,0)</f>
        <v>11</v>
      </c>
      <c r="D133" s="477">
        <v>3</v>
      </c>
      <c r="E133" s="376">
        <f>IF(ISERROR(VLOOKUP(A133,'startova listina'!$A$113:$I$136,4,0))=TRUE," ",VLOOKUP(A133,'startova listina'!$A$113:$I$136,4,0))</f>
        <v>19</v>
      </c>
      <c r="F133" s="377" t="str">
        <f>IF(ISERROR(VLOOKUP(A133,'startova listina'!$A$113:$I$136,5,0))=TRUE," ",VLOOKUP(A133,'startova listina'!$A$113:$I$136,5,0))</f>
        <v>PISARČIKOVÁ Frederika</v>
      </c>
      <c r="G133" s="376">
        <f>IF(ISERROR(VLOOKUP(A133,'startova listina'!$A$113:$I$136,6,0))=TRUE," ",VLOOKUP(A133,'startova listina'!$A$113:$I$136,6,0))</f>
        <v>2002</v>
      </c>
      <c r="H133" s="377" t="str">
        <f>IF(ISERROR(VLOOKUP(A133,'startova listina'!$A$113:$I$136,7,0))=TRUE," ",VLOOKUP(A133,'startova listina'!$A$113:$I$136,7,0))</f>
        <v>ŠKST RUŽOMBEROK</v>
      </c>
      <c r="I133" s="376">
        <f>IF(ISERROR(VLOOKUP(A133,'startova listina'!$A$113:$I$136,8,0))=TRUE," ",VLOOKUP(A133,'startova listina'!$A$113:$I$136,8,0))</f>
        <v>78.19</v>
      </c>
      <c r="J133" s="479">
        <f t="shared" si="84"/>
        <v>146.76999999999998</v>
      </c>
      <c r="L133" s="374">
        <f t="shared" si="3"/>
        <v>111</v>
      </c>
      <c r="N133" s="477" t="str">
        <f t="shared" ref="N133" si="120">CONCATENATE(LEFT(F133,FIND(" ",F133,1)-1)," / ",LEFT(F134,FIND(" ",F134,1)-1))</f>
        <v>PISARČIKOVÁ / HUDÁKOVÁ</v>
      </c>
      <c r="O133" s="477" t="str">
        <f t="shared" ref="O133" si="121">CONCATENATE(H133," / ",H134)</f>
        <v>ŠKST RUŽOMBEROK / ZŠ VYŠNÝ ŽIPOV</v>
      </c>
      <c r="P133" s="477" t="str">
        <f t="shared" ref="P133" si="122">F133</f>
        <v>PISARČIKOVÁ Frederika</v>
      </c>
      <c r="Q133" s="477" t="str">
        <f t="shared" ref="Q133" si="123">F134</f>
        <v>HUDÁKOVÁ Ivana</v>
      </c>
    </row>
    <row r="134" spans="1:17" s="375" customFormat="1" ht="35.1" customHeight="1">
      <c r="A134" s="374">
        <v>112</v>
      </c>
      <c r="C134" s="479"/>
      <c r="D134" s="478"/>
      <c r="E134" s="376">
        <f>IF(ISERROR(VLOOKUP(A134,'startova listina'!$A$113:$I$136,4,0))=TRUE," ",VLOOKUP(A134,'startova listina'!$A$113:$I$136,4,0))</f>
        <v>23</v>
      </c>
      <c r="F134" s="377" t="str">
        <f>IF(ISERROR(VLOOKUP(A134,'startova listina'!$A$113:$I$136,5,0))=TRUE," ",VLOOKUP(A134,'startova listina'!$A$113:$I$136,5,0))</f>
        <v>HUDÁKOVÁ Ivana</v>
      </c>
      <c r="G134" s="376">
        <f>IF(ISERROR(VLOOKUP(A134,'startova listina'!$A$113:$I$136,6,0))=TRUE," ",VLOOKUP(A134,'startova listina'!$A$113:$I$136,6,0))</f>
        <v>2001</v>
      </c>
      <c r="H134" s="377" t="str">
        <f>IF(ISERROR(VLOOKUP(A134,'startova listina'!$A$113:$I$136,7,0))=TRUE," ",VLOOKUP(A134,'startova listina'!$A$113:$I$136,7,0))</f>
        <v>ZŠ VYŠNÝ ŽIPOV</v>
      </c>
      <c r="I134" s="376">
        <f>IF(ISERROR(VLOOKUP(A134,'startova listina'!$A$113:$I$136,8,0))=TRUE," ",VLOOKUP(A134,'startova listina'!$A$113:$I$136,8,0))</f>
        <v>68.58</v>
      </c>
      <c r="J134" s="479"/>
      <c r="L134" s="374">
        <f t="shared" si="3"/>
        <v>112</v>
      </c>
      <c r="N134" s="478"/>
      <c r="O134" s="478"/>
      <c r="P134" s="478"/>
      <c r="Q134" s="478"/>
    </row>
    <row r="135" spans="1:17" s="375" customFormat="1" ht="35.1" customHeight="1">
      <c r="A135" s="374">
        <v>121</v>
      </c>
      <c r="C135" s="479">
        <f t="shared" ref="C135" si="124">RANK(J135,$J$113:$J$136,0)</f>
        <v>12</v>
      </c>
      <c r="D135" s="477">
        <v>6</v>
      </c>
      <c r="E135" s="376">
        <f>IF(ISERROR(VLOOKUP(A135,'startova listina'!$A$113:$I$136,4,0))=TRUE," ",VLOOKUP(A135,'startova listina'!$A$113:$I$136,4,0))</f>
        <v>22</v>
      </c>
      <c r="F135" s="377" t="str">
        <f>IF(ISERROR(VLOOKUP(A135,'startova listina'!$A$113:$I$136,5,0))=TRUE," ",VLOOKUP(A135,'startova listina'!$A$113:$I$136,5,0))</f>
        <v>SISKOVÁ Zuzana</v>
      </c>
      <c r="G135" s="376">
        <f>IF(ISERROR(VLOOKUP(A135,'startova listina'!$A$113:$I$136,6,0))=TRUE," ",VLOOKUP(A135,'startova listina'!$A$113:$I$136,6,0))</f>
        <v>2003</v>
      </c>
      <c r="H135" s="377" t="str">
        <f>IF(ISERROR(VLOOKUP(A135,'startova listina'!$A$113:$I$136,7,0))=TRUE," ",VLOOKUP(A135,'startova listina'!$A$113:$I$136,7,0))</f>
        <v>TTC MAJCICHOV</v>
      </c>
      <c r="I135" s="376">
        <f>IF(ISERROR(VLOOKUP(A135,'startova listina'!$A$113:$I$136,8,0))=TRUE," ",VLOOKUP(A135,'startova listina'!$A$113:$I$136,8,0))</f>
        <v>69.599999999999994</v>
      </c>
      <c r="J135" s="479">
        <f t="shared" si="84"/>
        <v>142</v>
      </c>
      <c r="L135" s="374">
        <f t="shared" si="3"/>
        <v>121</v>
      </c>
      <c r="N135" s="477" t="str">
        <f t="shared" ref="N135" si="125">CONCATENATE(LEFT(F135,FIND(" ",F135,1)-1)," / ",LEFT(F136,FIND(" ",F136,1)-1))</f>
        <v>SISKOVÁ / GORFOLOVÁ</v>
      </c>
      <c r="O135" s="477" t="str">
        <f t="shared" ref="O135" si="126">CONCATENATE(H135," / ",H136)</f>
        <v>TTC MAJCICHOV / GASTO METALFIN GALANTA</v>
      </c>
      <c r="P135" s="477" t="str">
        <f t="shared" ref="P135" si="127">F135</f>
        <v>SISKOVÁ Zuzana</v>
      </c>
      <c r="Q135" s="477" t="str">
        <f t="shared" ref="Q135" si="128">F136</f>
        <v>GORFOLOVÁ Viktória</v>
      </c>
    </row>
    <row r="136" spans="1:17" s="375" customFormat="1" ht="35.1" customHeight="1">
      <c r="A136" s="374">
        <v>122</v>
      </c>
      <c r="C136" s="479"/>
      <c r="D136" s="478"/>
      <c r="E136" s="376">
        <f>IF(ISERROR(VLOOKUP(A136,'startova listina'!$A$113:$I$136,4,0))=TRUE," ",VLOOKUP(A136,'startova listina'!$A$113:$I$136,4,0))</f>
        <v>21</v>
      </c>
      <c r="F136" s="377" t="str">
        <f>IF(ISERROR(VLOOKUP(A136,'startova listina'!$A$113:$I$136,5,0))=TRUE," ",VLOOKUP(A136,'startova listina'!$A$113:$I$136,5,0))</f>
        <v>GORFOLOVÁ Viktória</v>
      </c>
      <c r="G136" s="376">
        <f>IF(ISERROR(VLOOKUP(A136,'startova listina'!$A$113:$I$136,6,0))=TRUE," ",VLOOKUP(A136,'startova listina'!$A$113:$I$136,6,0))</f>
        <v>2001</v>
      </c>
      <c r="H136" s="377" t="str">
        <f>IF(ISERROR(VLOOKUP(A136,'startova listina'!$A$113:$I$136,7,0))=TRUE," ",VLOOKUP(A136,'startova listina'!$A$113:$I$136,7,0))</f>
        <v>GASTO METALFIN GALANTA</v>
      </c>
      <c r="I136" s="376">
        <f>IF(ISERROR(VLOOKUP(A136,'startova listina'!$A$113:$I$136,8,0))=TRUE," ",VLOOKUP(A136,'startova listina'!$A$113:$I$136,8,0))</f>
        <v>72.400000000000006</v>
      </c>
      <c r="J136" s="479"/>
      <c r="L136" s="374">
        <f t="shared" si="3"/>
        <v>122</v>
      </c>
      <c r="N136" s="478"/>
      <c r="O136" s="478"/>
      <c r="P136" s="478"/>
      <c r="Q136" s="478"/>
    </row>
    <row r="137" spans="1:17" s="204" customFormat="1">
      <c r="A137" s="203"/>
      <c r="C137" s="205" t="s">
        <v>121</v>
      </c>
      <c r="D137" s="205" t="s">
        <v>121</v>
      </c>
      <c r="E137" s="205" t="s">
        <v>121</v>
      </c>
      <c r="F137" s="204" t="s">
        <v>121</v>
      </c>
      <c r="G137" s="205" t="s">
        <v>121</v>
      </c>
      <c r="H137" s="204" t="s">
        <v>121</v>
      </c>
      <c r="I137" s="205" t="s">
        <v>121</v>
      </c>
      <c r="J137" s="205" t="s">
        <v>121</v>
      </c>
      <c r="K137" s="204" t="s">
        <v>121</v>
      </c>
      <c r="L137" s="203" t="s">
        <v>121</v>
      </c>
      <c r="M137" s="204" t="s">
        <v>121</v>
      </c>
      <c r="N137" s="204" t="s">
        <v>121</v>
      </c>
      <c r="O137" s="204" t="s">
        <v>121</v>
      </c>
      <c r="P137" s="204" t="s">
        <v>121</v>
      </c>
      <c r="Q137" s="204" t="s">
        <v>121</v>
      </c>
    </row>
    <row r="139" spans="1:17" ht="31.5">
      <c r="G139" s="368" t="s">
        <v>58</v>
      </c>
    </row>
    <row r="141" spans="1:17">
      <c r="D141" s="17"/>
      <c r="E141" s="17"/>
    </row>
    <row r="142" spans="1:17" s="379" customFormat="1" ht="69.75">
      <c r="A142" s="378"/>
      <c r="C142" s="384" t="s">
        <v>55</v>
      </c>
      <c r="D142" s="386" t="s">
        <v>56</v>
      </c>
      <c r="E142" s="386" t="s">
        <v>59</v>
      </c>
      <c r="F142" s="384" t="s">
        <v>3</v>
      </c>
      <c r="G142" s="384" t="s">
        <v>4</v>
      </c>
      <c r="H142" s="384" t="s">
        <v>5</v>
      </c>
      <c r="I142" s="386" t="s">
        <v>54</v>
      </c>
      <c r="J142" s="386" t="s">
        <v>53</v>
      </c>
      <c r="L142" s="378"/>
      <c r="Q142" s="378"/>
    </row>
    <row r="143" spans="1:17" s="375" customFormat="1" ht="35.1" customHeight="1">
      <c r="A143" s="374">
        <v>11</v>
      </c>
      <c r="C143" s="479">
        <f>RANK(J143,$J$143:$J$190,0)</f>
        <v>1</v>
      </c>
      <c r="D143" s="477">
        <v>1</v>
      </c>
      <c r="E143" s="376">
        <f>IF(ISERROR(VLOOKUP(A143,'startova listina'!$A$143:$I$190,4,0))=TRUE," ",VLOOKUP(A143,'startova listina'!$A$143:$I$190,4,0))</f>
        <v>2</v>
      </c>
      <c r="F143" s="377" t="str">
        <f>IF(ISERROR(VLOOKUP(A143,'startova listina'!$A$143:$I$190,5,0))=TRUE," ",VLOOKUP(A143,'startova listina'!$A$143:$I$190,5,0))</f>
        <v>KYSEL Martin</v>
      </c>
      <c r="G143" s="376">
        <f>IF(ISERROR(VLOOKUP(A143,'startova listina'!$A$143:$I$190,6,0))=TRUE," ",VLOOKUP(A143,'startova listina'!$A$143:$I$190,6,0))</f>
        <v>2001</v>
      </c>
      <c r="H143" s="377" t="str">
        <f>IF(ISERROR(VLOOKUP(A143,'startova listina'!$A$143:$I$190,7,0))=TRUE," ",VLOOKUP(A143,'startova listina'!$A$143:$I$190,7,0))</f>
        <v>MSTK TVRDOŠÍN</v>
      </c>
      <c r="I143" s="376">
        <f>IF(ISERROR(VLOOKUP(A143,'startova listina'!$A$143:$I$1906,8,0))=TRUE," ",VLOOKUP(A143,'startova listina'!$A$143:$I$190,8,0))</f>
        <v>285.69</v>
      </c>
      <c r="J143" s="479">
        <f>SUM(I143:I144)</f>
        <v>781.69</v>
      </c>
      <c r="L143" s="374">
        <f t="shared" ref="L143:L190" si="129">A143</f>
        <v>11</v>
      </c>
      <c r="N143" s="477" t="str">
        <f t="shared" ref="N143" si="130">CONCATENATE(LEFT(F143,FIND(" ",F143,1)-1)," / ",LEFT(F144,FIND(" ",F144,1)-1))</f>
        <v>KYSEL / LABOŠOVÁ</v>
      </c>
      <c r="O143" s="477" t="str">
        <f t="shared" ref="O143" si="131">CONCATENATE(H143," / ",H144)</f>
        <v>MSTK TVRDOŠÍN / ŠSTK JUNIOR ČAŇA</v>
      </c>
      <c r="P143" s="477" t="str">
        <f t="shared" ref="P143" si="132">F143</f>
        <v>KYSEL Martin</v>
      </c>
      <c r="Q143" s="477" t="str">
        <f t="shared" ref="Q143" si="133">F144</f>
        <v>LABOŠOVÁ Ema</v>
      </c>
    </row>
    <row r="144" spans="1:17" s="375" customFormat="1" ht="35.1" customHeight="1">
      <c r="A144" s="374">
        <v>12</v>
      </c>
      <c r="C144" s="479"/>
      <c r="D144" s="478"/>
      <c r="E144" s="376">
        <f>IF(ISERROR(VLOOKUP(A144,'startova listina'!$A$143:$I$190,4,0))=TRUE," ",VLOOKUP(A144,'startova listina'!$A$143:$I$190,4,0))</f>
        <v>1</v>
      </c>
      <c r="F144" s="377" t="str">
        <f>IF(ISERROR(VLOOKUP(A144,'startova listina'!$A$143:$I$190,5,0))=TRUE," ",VLOOKUP(A144,'startova listina'!$A$143:$I$190,5,0))</f>
        <v>LABOŠOVÁ Ema</v>
      </c>
      <c r="G144" s="376">
        <f>IF(ISERROR(VLOOKUP(A144,'startova listina'!$A$143:$I$190,6,0))=TRUE," ",VLOOKUP(A144,'startova listina'!$A$143:$I$190,6,0))</f>
        <v>2001</v>
      </c>
      <c r="H144" s="377" t="str">
        <f>IF(ISERROR(VLOOKUP(A144,'startova listina'!$A$143:$I$190,7,0))=TRUE," ",VLOOKUP(A144,'startova listina'!$A$143:$I$190,7,0))</f>
        <v>ŠSTK JUNIOR ČAŇA</v>
      </c>
      <c r="I144" s="376">
        <f>IF(ISERROR(VLOOKUP(A144,'startova listina'!$A$143:$I$190,8,0))=TRUE," ",VLOOKUP(A144,'startova listina'!$A$143:$I$190,8,0))</f>
        <v>496</v>
      </c>
      <c r="J144" s="479"/>
      <c r="L144" s="374">
        <f t="shared" si="129"/>
        <v>12</v>
      </c>
      <c r="N144" s="478"/>
      <c r="O144" s="478"/>
      <c r="P144" s="478"/>
      <c r="Q144" s="478"/>
    </row>
    <row r="145" spans="1:17" s="375" customFormat="1" ht="35.1" customHeight="1">
      <c r="A145" s="374">
        <v>21</v>
      </c>
      <c r="C145" s="479">
        <f t="shared" ref="C145" si="134">RANK(J145,$J$143:$J$190,0)</f>
        <v>2</v>
      </c>
      <c r="D145" s="477">
        <v>32</v>
      </c>
      <c r="E145" s="376">
        <f>IF(ISERROR(VLOOKUP(A145,'startova listina'!$A$143:$I$190,4,0))=TRUE," ",VLOOKUP(A145,'startova listina'!$A$143:$I$190,4,0))</f>
        <v>1</v>
      </c>
      <c r="F145" s="377" t="str">
        <f>IF(ISERROR(VLOOKUP(A145,'startova listina'!$A$143:$I$190,5,0))=TRUE," ",VLOOKUP(A145,'startova listina'!$A$143:$I$190,5,0))</f>
        <v>DIKO Dalibor</v>
      </c>
      <c r="G145" s="376">
        <f>IF(ISERROR(VLOOKUP(A145,'startova listina'!$A$143:$I$190,6,0))=TRUE," ",VLOOKUP(A145,'startova listina'!$A$143:$I$190,6,0))</f>
        <v>2002</v>
      </c>
      <c r="H145" s="377" t="str">
        <f>IF(ISERROR(VLOOKUP(A145,'startova listina'!$A$143:$I$190,7,0))=TRUE," ",VLOOKUP(A145,'startova listina'!$A$143:$I$190,7,0))</f>
        <v>TJ ORAVAN NÁMESTOVO</v>
      </c>
      <c r="I145" s="376">
        <f>IF(ISERROR(VLOOKUP(A145,'startova listina'!$A$143:$I$1906,8,0))=TRUE," ",VLOOKUP(A145,'startova listina'!$A$143:$I$190,8,0))</f>
        <v>398.3</v>
      </c>
      <c r="J145" s="479">
        <f t="shared" ref="J145" si="135">SUM(I145:I146)</f>
        <v>705.93000000000006</v>
      </c>
      <c r="L145" s="374">
        <f t="shared" si="129"/>
        <v>21</v>
      </c>
      <c r="N145" s="477" t="str">
        <f t="shared" ref="N145" si="136">CONCATENATE(LEFT(F145,FIND(" ",F145,1)-1)," / ",LEFT(F146,FIND(" ",F146,1)-1))</f>
        <v>DIKO / PEKOVÁ</v>
      </c>
      <c r="O145" s="477" t="str">
        <f t="shared" ref="O145" si="137">CONCATENATE(H145," / ",H146)</f>
        <v>TJ ORAVAN NÁMESTOVO / KST VIKTÓRIA TRNAVA</v>
      </c>
      <c r="P145" s="477" t="str">
        <f t="shared" ref="P145" si="138">F145</f>
        <v>DIKO Dalibor</v>
      </c>
      <c r="Q145" s="477" t="str">
        <f t="shared" ref="Q145" si="139">F146</f>
        <v>PEKOVÁ Zuzana</v>
      </c>
    </row>
    <row r="146" spans="1:17" s="375" customFormat="1" ht="35.1" customHeight="1">
      <c r="A146" s="374">
        <v>22</v>
      </c>
      <c r="C146" s="479"/>
      <c r="D146" s="478"/>
      <c r="E146" s="376">
        <f>IF(ISERROR(VLOOKUP(A146,'startova listina'!$A$143:$I$190,4,0))=TRUE," ",VLOOKUP(A146,'startova listina'!$A$143:$I$190,4,0))</f>
        <v>2</v>
      </c>
      <c r="F146" s="377" t="str">
        <f>IF(ISERROR(VLOOKUP(A146,'startova listina'!$A$143:$I$190,5,0))=TRUE," ",VLOOKUP(A146,'startova listina'!$A$143:$I$190,5,0))</f>
        <v>PEKOVÁ Zuzana</v>
      </c>
      <c r="G146" s="376">
        <f>IF(ISERROR(VLOOKUP(A146,'startova listina'!$A$143:$I$190,6,0))=TRUE," ",VLOOKUP(A146,'startova listina'!$A$143:$I$190,6,0))</f>
        <v>2002</v>
      </c>
      <c r="H146" s="377" t="str">
        <f>IF(ISERROR(VLOOKUP(A146,'startova listina'!$A$143:$I$190,7,0))=TRUE," ",VLOOKUP(A146,'startova listina'!$A$143:$I$190,7,0))</f>
        <v>KST VIKTÓRIA TRNAVA</v>
      </c>
      <c r="I146" s="376">
        <f>IF(ISERROR(VLOOKUP(A146,'startova listina'!$A$143:$I$190,8,0))=TRUE," ",VLOOKUP(A146,'startova listina'!$A$143:$I$190,8,0))</f>
        <v>307.63</v>
      </c>
      <c r="J146" s="479"/>
      <c r="L146" s="374">
        <f t="shared" si="129"/>
        <v>22</v>
      </c>
      <c r="N146" s="478"/>
      <c r="O146" s="478"/>
      <c r="P146" s="478"/>
      <c r="Q146" s="478"/>
    </row>
    <row r="147" spans="1:17" s="375" customFormat="1" ht="35.1" customHeight="1">
      <c r="A147" s="374">
        <v>31</v>
      </c>
      <c r="C147" s="479">
        <f t="shared" ref="C147" si="140">RANK(J147,$J$143:$J$190,0)</f>
        <v>3</v>
      </c>
      <c r="D147" s="477">
        <v>17</v>
      </c>
      <c r="E147" s="376">
        <f>IF(ISERROR(VLOOKUP(A147,'startova listina'!$A$143:$I$190,4,0))=TRUE," ",VLOOKUP(A147,'startova listina'!$A$143:$I$190,4,0))</f>
        <v>4</v>
      </c>
      <c r="F147" s="377" t="str">
        <f>IF(ISERROR(VLOOKUP(A147,'startova listina'!$A$143:$I$190,5,0))=TRUE," ",VLOOKUP(A147,'startova listina'!$A$143:$I$190,5,0))</f>
        <v>PINDURA Tobiáš</v>
      </c>
      <c r="G147" s="376">
        <f>IF(ISERROR(VLOOKUP(A147,'startova listina'!$A$143:$I$190,6,0))=TRUE," ",VLOOKUP(A147,'startova listina'!$A$143:$I$190,6,0))</f>
        <v>2001</v>
      </c>
      <c r="H147" s="377" t="str">
        <f>IF(ISERROR(VLOOKUP(A147,'startova listina'!$A$143:$I$190,7,0))=TRUE," ",VLOOKUP(A147,'startova listina'!$A$143:$I$190,7,0))</f>
        <v>ŠKST RUŽOMBEROK</v>
      </c>
      <c r="I147" s="376">
        <f>IF(ISERROR(VLOOKUP(A147,'startova listina'!$A$143:$I$1906,8,0))=TRUE," ",VLOOKUP(A147,'startova listina'!$A$143:$I$190,8,0))</f>
        <v>244</v>
      </c>
      <c r="J147" s="479">
        <f t="shared" ref="J147" si="141">SUM(I147:I148)</f>
        <v>496.63</v>
      </c>
      <c r="L147" s="374">
        <f t="shared" si="129"/>
        <v>31</v>
      </c>
      <c r="N147" s="477" t="str">
        <f t="shared" ref="N147" si="142">CONCATENATE(LEFT(F147,FIND(" ",F147,1)-1)," / ",LEFT(F148,FIND(" ",F148,1)-1))</f>
        <v>PINDURA / ŠINKAROVÁ</v>
      </c>
      <c r="O147" s="477" t="str">
        <f t="shared" ref="O147" si="143">CONCATENATE(H147," / ",H148)</f>
        <v>ŠKST RUŽOMBEROK / ŠKST MICHALOVCE</v>
      </c>
      <c r="P147" s="477" t="str">
        <f t="shared" ref="P147" si="144">F147</f>
        <v>PINDURA Tobiáš</v>
      </c>
      <c r="Q147" s="477" t="str">
        <f t="shared" ref="Q147" si="145">F148</f>
        <v>ŠINKAROVÁ Dáša</v>
      </c>
    </row>
    <row r="148" spans="1:17" s="375" customFormat="1" ht="35.1" customHeight="1">
      <c r="A148" s="374">
        <v>32</v>
      </c>
      <c r="C148" s="479"/>
      <c r="D148" s="478"/>
      <c r="E148" s="376">
        <f>IF(ISERROR(VLOOKUP(A148,'startova listina'!$A$143:$I$190,4,0))=TRUE," ",VLOOKUP(A148,'startova listina'!$A$143:$I$190,4,0))</f>
        <v>3</v>
      </c>
      <c r="F148" s="377" t="str">
        <f>IF(ISERROR(VLOOKUP(A148,'startova listina'!$A$143:$I$190,5,0))=TRUE," ",VLOOKUP(A148,'startova listina'!$A$143:$I$190,5,0))</f>
        <v>ŠINKAROVÁ Dáša</v>
      </c>
      <c r="G148" s="376">
        <f>IF(ISERROR(VLOOKUP(A148,'startova listina'!$A$143:$I$190,6,0))=TRUE," ",VLOOKUP(A148,'startova listina'!$A$143:$I$190,6,0))</f>
        <v>2001</v>
      </c>
      <c r="H148" s="377" t="str">
        <f>IF(ISERROR(VLOOKUP(A148,'startova listina'!$A$143:$I$190,7,0))=TRUE," ",VLOOKUP(A148,'startova listina'!$A$143:$I$190,7,0))</f>
        <v>ŠKST MICHALOVCE</v>
      </c>
      <c r="I148" s="376">
        <f>IF(ISERROR(VLOOKUP(A148,'startova listina'!$A$143:$I$190,8,0))=TRUE," ",VLOOKUP(A148,'startova listina'!$A$143:$I$190,8,0))</f>
        <v>252.63</v>
      </c>
      <c r="J148" s="479"/>
      <c r="L148" s="374">
        <f t="shared" si="129"/>
        <v>32</v>
      </c>
      <c r="N148" s="478"/>
      <c r="O148" s="478"/>
      <c r="P148" s="478"/>
      <c r="Q148" s="478"/>
    </row>
    <row r="149" spans="1:17" s="375" customFormat="1" ht="35.1" customHeight="1">
      <c r="A149" s="374">
        <v>41</v>
      </c>
      <c r="C149" s="479">
        <f t="shared" ref="C149" si="146">RANK(J149,$J$143:$J$190,0)</f>
        <v>4</v>
      </c>
      <c r="D149" s="477">
        <v>16</v>
      </c>
      <c r="E149" s="376">
        <f>IF(ISERROR(VLOOKUP(A149,'startova listina'!$A$143:$I$190,4,0))=TRUE," ",VLOOKUP(A149,'startova listina'!$A$143:$I$190,4,0))</f>
        <v>3</v>
      </c>
      <c r="F149" s="377" t="str">
        <f>IF(ISERROR(VLOOKUP(A149,'startova listina'!$A$143:$I$190,5,0))=TRUE," ",VLOOKUP(A149,'startova listina'!$A$143:$I$190,5,0))</f>
        <v>FEČO Samuel</v>
      </c>
      <c r="G149" s="376">
        <f>IF(ISERROR(VLOOKUP(A149,'startova listina'!$A$143:$I$190,6,0))=TRUE," ",VLOOKUP(A149,'startova listina'!$A$143:$I$190,6,0))</f>
        <v>2001</v>
      </c>
      <c r="H149" s="377" t="str">
        <f>IF(ISERROR(VLOOKUP(A149,'startova listina'!$A$143:$I$190,7,0))=TRUE," ",VLOOKUP(A149,'startova listina'!$A$143:$I$190,7,0))</f>
        <v>MŠK VSTK VRANOV NAD TOPĽOU</v>
      </c>
      <c r="I149" s="376">
        <f>IF(ISERROR(VLOOKUP(A149,'startova listina'!$A$143:$I$1906,8,0))=TRUE," ",VLOOKUP(A149,'startova listina'!$A$143:$I$190,8,0))</f>
        <v>283.54000000000002</v>
      </c>
      <c r="J149" s="479">
        <f t="shared" ref="J149:J189" si="147">SUM(I149:I150)</f>
        <v>491.18</v>
      </c>
      <c r="L149" s="374">
        <f t="shared" si="129"/>
        <v>41</v>
      </c>
      <c r="N149" s="477" t="str">
        <f t="shared" ref="N149" si="148">CONCATENATE(LEFT(F149,FIND(" ",F149,1)-1)," / ",LEFT(F150,FIND(" ",F150,1)-1))</f>
        <v>FEČO / DZELINSKA</v>
      </c>
      <c r="O149" s="477" t="str">
        <f t="shared" ref="O149" si="149">CONCATENATE(H149," / ",H150)</f>
        <v>MŠK VSTK VRANOV NAD TOPĽOU / ŠKST MICHALOVCE/STK LOKOMOTÍVA KOŠICE</v>
      </c>
      <c r="P149" s="477" t="str">
        <f t="shared" ref="P149" si="150">F149</f>
        <v>FEČO Samuel</v>
      </c>
      <c r="Q149" s="477" t="str">
        <f t="shared" ref="Q149" si="151">F150</f>
        <v>DZELINSKA Júlia</v>
      </c>
    </row>
    <row r="150" spans="1:17" s="375" customFormat="1" ht="35.1" customHeight="1">
      <c r="A150" s="374">
        <v>42</v>
      </c>
      <c r="C150" s="479"/>
      <c r="D150" s="478"/>
      <c r="E150" s="376">
        <f>IF(ISERROR(VLOOKUP(A150,'startova listina'!$A$143:$I$190,4,0))=TRUE," ",VLOOKUP(A150,'startova listina'!$A$143:$I$190,4,0))</f>
        <v>4</v>
      </c>
      <c r="F150" s="377" t="str">
        <f>IF(ISERROR(VLOOKUP(A150,'startova listina'!$A$143:$I$190,5,0))=TRUE," ",VLOOKUP(A150,'startova listina'!$A$143:$I$190,5,0))</f>
        <v>DZELINSKA Júlia</v>
      </c>
      <c r="G150" s="376">
        <f>IF(ISERROR(VLOOKUP(A150,'startova listina'!$A$143:$I$190,6,0))=TRUE," ",VLOOKUP(A150,'startova listina'!$A$143:$I$190,6,0))</f>
        <v>2002</v>
      </c>
      <c r="H150" s="377" t="str">
        <f>IF(ISERROR(VLOOKUP(A150,'startova listina'!$A$143:$I$190,7,0))=TRUE," ",VLOOKUP(A150,'startova listina'!$A$143:$I$190,7,0))</f>
        <v>ŠKST MICHALOVCE/STK LOKOMOTÍVA KOŠICE</v>
      </c>
      <c r="I150" s="376">
        <f>IF(ISERROR(VLOOKUP(A150,'startova listina'!$A$143:$I$190,8,0))=TRUE," ",VLOOKUP(A150,'startova listina'!$A$143:$I$190,8,0))</f>
        <v>207.64</v>
      </c>
      <c r="J150" s="479"/>
      <c r="L150" s="374">
        <f t="shared" si="129"/>
        <v>42</v>
      </c>
      <c r="N150" s="478"/>
      <c r="O150" s="478"/>
      <c r="P150" s="478"/>
      <c r="Q150" s="478"/>
    </row>
    <row r="151" spans="1:17" s="375" customFormat="1" ht="35.1" customHeight="1">
      <c r="A151" s="374">
        <v>51</v>
      </c>
      <c r="C151" s="479">
        <f t="shared" ref="C151" si="152">RANK(J151,$J$143:$J$190,0)</f>
        <v>5</v>
      </c>
      <c r="D151" s="477">
        <v>24</v>
      </c>
      <c r="E151" s="376">
        <f>IF(ISERROR(VLOOKUP(A151,'startova listina'!$A$143:$I$190,4,0))=TRUE," ",VLOOKUP(A151,'startova listina'!$A$143:$I$190,4,0))</f>
        <v>6</v>
      </c>
      <c r="F151" s="377" t="str">
        <f>IF(ISERROR(VLOOKUP(A151,'startova listina'!$A$143:$I$190,5,0))=TRUE," ",VLOOKUP(A151,'startova listina'!$A$143:$I$190,5,0))</f>
        <v>CYPRICH Samuel</v>
      </c>
      <c r="G151" s="376">
        <f>IF(ISERROR(VLOOKUP(A151,'startova listina'!$A$143:$I$190,6,0))=TRUE," ",VLOOKUP(A151,'startova listina'!$A$143:$I$190,6,0))</f>
        <v>2001</v>
      </c>
      <c r="H151" s="377" t="str">
        <f>IF(ISERROR(VLOOKUP(A151,'startova listina'!$A$143:$I$190,7,0))=TRUE," ",VLOOKUP(A151,'startova listina'!$A$143:$I$190,7,0))</f>
        <v>MSK ČADCA</v>
      </c>
      <c r="I151" s="376">
        <f>IF(ISERROR(VLOOKUP(A151,'startova listina'!$A$143:$I$1906,8,0))=TRUE," ",VLOOKUP(A151,'startova listina'!$A$143:$I$190,8,0))</f>
        <v>196.82</v>
      </c>
      <c r="J151" s="479">
        <f t="shared" si="147"/>
        <v>377.53</v>
      </c>
      <c r="L151" s="374">
        <f t="shared" si="129"/>
        <v>51</v>
      </c>
      <c r="N151" s="477" t="str">
        <f t="shared" ref="N151" si="153">CONCATENATE(LEFT(F151,FIND(" ",F151,1)-1)," / ",LEFT(F152,FIND(" ",F152,1)-1))</f>
        <v>CYPRICH / ŠVAJDLENKOVÁ</v>
      </c>
      <c r="O151" s="477" t="str">
        <f t="shared" ref="O151" si="154">CONCATENATE(H151," / ",H152)</f>
        <v>MSK ČADCA / MSK MALACKY</v>
      </c>
      <c r="P151" s="477" t="str">
        <f t="shared" ref="P151" si="155">F151</f>
        <v>CYPRICH Samuel</v>
      </c>
      <c r="Q151" s="477" t="str">
        <f t="shared" ref="Q151" si="156">F152</f>
        <v>ŠVAJDLENKOVÁ Laura</v>
      </c>
    </row>
    <row r="152" spans="1:17" s="375" customFormat="1" ht="35.1" customHeight="1">
      <c r="A152" s="374">
        <v>52</v>
      </c>
      <c r="C152" s="479"/>
      <c r="D152" s="478"/>
      <c r="E152" s="376">
        <f>IF(ISERROR(VLOOKUP(A152,'startova listina'!$A$143:$I$190,4,0))=TRUE," ",VLOOKUP(A152,'startova listina'!$A$143:$I$190,4,0))</f>
        <v>6</v>
      </c>
      <c r="F152" s="377" t="str">
        <f>IF(ISERROR(VLOOKUP(A152,'startova listina'!$A$143:$I$190,5,0))=TRUE," ",VLOOKUP(A152,'startova listina'!$A$143:$I$190,5,0))</f>
        <v>ŠVAJDLENKOVÁ Laura</v>
      </c>
      <c r="G152" s="376">
        <f>IF(ISERROR(VLOOKUP(A152,'startova listina'!$A$143:$I$190,6,0))=TRUE," ",VLOOKUP(A152,'startova listina'!$A$143:$I$190,6,0))</f>
        <v>2001</v>
      </c>
      <c r="H152" s="377" t="str">
        <f>IF(ISERROR(VLOOKUP(A152,'startova listina'!$A$143:$I$190,7,0))=TRUE," ",VLOOKUP(A152,'startova listina'!$A$143:$I$190,7,0))</f>
        <v>MSK MALACKY</v>
      </c>
      <c r="I152" s="376">
        <f>IF(ISERROR(VLOOKUP(A152,'startova listina'!$A$143:$I$190,8,0))=TRUE," ",VLOOKUP(A152,'startova listina'!$A$143:$I$190,8,0))</f>
        <v>180.71</v>
      </c>
      <c r="J152" s="479"/>
      <c r="L152" s="374">
        <f t="shared" si="129"/>
        <v>52</v>
      </c>
      <c r="N152" s="478"/>
      <c r="O152" s="478"/>
      <c r="P152" s="478"/>
      <c r="Q152" s="478"/>
    </row>
    <row r="153" spans="1:17" s="375" customFormat="1" ht="35.1" customHeight="1">
      <c r="A153" s="374">
        <v>61</v>
      </c>
      <c r="C153" s="479">
        <f t="shared" ref="C153" si="157">RANK(J153,$J$143:$J$190,0)</f>
        <v>6</v>
      </c>
      <c r="D153" s="477">
        <v>25</v>
      </c>
      <c r="E153" s="376">
        <f>IF(ISERROR(VLOOKUP(A153,'startova listina'!$A$143:$I$190,4,0))=TRUE," ",VLOOKUP(A153,'startova listina'!$A$143:$I$190,4,0))</f>
        <v>5</v>
      </c>
      <c r="F153" s="377" t="str">
        <f>IF(ISERROR(VLOOKUP(A153,'startova listina'!$A$143:$I$190,5,0))=TRUE," ",VLOOKUP(A153,'startova listina'!$A$143:$I$190,5,0))</f>
        <v>PETRÍK Filip</v>
      </c>
      <c r="G153" s="376">
        <f>IF(ISERROR(VLOOKUP(A153,'startova listina'!$A$143:$I$190,6,0))=TRUE," ",VLOOKUP(A153,'startova listina'!$A$143:$I$190,6,0))</f>
        <v>2001</v>
      </c>
      <c r="H153" s="377" t="str">
        <f>IF(ISERROR(VLOOKUP(A153,'startova listina'!$A$143:$I$190,7,0))=TRUE," ",VLOOKUP(A153,'startova listina'!$A$143:$I$190,7,0))</f>
        <v>KST PLUS40 TREBIŠOV/ŠKST MICHALOVCE</v>
      </c>
      <c r="I153" s="376">
        <f>IF(ISERROR(VLOOKUP(A153,'startova listina'!$A$143:$I$1906,8,0))=TRUE," ",VLOOKUP(A153,'startova listina'!$A$143:$I$190,8,0))</f>
        <v>202.47</v>
      </c>
      <c r="J153" s="479">
        <f t="shared" si="147"/>
        <v>340.93</v>
      </c>
      <c r="L153" s="374">
        <f t="shared" si="129"/>
        <v>61</v>
      </c>
      <c r="N153" s="477" t="str">
        <f t="shared" ref="N153" si="158">CONCATENATE(LEFT(F153,FIND(" ",F153,1)-1)," / ",LEFT(F154,FIND(" ",F154,1)-1))</f>
        <v>PETRÍK / PAPCUNOVÁ</v>
      </c>
      <c r="O153" s="477" t="str">
        <f t="shared" ref="O153" si="159">CONCATENATE(H153," / ",H154)</f>
        <v>KST PLUS40 TREBIŠOV/ŠKST MICHALOVCE / ŠSTK JUNIOR ČAŇA</v>
      </c>
      <c r="P153" s="477" t="str">
        <f t="shared" ref="P153" si="160">F153</f>
        <v>PETRÍK Filip</v>
      </c>
      <c r="Q153" s="477" t="str">
        <f t="shared" ref="Q153" si="161">F154</f>
        <v>PAPCUNOVÁ Viktória</v>
      </c>
    </row>
    <row r="154" spans="1:17" s="375" customFormat="1" ht="35.1" customHeight="1">
      <c r="A154" s="374">
        <v>62</v>
      </c>
      <c r="C154" s="479"/>
      <c r="D154" s="478"/>
      <c r="E154" s="376">
        <f>IF(ISERROR(VLOOKUP(A154,'startova listina'!$A$143:$I$190,4,0))=TRUE," ",VLOOKUP(A154,'startova listina'!$A$143:$I$190,4,0))</f>
        <v>10</v>
      </c>
      <c r="F154" s="377" t="str">
        <f>IF(ISERROR(VLOOKUP(A154,'startova listina'!$A$143:$I$190,5,0))=TRUE," ",VLOOKUP(A154,'startova listina'!$A$143:$I$190,5,0))</f>
        <v>PAPCUNOVÁ Viktória</v>
      </c>
      <c r="G154" s="376">
        <f>IF(ISERROR(VLOOKUP(A154,'startova listina'!$A$143:$I$190,6,0))=TRUE," ",VLOOKUP(A154,'startova listina'!$A$143:$I$190,6,0))</f>
        <v>2001</v>
      </c>
      <c r="H154" s="377" t="str">
        <f>IF(ISERROR(VLOOKUP(A154,'startova listina'!$A$143:$I$190,7,0))=TRUE," ",VLOOKUP(A154,'startova listina'!$A$143:$I$190,7,0))</f>
        <v>ŠSTK JUNIOR ČAŇA</v>
      </c>
      <c r="I154" s="376">
        <f>IF(ISERROR(VLOOKUP(A154,'startova listina'!$A$143:$I$190,8,0))=TRUE," ",VLOOKUP(A154,'startova listina'!$A$143:$I$190,8,0))</f>
        <v>138.46</v>
      </c>
      <c r="J154" s="479"/>
      <c r="L154" s="374">
        <f t="shared" si="129"/>
        <v>62</v>
      </c>
      <c r="N154" s="478"/>
      <c r="O154" s="478"/>
      <c r="P154" s="478"/>
      <c r="Q154" s="478"/>
    </row>
    <row r="155" spans="1:17" s="375" customFormat="1" ht="35.1" customHeight="1">
      <c r="A155" s="374">
        <v>71</v>
      </c>
      <c r="C155" s="479">
        <f t="shared" ref="C155" si="162">RANK(J155,$J$143:$J$190,0)</f>
        <v>7</v>
      </c>
      <c r="D155" s="477">
        <v>8</v>
      </c>
      <c r="E155" s="376">
        <f>IF(ISERROR(VLOOKUP(A155,'startova listina'!$A$143:$I$190,4,0))=TRUE," ",VLOOKUP(A155,'startova listina'!$A$143:$I$190,4,0))</f>
        <v>9</v>
      </c>
      <c r="F155" s="377" t="str">
        <f>IF(ISERROR(VLOOKUP(A155,'startova listina'!$A$143:$I$190,5,0))=TRUE," ",VLOOKUP(A155,'startova listina'!$A$143:$I$190,5,0))</f>
        <v>HURKA Rastislav</v>
      </c>
      <c r="G155" s="376">
        <f>IF(ISERROR(VLOOKUP(A155,'startova listina'!$A$143:$I$190,6,0))=TRUE," ",VLOOKUP(A155,'startova listina'!$A$143:$I$190,6,0))</f>
        <v>2001</v>
      </c>
      <c r="H155" s="377" t="str">
        <f>IF(ISERROR(VLOOKUP(A155,'startova listina'!$A$143:$I$190,7,0))=TRUE," ",VLOOKUP(A155,'startova listina'!$A$143:$I$190,7,0))</f>
        <v>STO VALALIKY</v>
      </c>
      <c r="I155" s="376">
        <f>IF(ISERROR(VLOOKUP(A155,'startova listina'!$A$143:$I$1906,8,0))=TRUE," ",VLOOKUP(A155,'startova listina'!$A$143:$I$190,8,0))</f>
        <v>152.49</v>
      </c>
      <c r="J155" s="479">
        <f t="shared" si="147"/>
        <v>330.42</v>
      </c>
      <c r="L155" s="374">
        <f t="shared" si="129"/>
        <v>71</v>
      </c>
      <c r="N155" s="477" t="str">
        <f t="shared" ref="N155" si="163">CONCATENATE(LEFT(F155,FIND(" ",F155,1)-1)," / ",LEFT(F156,FIND(" ",F156,1)-1))</f>
        <v>HURKA / MAJERSKÁ</v>
      </c>
      <c r="O155" s="477" t="str">
        <f t="shared" ref="O155" si="164">CONCATENATE(H155," / ",H156)</f>
        <v>STO VALALIKY / STO VALALIKY</v>
      </c>
      <c r="P155" s="477" t="str">
        <f t="shared" ref="P155" si="165">F155</f>
        <v>HURKA Rastislav</v>
      </c>
      <c r="Q155" s="477" t="str">
        <f t="shared" ref="Q155" si="166">F156</f>
        <v>MAJERSKÁ Alena</v>
      </c>
    </row>
    <row r="156" spans="1:17" s="375" customFormat="1" ht="35.1" customHeight="1">
      <c r="A156" s="374">
        <v>72</v>
      </c>
      <c r="C156" s="479"/>
      <c r="D156" s="478"/>
      <c r="E156" s="376">
        <f>IF(ISERROR(VLOOKUP(A156,'startova listina'!$A$143:$I$190,4,0))=TRUE," ",VLOOKUP(A156,'startova listina'!$A$143:$I$190,4,0))</f>
        <v>7</v>
      </c>
      <c r="F156" s="377" t="str">
        <f>IF(ISERROR(VLOOKUP(A156,'startova listina'!$A$143:$I$190,5,0))=TRUE," ",VLOOKUP(A156,'startova listina'!$A$143:$I$190,5,0))</f>
        <v>MAJERSKÁ Alena</v>
      </c>
      <c r="G156" s="376">
        <f>IF(ISERROR(VLOOKUP(A156,'startova listina'!$A$143:$I$190,6,0))=TRUE," ",VLOOKUP(A156,'startova listina'!$A$143:$I$190,6,0))</f>
        <v>2002</v>
      </c>
      <c r="H156" s="377" t="str">
        <f>IF(ISERROR(VLOOKUP(A156,'startova listina'!$A$143:$I$190,7,0))=TRUE," ",VLOOKUP(A156,'startova listina'!$A$143:$I$190,7,0))</f>
        <v>STO VALALIKY</v>
      </c>
      <c r="I156" s="376">
        <f>IF(ISERROR(VLOOKUP(A156,'startova listina'!$A$143:$I$190,8,0))=TRUE," ",VLOOKUP(A156,'startova listina'!$A$143:$I$190,8,0))</f>
        <v>177.93</v>
      </c>
      <c r="J156" s="479"/>
      <c r="L156" s="374">
        <f t="shared" si="129"/>
        <v>72</v>
      </c>
      <c r="N156" s="478"/>
      <c r="O156" s="478"/>
      <c r="P156" s="478"/>
      <c r="Q156" s="478"/>
    </row>
    <row r="157" spans="1:17" s="375" customFormat="1" ht="35.1" customHeight="1">
      <c r="A157" s="374">
        <v>81</v>
      </c>
      <c r="C157" s="479">
        <f t="shared" ref="C157" si="167">RANK(J157,$J$143:$J$190,0)</f>
        <v>8</v>
      </c>
      <c r="D157" s="477">
        <v>9</v>
      </c>
      <c r="E157" s="376">
        <f>IF(ISERROR(VLOOKUP(A157,'startova listina'!$A$143:$I$190,4,0))=TRUE," ",VLOOKUP(A157,'startova listina'!$A$143:$I$190,4,0))</f>
        <v>10</v>
      </c>
      <c r="F157" s="377" t="str">
        <f>IF(ISERROR(VLOOKUP(A157,'startova listina'!$A$143:$I$190,5,0))=TRUE," ",VLOOKUP(A157,'startova listina'!$A$143:$I$190,5,0))</f>
        <v>ĎANOVSKÝ Martin</v>
      </c>
      <c r="G157" s="376">
        <f>IF(ISERROR(VLOOKUP(A157,'startova listina'!$A$143:$I$190,6,0))=TRUE," ",VLOOKUP(A157,'startova listina'!$A$143:$I$190,6,0))</f>
        <v>2002</v>
      </c>
      <c r="H157" s="377" t="str">
        <f>IF(ISERROR(VLOOKUP(A157,'startova listina'!$A$143:$I$190,7,0))=TRUE," ",VLOOKUP(A157,'startova listina'!$A$143:$I$190,7,0))</f>
        <v>LOKOMOTÍVA VRÚTKY</v>
      </c>
      <c r="I157" s="376">
        <f>IF(ISERROR(VLOOKUP(A157,'startova listina'!$A$143:$I$1906,8,0))=TRUE," ",VLOOKUP(A157,'startova listina'!$A$143:$I$190,8,0))</f>
        <v>128.26</v>
      </c>
      <c r="J157" s="479">
        <f t="shared" si="147"/>
        <v>322.79999999999995</v>
      </c>
      <c r="L157" s="374">
        <f t="shared" si="129"/>
        <v>81</v>
      </c>
      <c r="N157" s="477" t="str">
        <f t="shared" ref="N157" si="168">CONCATENATE(LEFT(F157,FIND(" ",F157,1)-1)," / ",LEFT(F158,FIND(" ",F158,1)-1))</f>
        <v>ĎANOVSKÝ / DIVINSKÁ</v>
      </c>
      <c r="O157" s="477" t="str">
        <f t="shared" ref="O157" si="169">CONCATENATE(H157," / ",H158)</f>
        <v>LOKOMOTÍVA VRÚTKY / MSTK TVRDOŠÍN</v>
      </c>
      <c r="P157" s="477" t="str">
        <f t="shared" ref="P157" si="170">F157</f>
        <v>ĎANOVSKÝ Martin</v>
      </c>
      <c r="Q157" s="477" t="str">
        <f t="shared" ref="Q157" si="171">F158</f>
        <v>DIVINSKÁ Natália</v>
      </c>
    </row>
    <row r="158" spans="1:17" s="375" customFormat="1" ht="35.1" customHeight="1">
      <c r="A158" s="374">
        <v>82</v>
      </c>
      <c r="C158" s="479"/>
      <c r="D158" s="478"/>
      <c r="E158" s="376">
        <f>IF(ISERROR(VLOOKUP(A158,'startova listina'!$A$143:$I$190,4,0))=TRUE," ",VLOOKUP(A158,'startova listina'!$A$143:$I$190,4,0))</f>
        <v>5</v>
      </c>
      <c r="F158" s="377" t="str">
        <f>IF(ISERROR(VLOOKUP(A158,'startova listina'!$A$143:$I$190,5,0))=TRUE," ",VLOOKUP(A158,'startova listina'!$A$143:$I$190,5,0))</f>
        <v>DIVINSKÁ Natália</v>
      </c>
      <c r="G158" s="376">
        <f>IF(ISERROR(VLOOKUP(A158,'startova listina'!$A$143:$I$190,6,0))=TRUE," ",VLOOKUP(A158,'startova listina'!$A$143:$I$190,6,0))</f>
        <v>2002</v>
      </c>
      <c r="H158" s="377" t="str">
        <f>IF(ISERROR(VLOOKUP(A158,'startova listina'!$A$143:$I$190,7,0))=TRUE," ",VLOOKUP(A158,'startova listina'!$A$143:$I$190,7,0))</f>
        <v>MSTK TVRDOŠÍN</v>
      </c>
      <c r="I158" s="376">
        <f>IF(ISERROR(VLOOKUP(A158,'startova listina'!$A$143:$I$190,8,0))=TRUE," ",VLOOKUP(A158,'startova listina'!$A$143:$I$190,8,0))</f>
        <v>194.54</v>
      </c>
      <c r="J158" s="479"/>
      <c r="L158" s="374">
        <f t="shared" si="129"/>
        <v>82</v>
      </c>
      <c r="N158" s="478"/>
      <c r="O158" s="478"/>
      <c r="P158" s="478"/>
      <c r="Q158" s="478"/>
    </row>
    <row r="159" spans="1:17" s="375" customFormat="1" ht="35.1" customHeight="1">
      <c r="A159" s="374">
        <v>91</v>
      </c>
      <c r="C159" s="479">
        <f t="shared" ref="C159" si="172">RANK(J159,$J$143:$J$190,0)</f>
        <v>9</v>
      </c>
      <c r="D159" s="477">
        <v>21</v>
      </c>
      <c r="E159" s="376">
        <f>IF(ISERROR(VLOOKUP(A159,'startova listina'!$A$143:$I$190,4,0))=TRUE," ",VLOOKUP(A159,'startova listina'!$A$143:$I$190,4,0))</f>
        <v>7</v>
      </c>
      <c r="F159" s="377" t="str">
        <f>IF(ISERROR(VLOOKUP(A159,'startova listina'!$A$143:$I$190,5,0))=TRUE," ",VLOOKUP(A159,'startova listina'!$A$143:$I$190,5,0))</f>
        <v>TUREK Teodor</v>
      </c>
      <c r="G159" s="376">
        <f>IF(ISERROR(VLOOKUP(A159,'startova listina'!$A$143:$I$190,6,0))=TRUE," ",VLOOKUP(A159,'startova listina'!$A$143:$I$190,6,0))</f>
        <v>2001</v>
      </c>
      <c r="H159" s="377" t="str">
        <f>IF(ISERROR(VLOOKUP(A159,'startova listina'!$A$143:$I$190,7,0))=TRUE," ",VLOOKUP(A159,'startova listina'!$A$143:$I$190,7,0))</f>
        <v>ŠK ŠOG NITRA</v>
      </c>
      <c r="I159" s="376">
        <f>IF(ISERROR(VLOOKUP(A159,'startova listina'!$A$143:$I$1906,8,0))=TRUE," ",VLOOKUP(A159,'startova listina'!$A$143:$I$190,8,0))</f>
        <v>176.05</v>
      </c>
      <c r="J159" s="479">
        <f t="shared" si="147"/>
        <v>274.8</v>
      </c>
      <c r="L159" s="374">
        <f t="shared" si="129"/>
        <v>91</v>
      </c>
      <c r="N159" s="477" t="str">
        <f t="shared" ref="N159" si="173">CONCATENATE(LEFT(F159,FIND(" ",F159,1)-1)," / ",LEFT(F160,FIND(" ",F160,1)-1))</f>
        <v>TUREK / DZUROVÁ</v>
      </c>
      <c r="O159" s="477" t="str">
        <f t="shared" ref="O159" si="174">CONCATENATE(H159," / ",H160)</f>
        <v>ŠK ŠOG NITRA / STK STARÁ TURÁ</v>
      </c>
      <c r="P159" s="477" t="str">
        <f t="shared" ref="P159" si="175">F159</f>
        <v>TUREK Teodor</v>
      </c>
      <c r="Q159" s="477" t="str">
        <f t="shared" ref="Q159" si="176">F160</f>
        <v>DZUROVÁ Lenka</v>
      </c>
    </row>
    <row r="160" spans="1:17" s="375" customFormat="1" ht="35.1" customHeight="1">
      <c r="A160" s="374">
        <v>92</v>
      </c>
      <c r="C160" s="479"/>
      <c r="D160" s="478"/>
      <c r="E160" s="376">
        <f>IF(ISERROR(VLOOKUP(A160,'startova listina'!$A$143:$I$190,4,0))=TRUE," ",VLOOKUP(A160,'startova listina'!$A$143:$I$190,4,0))</f>
        <v>14</v>
      </c>
      <c r="F160" s="377" t="str">
        <f>IF(ISERROR(VLOOKUP(A160,'startova listina'!$A$143:$I$190,5,0))=TRUE," ",VLOOKUP(A160,'startova listina'!$A$143:$I$190,5,0))</f>
        <v>DZUROVÁ Lenka</v>
      </c>
      <c r="G160" s="376">
        <f>IF(ISERROR(VLOOKUP(A160,'startova listina'!$A$143:$I$190,6,0))=TRUE," ",VLOOKUP(A160,'startova listina'!$A$143:$I$190,6,0))</f>
        <v>2002</v>
      </c>
      <c r="H160" s="377" t="str">
        <f>IF(ISERROR(VLOOKUP(A160,'startova listina'!$A$143:$I$190,7,0))=TRUE," ",VLOOKUP(A160,'startova listina'!$A$143:$I$190,7,0))</f>
        <v>STK STARÁ TURÁ</v>
      </c>
      <c r="I160" s="376">
        <f>IF(ISERROR(VLOOKUP(A160,'startova listina'!$A$143:$I$190,8,0))=TRUE," ",VLOOKUP(A160,'startova listina'!$A$143:$I$190,8,0))</f>
        <v>98.75</v>
      </c>
      <c r="J160" s="479"/>
      <c r="L160" s="374">
        <f t="shared" si="129"/>
        <v>92</v>
      </c>
      <c r="N160" s="478"/>
      <c r="O160" s="478"/>
      <c r="P160" s="478"/>
      <c r="Q160" s="478"/>
    </row>
    <row r="161" spans="1:17" s="375" customFormat="1" ht="35.1" customHeight="1">
      <c r="A161" s="374">
        <v>101</v>
      </c>
      <c r="C161" s="479">
        <f t="shared" ref="C161" si="177">RANK(J161,$J$143:$J$190,0)</f>
        <v>10</v>
      </c>
      <c r="D161" s="477">
        <v>13</v>
      </c>
      <c r="E161" s="376">
        <f>IF(ISERROR(VLOOKUP(A161,'startova listina'!$A$143:$I$190,4,0))=TRUE," ",VLOOKUP(A161,'startova listina'!$A$143:$I$190,4,0))</f>
        <v>14</v>
      </c>
      <c r="F161" s="377" t="str">
        <f>IF(ISERROR(VLOOKUP(A161,'startova listina'!$A$143:$I$190,5,0))=TRUE," ",VLOOKUP(A161,'startova listina'!$A$143:$I$190,5,0))</f>
        <v>JALOVECKÝ Marek</v>
      </c>
      <c r="G161" s="376">
        <f>IF(ISERROR(VLOOKUP(A161,'startova listina'!$A$143:$I$190,6,0))=TRUE," ",VLOOKUP(A161,'startova listina'!$A$143:$I$190,6,0))</f>
        <v>2001</v>
      </c>
      <c r="H161" s="377" t="str">
        <f>IF(ISERROR(VLOOKUP(A161,'startova listina'!$A$143:$I$190,7,0))=TRUE," ",VLOOKUP(A161,'startova listina'!$A$143:$I$190,7,0))</f>
        <v>STK ZŠ NA BIELENISKU PEZINOK</v>
      </c>
      <c r="I161" s="376">
        <f>IF(ISERROR(VLOOKUP(A161,'startova listina'!$A$143:$I$1906,8,0))=TRUE," ",VLOOKUP(A161,'startova listina'!$A$143:$I$190,8,0))</f>
        <v>111.5</v>
      </c>
      <c r="J161" s="479">
        <f t="shared" si="147"/>
        <v>268.52999999999997</v>
      </c>
      <c r="L161" s="374">
        <f t="shared" si="129"/>
        <v>101</v>
      </c>
      <c r="N161" s="477" t="str">
        <f t="shared" ref="N161" si="178">CONCATENATE(LEFT(F161,FIND(" ",F161,1)-1)," / ",LEFT(F162,FIND(" ",F162,1)-1))</f>
        <v>JALOVECKÝ / SLOBODNÍKOVÁ</v>
      </c>
      <c r="O161" s="477" t="str">
        <f t="shared" ref="O161" si="179">CONCATENATE(H161," / ",H162)</f>
        <v>STK ZŠ NA BIELENISKU PEZINOK / ŠKST KARLOVA VES</v>
      </c>
      <c r="P161" s="477" t="str">
        <f t="shared" ref="P161" si="180">F161</f>
        <v>JALOVECKÝ Marek</v>
      </c>
      <c r="Q161" s="477" t="str">
        <f t="shared" ref="Q161" si="181">F162</f>
        <v>SLOBODNÍKOVÁ Hana</v>
      </c>
    </row>
    <row r="162" spans="1:17" s="375" customFormat="1" ht="35.1" customHeight="1">
      <c r="A162" s="374">
        <v>102</v>
      </c>
      <c r="C162" s="479"/>
      <c r="D162" s="478"/>
      <c r="E162" s="376">
        <f>IF(ISERROR(VLOOKUP(A162,'startova listina'!$A$143:$I$190,4,0))=TRUE," ",VLOOKUP(A162,'startova listina'!$A$143:$I$190,4,0))</f>
        <v>9</v>
      </c>
      <c r="F162" s="377" t="str">
        <f>IF(ISERROR(VLOOKUP(A162,'startova listina'!$A$143:$I$190,5,0))=TRUE," ",VLOOKUP(A162,'startova listina'!$A$143:$I$190,5,0))</f>
        <v>SLOBODNÍKOVÁ Hana</v>
      </c>
      <c r="G162" s="376">
        <f>IF(ISERROR(VLOOKUP(A162,'startova listina'!$A$143:$I$190,6,0))=TRUE," ",VLOOKUP(A162,'startova listina'!$A$143:$I$190,6,0))</f>
        <v>2003</v>
      </c>
      <c r="H162" s="377" t="str">
        <f>IF(ISERROR(VLOOKUP(A162,'startova listina'!$A$143:$I$190,7,0))=TRUE," ",VLOOKUP(A162,'startova listina'!$A$143:$I$190,7,0))</f>
        <v>ŠKST KARLOVA VES</v>
      </c>
      <c r="I162" s="376">
        <f>IF(ISERROR(VLOOKUP(A162,'startova listina'!$A$143:$I$190,8,0))=TRUE," ",VLOOKUP(A162,'startova listina'!$A$143:$I$190,8,0))</f>
        <v>157.03</v>
      </c>
      <c r="J162" s="479"/>
      <c r="L162" s="374">
        <f t="shared" si="129"/>
        <v>102</v>
      </c>
      <c r="N162" s="478"/>
      <c r="O162" s="478"/>
      <c r="P162" s="478"/>
      <c r="Q162" s="478"/>
    </row>
    <row r="163" spans="1:17" s="375" customFormat="1" ht="35.1" customHeight="1">
      <c r="A163" s="374">
        <v>111</v>
      </c>
      <c r="C163" s="479">
        <f t="shared" ref="C163" si="182">RANK(J163,$J$143:$J$190,0)</f>
        <v>11</v>
      </c>
      <c r="D163" s="477">
        <v>12</v>
      </c>
      <c r="E163" s="376">
        <f>IF(ISERROR(VLOOKUP(A163,'startova listina'!$A$143:$I$190,4,0))=TRUE," ",VLOOKUP(A163,'startova listina'!$A$143:$I$190,4,0))</f>
        <v>8</v>
      </c>
      <c r="F163" s="377" t="str">
        <f>IF(ISERROR(VLOOKUP(A163,'startova listina'!$A$143:$I$190,5,0))=TRUE," ",VLOOKUP(A163,'startova listina'!$A$143:$I$190,5,0))</f>
        <v>PAPÁNEK Martin</v>
      </c>
      <c r="G163" s="376">
        <f>IF(ISERROR(VLOOKUP(A163,'startova listina'!$A$143:$I$190,6,0))=TRUE," ",VLOOKUP(A163,'startova listina'!$A$143:$I$190,6,0))</f>
        <v>2001</v>
      </c>
      <c r="H163" s="377" t="str">
        <f>IF(ISERROR(VLOOKUP(A163,'startova listina'!$A$143:$I$190,7,0))=TRUE," ",VLOOKUP(A163,'startova listina'!$A$143:$I$190,7,0))</f>
        <v>STK NOVÁ BAŇA/PODLUŽANY</v>
      </c>
      <c r="I163" s="376">
        <f>IF(ISERROR(VLOOKUP(A163,'startova listina'!$A$143:$I$1906,8,0))=TRUE," ",VLOOKUP(A163,'startova listina'!$A$143:$I$190,8,0))</f>
        <v>154.6</v>
      </c>
      <c r="J163" s="479">
        <f t="shared" si="147"/>
        <v>268.25</v>
      </c>
      <c r="L163" s="374">
        <f t="shared" si="129"/>
        <v>111</v>
      </c>
      <c r="N163" s="477" t="str">
        <f t="shared" ref="N163" si="183">CONCATENATE(LEFT(F163,FIND(" ",F163,1)-1)," / ",LEFT(F164,FIND(" ",F164,1)-1))</f>
        <v>PAPÁNEK / MIKULOVÁ</v>
      </c>
      <c r="O163" s="477" t="str">
        <f t="shared" ref="O163" si="184">CONCATENATE(H163," / ",H164)</f>
        <v>STK NOVÁ BAŇA/PODLUŽANY / KST DRIVE TR. JASTRABIE</v>
      </c>
      <c r="P163" s="477" t="str">
        <f t="shared" ref="P163" si="185">F163</f>
        <v>PAPÁNEK Martin</v>
      </c>
      <c r="Q163" s="477" t="str">
        <f t="shared" ref="Q163" si="186">F164</f>
        <v>MIKULOVÁ Terézia</v>
      </c>
    </row>
    <row r="164" spans="1:17" s="375" customFormat="1" ht="35.1" customHeight="1">
      <c r="A164" s="374">
        <v>112</v>
      </c>
      <c r="C164" s="479"/>
      <c r="D164" s="478"/>
      <c r="E164" s="376">
        <f>IF(ISERROR(VLOOKUP(A164,'startova listina'!$A$143:$I$190,4,0))=TRUE," ",VLOOKUP(A164,'startova listina'!$A$143:$I$190,4,0))</f>
        <v>13</v>
      </c>
      <c r="F164" s="377" t="str">
        <f>IF(ISERROR(VLOOKUP(A164,'startova listina'!$A$143:$I$190,5,0))=TRUE," ",VLOOKUP(A164,'startova listina'!$A$143:$I$190,5,0))</f>
        <v>MIKULOVÁ Terézia</v>
      </c>
      <c r="G164" s="376">
        <f>IF(ISERROR(VLOOKUP(A164,'startova listina'!$A$143:$I$190,6,0))=TRUE," ",VLOOKUP(A164,'startova listina'!$A$143:$I$190,6,0))</f>
        <v>2001</v>
      </c>
      <c r="H164" s="377" t="str">
        <f>IF(ISERROR(VLOOKUP(A164,'startova listina'!$A$143:$I$190,7,0))=TRUE," ",VLOOKUP(A164,'startova listina'!$A$143:$I$190,7,0))</f>
        <v>KST DRIVE TR. JASTRABIE</v>
      </c>
      <c r="I164" s="376">
        <f>IF(ISERROR(VLOOKUP(A164,'startova listina'!$A$143:$I$190,8,0))=TRUE," ",VLOOKUP(A164,'startova listina'!$A$143:$I$190,8,0))</f>
        <v>113.65</v>
      </c>
      <c r="J164" s="479"/>
      <c r="L164" s="374">
        <f t="shared" si="129"/>
        <v>112</v>
      </c>
      <c r="N164" s="478"/>
      <c r="O164" s="478"/>
      <c r="P164" s="478"/>
      <c r="Q164" s="478"/>
    </row>
    <row r="165" spans="1:17" s="375" customFormat="1" ht="35.1" customHeight="1">
      <c r="A165" s="374">
        <v>121</v>
      </c>
      <c r="C165" s="479">
        <f t="shared" ref="C165" si="187">RANK(J165,$J$143:$J$190,0)</f>
        <v>12</v>
      </c>
      <c r="D165" s="477">
        <v>4</v>
      </c>
      <c r="E165" s="376">
        <f>IF(ISERROR(VLOOKUP(A165,'startova listina'!$A$143:$I$190,4,0))=TRUE," ",VLOOKUP(A165,'startova listina'!$A$143:$I$190,4,0))</f>
        <v>11</v>
      </c>
      <c r="F165" s="377" t="str">
        <f>IF(ISERROR(VLOOKUP(A165,'startova listina'!$A$143:$I$190,5,0))=TRUE," ",VLOOKUP(A165,'startova listina'!$A$143:$I$190,5,0))</f>
        <v>MILAN Martin</v>
      </c>
      <c r="G165" s="376">
        <f>IF(ISERROR(VLOOKUP(A165,'startova listina'!$A$143:$I$190,6,0))=TRUE," ",VLOOKUP(A165,'startova listina'!$A$143:$I$190,6,0))</f>
        <v>2001</v>
      </c>
      <c r="H165" s="377" t="str">
        <f>IF(ISERROR(VLOOKUP(A165,'startova listina'!$A$143:$I$190,7,0))=TRUE," ",VLOOKUP(A165,'startova listina'!$A$143:$I$190,7,0))</f>
        <v>1.PPC FORTUNA KEŽMAROK/TJ OBCE SPIŠSKÝ ŠTIAVNIK</v>
      </c>
      <c r="I165" s="376">
        <f>IF(ISERROR(VLOOKUP(A165,'startova listina'!$A$143:$I$1906,8,0))=TRUE," ",VLOOKUP(A165,'startova listina'!$A$143:$I$190,8,0))</f>
        <v>125.6</v>
      </c>
      <c r="J165" s="479">
        <f t="shared" si="147"/>
        <v>259.38</v>
      </c>
      <c r="L165" s="374">
        <f t="shared" si="129"/>
        <v>121</v>
      </c>
      <c r="N165" s="477" t="str">
        <f t="shared" ref="N165" si="188">CONCATENATE(LEFT(F165,FIND(" ",F165,1)-1)," / ",LEFT(F166,FIND(" ",F166,1)-1))</f>
        <v>MILAN / GAŠPARÍKOVÁ</v>
      </c>
      <c r="O165" s="477" t="str">
        <f t="shared" ref="O165" si="189">CONCATENATE(H165," / ",H166)</f>
        <v>1.PPC FORTUNA KEŽMAROK/TJ OBCE SPIŠSKÝ ŠTIAVNIK / TTC MAJCICHOV</v>
      </c>
      <c r="P165" s="477" t="str">
        <f t="shared" ref="P165" si="190">F165</f>
        <v>MILAN Martin</v>
      </c>
      <c r="Q165" s="477" t="str">
        <f t="shared" ref="Q165" si="191">F166</f>
        <v>GAŠPARÍKOVÁ Lucia</v>
      </c>
    </row>
    <row r="166" spans="1:17" s="375" customFormat="1" ht="35.1" customHeight="1">
      <c r="A166" s="374">
        <v>122</v>
      </c>
      <c r="C166" s="479"/>
      <c r="D166" s="478"/>
      <c r="E166" s="376">
        <f>IF(ISERROR(VLOOKUP(A166,'startova listina'!$A$143:$I$190,4,0))=TRUE," ",VLOOKUP(A166,'startova listina'!$A$143:$I$190,4,0))</f>
        <v>12</v>
      </c>
      <c r="F166" s="377" t="str">
        <f>IF(ISERROR(VLOOKUP(A166,'startova listina'!$A$143:$I$190,5,0))=TRUE," ",VLOOKUP(A166,'startova listina'!$A$143:$I$190,5,0))</f>
        <v>GAŠPARÍKOVÁ Lucia</v>
      </c>
      <c r="G166" s="376">
        <f>IF(ISERROR(VLOOKUP(A166,'startova listina'!$A$143:$I$190,6,0))=TRUE," ",VLOOKUP(A166,'startova listina'!$A$143:$I$190,6,0))</f>
        <v>2002</v>
      </c>
      <c r="H166" s="377" t="str">
        <f>IF(ISERROR(VLOOKUP(A166,'startova listina'!$A$143:$I$190,7,0))=TRUE," ",VLOOKUP(A166,'startova listina'!$A$143:$I$190,7,0))</f>
        <v>TTC MAJCICHOV</v>
      </c>
      <c r="I166" s="376">
        <f>IF(ISERROR(VLOOKUP(A166,'startova listina'!$A$143:$I$190,8,0))=TRUE," ",VLOOKUP(A166,'startova listina'!$A$143:$I$190,8,0))</f>
        <v>133.78</v>
      </c>
      <c r="J166" s="479"/>
      <c r="L166" s="374">
        <f t="shared" si="129"/>
        <v>122</v>
      </c>
      <c r="N166" s="478"/>
      <c r="O166" s="478"/>
      <c r="P166" s="478"/>
      <c r="Q166" s="478"/>
    </row>
    <row r="167" spans="1:17" s="375" customFormat="1" ht="35.1" customHeight="1">
      <c r="A167" s="374">
        <v>131</v>
      </c>
      <c r="C167" s="479">
        <f t="shared" ref="C167" si="192">RANK(J167,$J$143:$J$190,0)</f>
        <v>13</v>
      </c>
      <c r="D167" s="477">
        <v>22</v>
      </c>
      <c r="E167" s="376">
        <f>IF(ISERROR(VLOOKUP(A167,'startova listina'!$A$143:$I$190,4,0))=TRUE," ",VLOOKUP(A167,'startova listina'!$A$143:$I$190,4,0))</f>
        <v>24</v>
      </c>
      <c r="F167" s="377" t="str">
        <f>IF(ISERROR(VLOOKUP(A167,'startova listina'!$A$143:$I$190,5,0))=TRUE," ",VLOOKUP(A167,'startova listina'!$A$143:$I$190,5,0))</f>
        <v>FEČO Michal</v>
      </c>
      <c r="G167" s="376">
        <f>IF(ISERROR(VLOOKUP(A167,'startova listina'!$A$143:$I$190,6,0))=TRUE," ",VLOOKUP(A167,'startova listina'!$A$143:$I$190,6,0))</f>
        <v>2001</v>
      </c>
      <c r="H167" s="377" t="str">
        <f>IF(ISERROR(VLOOKUP(A167,'startova listina'!$A$143:$I$190,7,0))=TRUE," ",VLOOKUP(A167,'startova listina'!$A$143:$I$190,7,0))</f>
        <v>MŠK VSTK VRANOV NAD TOPĽOU</v>
      </c>
      <c r="I167" s="376">
        <f>IF(ISERROR(VLOOKUP(A167,'startova listina'!$A$143:$I$1906,8,0))=TRUE," ",VLOOKUP(A167,'startova listina'!$A$143:$I$190,8,0))</f>
        <v>74.64</v>
      </c>
      <c r="J167" s="479">
        <f t="shared" si="147"/>
        <v>240.54000000000002</v>
      </c>
      <c r="L167" s="374">
        <f t="shared" si="129"/>
        <v>131</v>
      </c>
      <c r="N167" s="477" t="str">
        <f t="shared" ref="N167" si="193">CONCATENATE(LEFT(F167,FIND(" ",F167,1)-1)," / ",LEFT(F168,FIND(" ",F168,1)-1))</f>
        <v>FEČO / TEREZKOVÁ</v>
      </c>
      <c r="O167" s="477" t="str">
        <f t="shared" ref="O167" si="194">CONCATENATE(H167," / ",H168)</f>
        <v>MŠK VSTK VRANOV NAD TOPĽOU / ŠKST MICHALOVCE</v>
      </c>
      <c r="P167" s="477" t="str">
        <f t="shared" ref="P167" si="195">F167</f>
        <v>FEČO Michal</v>
      </c>
      <c r="Q167" s="477" t="str">
        <f t="shared" ref="Q167" si="196">F168</f>
        <v>TEREZKOVÁ Jana</v>
      </c>
    </row>
    <row r="168" spans="1:17" s="375" customFormat="1" ht="35.1" customHeight="1">
      <c r="A168" s="374">
        <v>132</v>
      </c>
      <c r="C168" s="479"/>
      <c r="D168" s="478"/>
      <c r="E168" s="376">
        <f>IF(ISERROR(VLOOKUP(A168,'startova listina'!$A$143:$I$190,4,0))=TRUE," ",VLOOKUP(A168,'startova listina'!$A$143:$I$190,4,0))</f>
        <v>8</v>
      </c>
      <c r="F168" s="377" t="str">
        <f>IF(ISERROR(VLOOKUP(A168,'startova listina'!$A$143:$I$190,5,0))=TRUE," ",VLOOKUP(A168,'startova listina'!$A$143:$I$190,5,0))</f>
        <v>TEREZKOVÁ Jana</v>
      </c>
      <c r="G168" s="376">
        <f>IF(ISERROR(VLOOKUP(A168,'startova listina'!$A$143:$I$190,6,0))=TRUE," ",VLOOKUP(A168,'startova listina'!$A$143:$I$190,6,0))</f>
        <v>2002</v>
      </c>
      <c r="H168" s="377" t="str">
        <f>IF(ISERROR(VLOOKUP(A168,'startova listina'!$A$143:$I$190,7,0))=TRUE," ",VLOOKUP(A168,'startova listina'!$A$143:$I$190,7,0))</f>
        <v>ŠKST MICHALOVCE</v>
      </c>
      <c r="I168" s="376">
        <f>IF(ISERROR(VLOOKUP(A168,'startova listina'!$A$143:$I$190,8,0))=TRUE," ",VLOOKUP(A168,'startova listina'!$A$143:$I$190,8,0))</f>
        <v>165.9</v>
      </c>
      <c r="J168" s="479"/>
      <c r="L168" s="374">
        <f t="shared" si="129"/>
        <v>132</v>
      </c>
      <c r="N168" s="478"/>
      <c r="O168" s="478"/>
      <c r="P168" s="478"/>
      <c r="Q168" s="478"/>
    </row>
    <row r="169" spans="1:17" s="375" customFormat="1" ht="35.1" customHeight="1">
      <c r="A169" s="374">
        <v>141</v>
      </c>
      <c r="C169" s="479">
        <f t="shared" ref="C169" si="197">RANK(J169,$J$143:$J$190,0)</f>
        <v>14</v>
      </c>
      <c r="D169" s="477">
        <v>6</v>
      </c>
      <c r="E169" s="376">
        <f>IF(ISERROR(VLOOKUP(A169,'startova listina'!$A$143:$I$190,4,0))=TRUE," ",VLOOKUP(A169,'startova listina'!$A$143:$I$190,4,0))</f>
        <v>20</v>
      </c>
      <c r="F169" s="377" t="str">
        <f>IF(ISERROR(VLOOKUP(A169,'startova listina'!$A$143:$I$190,5,0))=TRUE," ",VLOOKUP(A169,'startova listina'!$A$143:$I$190,5,0))</f>
        <v>KAPUSTA Martin</v>
      </c>
      <c r="G169" s="376">
        <f>IF(ISERROR(VLOOKUP(A169,'startova listina'!$A$143:$I$190,6,0))=TRUE," ",VLOOKUP(A169,'startova listina'!$A$143:$I$190,6,0))</f>
        <v>2002</v>
      </c>
      <c r="H169" s="377" t="str">
        <f>IF(ISERROR(VLOOKUP(A169,'startova listina'!$A$143:$I$190,7,0))=TRUE," ",VLOOKUP(A169,'startova listina'!$A$143:$I$190,7,0))</f>
        <v>MSK ČADCA</v>
      </c>
      <c r="I169" s="376">
        <f>IF(ISERROR(VLOOKUP(A169,'startova listina'!$A$143:$I$1906,8,0))=TRUE," ",VLOOKUP(A169,'startova listina'!$A$143:$I$190,8,0))</f>
        <v>89.76</v>
      </c>
      <c r="J169" s="479">
        <f t="shared" si="147"/>
        <v>225.11</v>
      </c>
      <c r="L169" s="374">
        <f t="shared" si="129"/>
        <v>141</v>
      </c>
      <c r="N169" s="477" t="str">
        <f t="shared" ref="N169" si="198">CONCATENATE(LEFT(F169,FIND(" ",F169,1)-1)," / ",LEFT(F170,FIND(" ",F170,1)-1))</f>
        <v>KAPUSTA / CHYLOVÁ</v>
      </c>
      <c r="O169" s="477" t="str">
        <f t="shared" ref="O169" si="199">CONCATENATE(H169," / ",H170)</f>
        <v>MSK ČADCA / MSTK TVRDOŠÍN</v>
      </c>
      <c r="P169" s="477" t="str">
        <f t="shared" ref="P169" si="200">F169</f>
        <v>KAPUSTA Martin</v>
      </c>
      <c r="Q169" s="477" t="str">
        <f t="shared" ref="Q169" si="201">F170</f>
        <v>CHYLOVÁ Sabína</v>
      </c>
    </row>
    <row r="170" spans="1:17" s="375" customFormat="1" ht="35.1" customHeight="1">
      <c r="A170" s="374">
        <v>142</v>
      </c>
      <c r="C170" s="479"/>
      <c r="D170" s="478"/>
      <c r="E170" s="376">
        <f>IF(ISERROR(VLOOKUP(A170,'startova listina'!$A$143:$I$190,4,0))=TRUE," ",VLOOKUP(A170,'startova listina'!$A$143:$I$190,4,0))</f>
        <v>11</v>
      </c>
      <c r="F170" s="377" t="str">
        <f>IF(ISERROR(VLOOKUP(A170,'startova listina'!$A$143:$I$190,5,0))=TRUE," ",VLOOKUP(A170,'startova listina'!$A$143:$I$190,5,0))</f>
        <v>CHYLOVÁ Sabína</v>
      </c>
      <c r="G170" s="376">
        <f>IF(ISERROR(VLOOKUP(A170,'startova listina'!$A$143:$I$190,6,0))=TRUE," ",VLOOKUP(A170,'startova listina'!$A$143:$I$190,6,0))</f>
        <v>2001</v>
      </c>
      <c r="H170" s="377" t="str">
        <f>IF(ISERROR(VLOOKUP(A170,'startova listina'!$A$143:$I$190,7,0))=TRUE," ",VLOOKUP(A170,'startova listina'!$A$143:$I$190,7,0))</f>
        <v>MSTK TVRDOŠÍN</v>
      </c>
      <c r="I170" s="376">
        <f>IF(ISERROR(VLOOKUP(A170,'startova listina'!$A$143:$I$190,8,0))=TRUE," ",VLOOKUP(A170,'startova listina'!$A$143:$I$190,8,0))</f>
        <v>135.35</v>
      </c>
      <c r="J170" s="479"/>
      <c r="L170" s="374">
        <f t="shared" si="129"/>
        <v>142</v>
      </c>
      <c r="N170" s="478"/>
      <c r="O170" s="478"/>
      <c r="P170" s="478"/>
      <c r="Q170" s="478"/>
    </row>
    <row r="171" spans="1:17" s="375" customFormat="1" ht="35.1" customHeight="1">
      <c r="A171" s="374">
        <v>151</v>
      </c>
      <c r="C171" s="479">
        <f t="shared" ref="C171" si="202">RANK(J171,$J$143:$J$190,0)</f>
        <v>15</v>
      </c>
      <c r="D171" s="477">
        <v>14</v>
      </c>
      <c r="E171" s="376">
        <f>IF(ISERROR(VLOOKUP(A171,'startova listina'!$A$143:$I$190,4,0))=TRUE," ",VLOOKUP(A171,'startova listina'!$A$143:$I$190,4,0))</f>
        <v>13</v>
      </c>
      <c r="F171" s="377" t="str">
        <f>IF(ISERROR(VLOOKUP(A171,'startova listina'!$A$143:$I$190,5,0))=TRUE," ",VLOOKUP(A171,'startova listina'!$A$143:$I$190,5,0))</f>
        <v>KLAJBER Adam</v>
      </c>
      <c r="G171" s="376">
        <f>IF(ISERROR(VLOOKUP(A171,'startova listina'!$A$143:$I$190,6,0))=TRUE," ",VLOOKUP(A171,'startova listina'!$A$143:$I$190,6,0))</f>
        <v>2003</v>
      </c>
      <c r="H171" s="377" t="str">
        <f>IF(ISERROR(VLOOKUP(A171,'startova listina'!$A$143:$I$190,7,0))=TRUE," ",VLOOKUP(A171,'startova listina'!$A$143:$I$190,7,0))</f>
        <v>SŠK POPROČ</v>
      </c>
      <c r="I171" s="376">
        <f>IF(ISERROR(VLOOKUP(A171,'startova listina'!$A$143:$I$1906,8,0))=TRUE," ",VLOOKUP(A171,'startova listina'!$A$143:$I$190,8,0))</f>
        <v>120.11</v>
      </c>
      <c r="J171" s="479">
        <f t="shared" si="147"/>
        <v>189.70999999999998</v>
      </c>
      <c r="L171" s="374">
        <f t="shared" si="129"/>
        <v>151</v>
      </c>
      <c r="N171" s="477" t="str">
        <f t="shared" ref="N171" si="203">CONCATENATE(LEFT(F171,FIND(" ",F171,1)-1)," / ",LEFT(F172,FIND(" ",F172,1)-1))</f>
        <v>KLAJBER / SISKOVÁ</v>
      </c>
      <c r="O171" s="477" t="str">
        <f t="shared" ref="O171" si="204">CONCATENATE(H171," / ",H172)</f>
        <v>SŠK POPROČ / TTC MAJCICHOV</v>
      </c>
      <c r="P171" s="477" t="str">
        <f t="shared" ref="P171" si="205">F171</f>
        <v>KLAJBER Adam</v>
      </c>
      <c r="Q171" s="477" t="str">
        <f t="shared" ref="Q171" si="206">F172</f>
        <v>SISKOVÁ Zuzana</v>
      </c>
    </row>
    <row r="172" spans="1:17" s="375" customFormat="1" ht="35.1" customHeight="1">
      <c r="A172" s="374">
        <v>152</v>
      </c>
      <c r="C172" s="479"/>
      <c r="D172" s="478"/>
      <c r="E172" s="376">
        <f>IF(ISERROR(VLOOKUP(A172,'startova listina'!$A$143:$I$190,4,0))=TRUE," ",VLOOKUP(A172,'startova listina'!$A$143:$I$190,4,0))</f>
        <v>22</v>
      </c>
      <c r="F172" s="377" t="str">
        <f>IF(ISERROR(VLOOKUP(A172,'startova listina'!$A$143:$I$190,5,0))=TRUE," ",VLOOKUP(A172,'startova listina'!$A$143:$I$190,5,0))</f>
        <v>SISKOVÁ Zuzana</v>
      </c>
      <c r="G172" s="376">
        <f>IF(ISERROR(VLOOKUP(A172,'startova listina'!$A$143:$I$190,6,0))=TRUE," ",VLOOKUP(A172,'startova listina'!$A$143:$I$190,6,0))</f>
        <v>2003</v>
      </c>
      <c r="H172" s="377" t="str">
        <f>IF(ISERROR(VLOOKUP(A172,'startova listina'!$A$143:$I$190,7,0))=TRUE," ",VLOOKUP(A172,'startova listina'!$A$143:$I$190,7,0))</f>
        <v>TTC MAJCICHOV</v>
      </c>
      <c r="I172" s="376">
        <f>IF(ISERROR(VLOOKUP(A172,'startova listina'!$A$143:$I$190,8,0))=TRUE," ",VLOOKUP(A172,'startova listina'!$A$143:$I$190,8,0))</f>
        <v>69.599999999999994</v>
      </c>
      <c r="J172" s="479"/>
      <c r="L172" s="374">
        <f t="shared" si="129"/>
        <v>152</v>
      </c>
      <c r="N172" s="478"/>
      <c r="O172" s="478"/>
      <c r="P172" s="478"/>
      <c r="Q172" s="478"/>
    </row>
    <row r="173" spans="1:17" s="375" customFormat="1" ht="35.1" customHeight="1">
      <c r="A173" s="374">
        <v>161</v>
      </c>
      <c r="C173" s="479">
        <f t="shared" ref="C173" si="207">RANK(J173,$J$143:$J$190,0)</f>
        <v>16</v>
      </c>
      <c r="D173" s="477">
        <v>19</v>
      </c>
      <c r="E173" s="376">
        <f>IF(ISERROR(VLOOKUP(A173,'startova listina'!$A$143:$I$190,4,0))=TRUE," ",VLOOKUP(A173,'startova listina'!$A$143:$I$190,4,0))</f>
        <v>17</v>
      </c>
      <c r="F173" s="377" t="str">
        <f>IF(ISERROR(VLOOKUP(A173,'startova listina'!$A$143:$I$190,5,0))=TRUE," ",VLOOKUP(A173,'startova listina'!$A$143:$I$190,5,0))</f>
        <v>FREUND Andrej</v>
      </c>
      <c r="G173" s="376">
        <f>IF(ISERROR(VLOOKUP(A173,'startova listina'!$A$143:$I$190,6,0))=TRUE," ",VLOOKUP(A173,'startova listina'!$A$143:$I$190,6,0))</f>
        <v>2002</v>
      </c>
      <c r="H173" s="377" t="str">
        <f>IF(ISERROR(VLOOKUP(A173,'startova listina'!$A$143:$I$190,7,0))=TRUE," ",VLOOKUP(A173,'startova listina'!$A$143:$I$190,7,0))</f>
        <v>MSK MALACKY</v>
      </c>
      <c r="I173" s="376">
        <f>IF(ISERROR(VLOOKUP(A173,'startova listina'!$A$143:$I$1906,8,0))=TRUE," ",VLOOKUP(A173,'startova listina'!$A$143:$I$190,8,0))</f>
        <v>101.2</v>
      </c>
      <c r="J173" s="479">
        <f t="shared" si="147"/>
        <v>189.04000000000002</v>
      </c>
      <c r="L173" s="374">
        <f t="shared" si="129"/>
        <v>161</v>
      </c>
      <c r="N173" s="477" t="str">
        <f t="shared" ref="N173" si="208">CONCATENATE(LEFT(F173,FIND(" ",F173,1)-1)," / ",LEFT(F174,FIND(" ",F174,1)-1))</f>
        <v>FREUND / LEDAJOVÁ</v>
      </c>
      <c r="O173" s="477" t="str">
        <f t="shared" ref="O173" si="209">CONCATENATE(H173," / ",H174)</f>
        <v>MSK MALACKY / STK OROL OTRHÁNKY</v>
      </c>
      <c r="P173" s="477" t="str">
        <f t="shared" ref="P173" si="210">F173</f>
        <v>FREUND Andrej</v>
      </c>
      <c r="Q173" s="477" t="str">
        <f t="shared" ref="Q173" si="211">F174</f>
        <v>LEDAJOVÁ Martina</v>
      </c>
    </row>
    <row r="174" spans="1:17" s="375" customFormat="1" ht="35.1" customHeight="1">
      <c r="A174" s="374">
        <v>162</v>
      </c>
      <c r="C174" s="479"/>
      <c r="D174" s="478"/>
      <c r="E174" s="376">
        <f>IF(ISERROR(VLOOKUP(A174,'startova listina'!$A$143:$I$190,4,0))=TRUE," ",VLOOKUP(A174,'startova listina'!$A$143:$I$190,4,0))</f>
        <v>17</v>
      </c>
      <c r="F174" s="377" t="str">
        <f>IF(ISERROR(VLOOKUP(A174,'startova listina'!$A$143:$I$190,5,0))=TRUE," ",VLOOKUP(A174,'startova listina'!$A$143:$I$190,5,0))</f>
        <v>LEDAJOVÁ Martina</v>
      </c>
      <c r="G174" s="376">
        <f>IF(ISERROR(VLOOKUP(A174,'startova listina'!$A$143:$I$190,6,0))=TRUE," ",VLOOKUP(A174,'startova listina'!$A$143:$I$190,6,0))</f>
        <v>2001</v>
      </c>
      <c r="H174" s="377" t="str">
        <f>IF(ISERROR(VLOOKUP(A174,'startova listina'!$A$143:$I$190,7,0))=TRUE," ",VLOOKUP(A174,'startova listina'!$A$143:$I$190,7,0))</f>
        <v>STK OROL OTRHÁNKY</v>
      </c>
      <c r="I174" s="376">
        <f>IF(ISERROR(VLOOKUP(A174,'startova listina'!$A$143:$I$190,8,0))=TRUE," ",VLOOKUP(A174,'startova listina'!$A$143:$I$190,8,0))</f>
        <v>87.84</v>
      </c>
      <c r="J174" s="479"/>
      <c r="L174" s="374">
        <f t="shared" si="129"/>
        <v>162</v>
      </c>
      <c r="N174" s="478"/>
      <c r="O174" s="478"/>
      <c r="P174" s="478"/>
      <c r="Q174" s="478"/>
    </row>
    <row r="175" spans="1:17" s="375" customFormat="1" ht="35.1" customHeight="1">
      <c r="A175" s="374">
        <v>171</v>
      </c>
      <c r="C175" s="479">
        <f t="shared" ref="C175" si="212">RANK(J175,$J$143:$J$190,0)</f>
        <v>17</v>
      </c>
      <c r="D175" s="477">
        <v>28</v>
      </c>
      <c r="E175" s="376">
        <f>IF(ISERROR(VLOOKUP(A175,'startova listina'!$A$143:$I$190,4,0))=TRUE," ",VLOOKUP(A175,'startova listina'!$A$143:$I$190,4,0))</f>
        <v>12</v>
      </c>
      <c r="F175" s="377" t="str">
        <f>IF(ISERROR(VLOOKUP(A175,'startova listina'!$A$143:$I$190,5,0))=TRUE," ",VLOOKUP(A175,'startova listina'!$A$143:$I$190,5,0))</f>
        <v>IVANČO Félix</v>
      </c>
      <c r="G175" s="376">
        <f>IF(ISERROR(VLOOKUP(A175,'startova listina'!$A$143:$I$190,6,0))=TRUE," ",VLOOKUP(A175,'startova listina'!$A$143:$I$190,6,0))</f>
        <v>2003</v>
      </c>
      <c r="H175" s="377" t="str">
        <f>IF(ISERROR(VLOOKUP(A175,'startova listina'!$A$143:$I$190,7,0))=TRUE," ",VLOOKUP(A175,'startova listina'!$A$143:$I$190,7,0))</f>
        <v>MSK MALACKY</v>
      </c>
      <c r="I175" s="376">
        <f>IF(ISERROR(VLOOKUP(A175,'startova listina'!$A$143:$I$1906,8,0))=TRUE," ",VLOOKUP(A175,'startova listina'!$A$143:$I$190,8,0))</f>
        <v>121.26</v>
      </c>
      <c r="J175" s="479">
        <f t="shared" si="147"/>
        <v>188.89</v>
      </c>
      <c r="L175" s="374">
        <f t="shared" si="129"/>
        <v>171</v>
      </c>
      <c r="N175" s="477" t="str">
        <f t="shared" ref="N175" si="213">CONCATENATE(LEFT(F175,FIND(" ",F175,1)-1)," / ",LEFT(F176,FIND(" ",F176,1)-1))</f>
        <v>IVANČO / HURBANOVÁ</v>
      </c>
      <c r="O175" s="477" t="str">
        <f t="shared" ref="O175" si="214">CONCATENATE(H175," / ",H176)</f>
        <v>MSK MALACKY / MSK MALACKY</v>
      </c>
      <c r="P175" s="477" t="str">
        <f t="shared" ref="P175" si="215">F175</f>
        <v>IVANČO Félix</v>
      </c>
      <c r="Q175" s="477" t="str">
        <f t="shared" ref="Q175" si="216">F176</f>
        <v>HURBANOVÁ Isabella</v>
      </c>
    </row>
    <row r="176" spans="1:17" s="375" customFormat="1" ht="35.1" customHeight="1">
      <c r="A176" s="374">
        <v>172</v>
      </c>
      <c r="C176" s="479"/>
      <c r="D176" s="478"/>
      <c r="E176" s="376">
        <f>IF(ISERROR(VLOOKUP(A176,'startova listina'!$A$143:$I$190,4,0))=TRUE," ",VLOOKUP(A176,'startova listina'!$A$143:$I$190,4,0))</f>
        <v>24</v>
      </c>
      <c r="F176" s="377" t="str">
        <f>IF(ISERROR(VLOOKUP(A176,'startova listina'!$A$143:$I$190,5,0))=TRUE," ",VLOOKUP(A176,'startova listina'!$A$143:$I$190,5,0))</f>
        <v>HURBANOVÁ Isabella</v>
      </c>
      <c r="G176" s="376">
        <f>IF(ISERROR(VLOOKUP(A176,'startova listina'!$A$143:$I$190,6,0))=TRUE," ",VLOOKUP(A176,'startova listina'!$A$143:$I$190,6,0))</f>
        <v>2003</v>
      </c>
      <c r="H176" s="377" t="str">
        <f>IF(ISERROR(VLOOKUP(A176,'startova listina'!$A$143:$I$190,7,0))=TRUE," ",VLOOKUP(A176,'startova listina'!$A$143:$I$190,7,0))</f>
        <v>MSK MALACKY</v>
      </c>
      <c r="I176" s="376">
        <f>IF(ISERROR(VLOOKUP(A176,'startova listina'!$A$143:$I$190,8,0))=TRUE," ",VLOOKUP(A176,'startova listina'!$A$143:$I$190,8,0))</f>
        <v>67.63</v>
      </c>
      <c r="J176" s="479"/>
      <c r="L176" s="374">
        <f t="shared" si="129"/>
        <v>172</v>
      </c>
      <c r="N176" s="478"/>
      <c r="O176" s="478"/>
      <c r="P176" s="478"/>
      <c r="Q176" s="478"/>
    </row>
    <row r="177" spans="1:17" s="375" customFormat="1" ht="35.1" customHeight="1">
      <c r="A177" s="374">
        <v>181</v>
      </c>
      <c r="C177" s="479">
        <f t="shared" ref="C177" si="217">RANK(J177,$J$143:$J$190,0)</f>
        <v>18</v>
      </c>
      <c r="D177" s="477">
        <v>5</v>
      </c>
      <c r="E177" s="376">
        <f>IF(ISERROR(VLOOKUP(A177,'startova listina'!$A$143:$I$190,4,0))=TRUE," ",VLOOKUP(A177,'startova listina'!$A$143:$I$190,4,0))</f>
        <v>19</v>
      </c>
      <c r="F177" s="377" t="str">
        <f>IF(ISERROR(VLOOKUP(A177,'startova listina'!$A$143:$I$190,5,0))=TRUE," ",VLOOKUP(A177,'startova listina'!$A$143:$I$190,5,0))</f>
        <v>PACH Kamil</v>
      </c>
      <c r="G177" s="376">
        <f>IF(ISERROR(VLOOKUP(A177,'startova listina'!$A$143:$I$190,6,0))=TRUE," ",VLOOKUP(A177,'startova listina'!$A$143:$I$190,6,0))</f>
        <v>2003</v>
      </c>
      <c r="H177" s="377" t="str">
        <f>IF(ISERROR(VLOOKUP(A177,'startova listina'!$A$143:$I$190,7,0))=TRUE," ",VLOOKUP(A177,'startova listina'!$A$143:$I$190,7,0))</f>
        <v>STO VALALIKY</v>
      </c>
      <c r="I177" s="376">
        <f>IF(ISERROR(VLOOKUP(A177,'startova listina'!$A$143:$I$1906,8,0))=TRUE," ",VLOOKUP(A177,'startova listina'!$A$143:$I$190,8,0))</f>
        <v>90.72</v>
      </c>
      <c r="J177" s="479">
        <f t="shared" si="147"/>
        <v>184.1</v>
      </c>
      <c r="L177" s="374">
        <f t="shared" si="129"/>
        <v>181</v>
      </c>
      <c r="N177" s="477" t="str">
        <f t="shared" ref="N177" si="218">CONCATENATE(LEFT(F177,FIND(" ",F177,1)-1)," / ",LEFT(F178,FIND(" ",F178,1)-1))</f>
        <v>PACH / VIŠŇOVSKÁ</v>
      </c>
      <c r="O177" s="477" t="str">
        <f t="shared" ref="O177" si="219">CONCATENATE(H177," / ",H178)</f>
        <v>STO VALALIKY / TTC INTERSPEAD N.ZÁMKY</v>
      </c>
      <c r="P177" s="477" t="str">
        <f t="shared" ref="P177" si="220">F177</f>
        <v>PACH Kamil</v>
      </c>
      <c r="Q177" s="477" t="str">
        <f t="shared" ref="Q177" si="221">F178</f>
        <v>VIŠŇOVSKÁ Nina</v>
      </c>
    </row>
    <row r="178" spans="1:17" s="375" customFormat="1" ht="35.1" customHeight="1">
      <c r="A178" s="374">
        <v>182</v>
      </c>
      <c r="C178" s="479"/>
      <c r="D178" s="478"/>
      <c r="E178" s="376">
        <f>IF(ISERROR(VLOOKUP(A178,'startova listina'!$A$143:$I$190,4,0))=TRUE," ",VLOOKUP(A178,'startova listina'!$A$143:$I$190,4,0))</f>
        <v>15</v>
      </c>
      <c r="F178" s="377" t="str">
        <f>IF(ISERROR(VLOOKUP(A178,'startova listina'!$A$143:$I$190,5,0))=TRUE," ",VLOOKUP(A178,'startova listina'!$A$143:$I$190,5,0))</f>
        <v>VIŠŇOVSKÁ Nina</v>
      </c>
      <c r="G178" s="376">
        <f>IF(ISERROR(VLOOKUP(A178,'startova listina'!$A$143:$I$190,6,0))=TRUE," ",VLOOKUP(A178,'startova listina'!$A$143:$I$190,6,0))</f>
        <v>2003</v>
      </c>
      <c r="H178" s="377" t="str">
        <f>IF(ISERROR(VLOOKUP(A178,'startova listina'!$A$143:$I$190,7,0))=TRUE," ",VLOOKUP(A178,'startova listina'!$A$143:$I$190,7,0))</f>
        <v>TTC INTERSPEAD N.ZÁMKY</v>
      </c>
      <c r="I178" s="376">
        <f>IF(ISERROR(VLOOKUP(A178,'startova listina'!$A$143:$I$190,8,0))=TRUE," ",VLOOKUP(A178,'startova listina'!$A$143:$I$190,8,0))</f>
        <v>93.38</v>
      </c>
      <c r="J178" s="479"/>
      <c r="L178" s="374">
        <f t="shared" si="129"/>
        <v>182</v>
      </c>
      <c r="N178" s="478"/>
      <c r="O178" s="478"/>
      <c r="P178" s="478"/>
      <c r="Q178" s="478"/>
    </row>
    <row r="179" spans="1:17" s="375" customFormat="1" ht="35.1" customHeight="1">
      <c r="A179" s="374">
        <v>191</v>
      </c>
      <c r="C179" s="479">
        <f t="shared" ref="C179" si="222">RANK(J179,$J$143:$J$190,0)</f>
        <v>19</v>
      </c>
      <c r="D179" s="477">
        <v>30</v>
      </c>
      <c r="E179" s="376">
        <f>IF(ISERROR(VLOOKUP(A179,'startova listina'!$A$143:$I$190,4,0))=TRUE," ",VLOOKUP(A179,'startova listina'!$A$143:$I$190,4,0))</f>
        <v>21</v>
      </c>
      <c r="F179" s="377" t="str">
        <f>IF(ISERROR(VLOOKUP(A179,'startova listina'!$A$143:$I$190,5,0))=TRUE," ",VLOOKUP(A179,'startova listina'!$A$143:$I$190,5,0))</f>
        <v>DELINČAK Filip</v>
      </c>
      <c r="G179" s="376">
        <f>IF(ISERROR(VLOOKUP(A179,'startova listina'!$A$143:$I$190,6,0))=TRUE," ",VLOOKUP(A179,'startova listina'!$A$143:$I$190,6,0))</f>
        <v>2003</v>
      </c>
      <c r="H179" s="377" t="str">
        <f>IF(ISERROR(VLOOKUP(A179,'startova listina'!$A$143:$I$190,7,0))=TRUE," ",VLOOKUP(A179,'startova listina'!$A$143:$I$190,7,0))</f>
        <v>MSK ČADCA</v>
      </c>
      <c r="I179" s="376">
        <f>IF(ISERROR(VLOOKUP(A179,'startova listina'!$A$143:$I$1906,8,0))=TRUE," ",VLOOKUP(A179,'startova listina'!$A$143:$I$190,8,0))</f>
        <v>89</v>
      </c>
      <c r="J179" s="479">
        <f t="shared" si="147"/>
        <v>167.19</v>
      </c>
      <c r="L179" s="374">
        <f t="shared" si="129"/>
        <v>191</v>
      </c>
      <c r="N179" s="477" t="str">
        <f t="shared" ref="N179" si="223">CONCATENATE(LEFT(F179,FIND(" ",F179,1)-1)," / ",LEFT(F180,FIND(" ",F180,1)-1))</f>
        <v>DELINČAK / PISARČIKOVÁ</v>
      </c>
      <c r="O179" s="477" t="str">
        <f t="shared" ref="O179" si="224">CONCATENATE(H179," / ",H180)</f>
        <v>MSK ČADCA / ŠKST RUŽOMBEROK</v>
      </c>
      <c r="P179" s="477" t="str">
        <f t="shared" ref="P179" si="225">F179</f>
        <v>DELINČAK Filip</v>
      </c>
      <c r="Q179" s="477" t="str">
        <f t="shared" ref="Q179" si="226">F180</f>
        <v>PISARČIKOVÁ Frederika</v>
      </c>
    </row>
    <row r="180" spans="1:17" s="375" customFormat="1" ht="35.1" customHeight="1">
      <c r="A180" s="374">
        <v>192</v>
      </c>
      <c r="C180" s="479"/>
      <c r="D180" s="478"/>
      <c r="E180" s="376">
        <f>IF(ISERROR(VLOOKUP(A180,'startova listina'!$A$143:$I$190,4,0))=TRUE," ",VLOOKUP(A180,'startova listina'!$A$143:$I$190,4,0))</f>
        <v>19</v>
      </c>
      <c r="F180" s="377" t="str">
        <f>IF(ISERROR(VLOOKUP(A180,'startova listina'!$A$143:$I$190,5,0))=TRUE," ",VLOOKUP(A180,'startova listina'!$A$143:$I$190,5,0))</f>
        <v>PISARČIKOVÁ Frederika</v>
      </c>
      <c r="G180" s="376">
        <f>IF(ISERROR(VLOOKUP(A180,'startova listina'!$A$143:$I$190,6,0))=TRUE," ",VLOOKUP(A180,'startova listina'!$A$143:$I$190,6,0))</f>
        <v>2002</v>
      </c>
      <c r="H180" s="377" t="str">
        <f>IF(ISERROR(VLOOKUP(A180,'startova listina'!$A$143:$I$190,7,0))=TRUE," ",VLOOKUP(A180,'startova listina'!$A$143:$I$190,7,0))</f>
        <v>ŠKST RUŽOMBEROK</v>
      </c>
      <c r="I180" s="376">
        <f>IF(ISERROR(VLOOKUP(A180,'startova listina'!$A$143:$I$190,8,0))=TRUE," ",VLOOKUP(A180,'startova listina'!$A$143:$I$190,8,0))</f>
        <v>78.19</v>
      </c>
      <c r="J180" s="479"/>
      <c r="L180" s="374">
        <f t="shared" si="129"/>
        <v>192</v>
      </c>
      <c r="N180" s="478"/>
      <c r="O180" s="478"/>
      <c r="P180" s="478"/>
      <c r="Q180" s="478"/>
    </row>
    <row r="181" spans="1:17" s="375" customFormat="1" ht="35.1" customHeight="1">
      <c r="A181" s="374">
        <v>201</v>
      </c>
      <c r="C181" s="479">
        <f t="shared" ref="C181" si="227">RANK(J181,$J$143:$J$190,0)</f>
        <v>20</v>
      </c>
      <c r="D181" s="477">
        <v>3</v>
      </c>
      <c r="E181" s="376">
        <f>IF(ISERROR(VLOOKUP(A181,'startova listina'!$A$143:$I$190,4,0))=TRUE," ",VLOOKUP(A181,'startova listina'!$A$143:$I$190,4,0))</f>
        <v>18</v>
      </c>
      <c r="F181" s="377" t="str">
        <f>IF(ISERROR(VLOOKUP(A181,'startova listina'!$A$143:$I$190,5,0))=TRUE," ",VLOOKUP(A181,'startova listina'!$A$143:$I$190,5,0))</f>
        <v>VICO Dávid</v>
      </c>
      <c r="G181" s="376">
        <f>IF(ISERROR(VLOOKUP(A181,'startova listina'!$A$143:$I$190,6,0))=TRUE," ",VLOOKUP(A181,'startova listina'!$A$143:$I$190,6,0))</f>
        <v>2001</v>
      </c>
      <c r="H181" s="377" t="str">
        <f>IF(ISERROR(VLOOKUP(A181,'startova listina'!$A$143:$I$190,7,0))=TRUE," ",VLOOKUP(A181,'startova listina'!$A$143:$I$190,7,0))</f>
        <v>STO VALALIKY</v>
      </c>
      <c r="I181" s="376">
        <f>IF(ISERROR(VLOOKUP(A181,'startova listina'!$A$143:$I$1906,8,0))=TRUE," ",VLOOKUP(A181,'startova listina'!$A$143:$I$190,8,0))</f>
        <v>98.33</v>
      </c>
      <c r="J181" s="479">
        <f t="shared" si="147"/>
        <v>166.91</v>
      </c>
      <c r="L181" s="374">
        <f t="shared" si="129"/>
        <v>201</v>
      </c>
      <c r="N181" s="477" t="str">
        <f t="shared" ref="N181" si="228">CONCATENATE(LEFT(F181,FIND(" ",F181,1)-1)," / ",LEFT(F182,FIND(" ",F182,1)-1))</f>
        <v>VICO / HUDÁKOVÁ</v>
      </c>
      <c r="O181" s="477" t="str">
        <f t="shared" ref="O181" si="229">CONCATENATE(H181," / ",H182)</f>
        <v>STO VALALIKY / ZŠ VYŠNÝ ŽIPOV</v>
      </c>
      <c r="P181" s="477" t="str">
        <f t="shared" ref="P181" si="230">F181</f>
        <v>VICO Dávid</v>
      </c>
      <c r="Q181" s="477" t="str">
        <f t="shared" ref="Q181" si="231">F182</f>
        <v>HUDÁKOVÁ Ivana</v>
      </c>
    </row>
    <row r="182" spans="1:17" s="375" customFormat="1" ht="35.1" customHeight="1">
      <c r="A182" s="374">
        <v>202</v>
      </c>
      <c r="C182" s="479"/>
      <c r="D182" s="478"/>
      <c r="E182" s="376">
        <f>IF(ISERROR(VLOOKUP(A182,'startova listina'!$A$143:$I$190,4,0))=TRUE," ",VLOOKUP(A182,'startova listina'!$A$143:$I$190,4,0))</f>
        <v>23</v>
      </c>
      <c r="F182" s="377" t="str">
        <f>IF(ISERROR(VLOOKUP(A182,'startova listina'!$A$143:$I$190,5,0))=TRUE," ",VLOOKUP(A182,'startova listina'!$A$143:$I$190,5,0))</f>
        <v>HUDÁKOVÁ Ivana</v>
      </c>
      <c r="G182" s="376">
        <f>IF(ISERROR(VLOOKUP(A182,'startova listina'!$A$143:$I$190,6,0))=TRUE," ",VLOOKUP(A182,'startova listina'!$A$143:$I$190,6,0))</f>
        <v>2001</v>
      </c>
      <c r="H182" s="377" t="str">
        <f>IF(ISERROR(VLOOKUP(A182,'startova listina'!$A$143:$I$190,7,0))=TRUE," ",VLOOKUP(A182,'startova listina'!$A$143:$I$190,7,0))</f>
        <v>ZŠ VYŠNÝ ŽIPOV</v>
      </c>
      <c r="I182" s="376">
        <f>IF(ISERROR(VLOOKUP(A182,'startova listina'!$A$143:$I$190,8,0))=TRUE," ",VLOOKUP(A182,'startova listina'!$A$143:$I$190,8,0))</f>
        <v>68.58</v>
      </c>
      <c r="J182" s="479"/>
      <c r="L182" s="374">
        <f t="shared" si="129"/>
        <v>202</v>
      </c>
      <c r="N182" s="478"/>
      <c r="O182" s="478"/>
      <c r="P182" s="478"/>
      <c r="Q182" s="478"/>
    </row>
    <row r="183" spans="1:17" s="375" customFormat="1" ht="35.1" customHeight="1">
      <c r="A183" s="374">
        <v>211</v>
      </c>
      <c r="C183" s="479">
        <f t="shared" ref="C183" si="232">RANK(J183,$J$143:$J$190,0)</f>
        <v>21</v>
      </c>
      <c r="D183" s="477">
        <v>29</v>
      </c>
      <c r="E183" s="376">
        <f>IF(ISERROR(VLOOKUP(A183,'startova listina'!$A$143:$I$190,4,0))=TRUE," ",VLOOKUP(A183,'startova listina'!$A$143:$I$190,4,0))</f>
        <v>22</v>
      </c>
      <c r="F183" s="377" t="str">
        <f>IF(ISERROR(VLOOKUP(A183,'startova listina'!$A$143:$I$190,5,0))=TRUE," ",VLOOKUP(A183,'startova listina'!$A$143:$I$190,5,0))</f>
        <v>MIKLUŠČÁK Benjamín</v>
      </c>
      <c r="G183" s="376">
        <f>IF(ISERROR(VLOOKUP(A183,'startova listina'!$A$143:$I$190,6,0))=TRUE," ",VLOOKUP(A183,'startova listina'!$A$143:$I$190,6,0))</f>
        <v>2002</v>
      </c>
      <c r="H183" s="377" t="str">
        <f>IF(ISERROR(VLOOKUP(A183,'startova listina'!$A$143:$I$190,7,0))=TRUE," ",VLOOKUP(A183,'startova listina'!$A$143:$I$190,7,0))</f>
        <v>ŠKST KARLOVA VES</v>
      </c>
      <c r="I183" s="376">
        <f>IF(ISERROR(VLOOKUP(A183,'startova listina'!$A$143:$I$1906,8,0))=TRUE," ",VLOOKUP(A183,'startova listina'!$A$143:$I$190,8,0))</f>
        <v>89</v>
      </c>
      <c r="J183" s="479">
        <f t="shared" si="147"/>
        <v>165.44</v>
      </c>
      <c r="L183" s="374">
        <f t="shared" si="129"/>
        <v>211</v>
      </c>
      <c r="N183" s="477" t="str">
        <f t="shared" ref="N183" si="233">CONCATENATE(LEFT(F183,FIND(" ",F183,1)-1)," / ",LEFT(F184,FIND(" ",F184,1)-1))</f>
        <v>MIKLUŠČÁK / LACENOVÁ</v>
      </c>
      <c r="O183" s="477" t="str">
        <f t="shared" ref="O183" si="234">CONCATENATE(H183," / ",H184)</f>
        <v>ŠKST KARLOVA VES / ŠKST TOPOĽČANY</v>
      </c>
      <c r="P183" s="477" t="str">
        <f t="shared" ref="P183" si="235">F183</f>
        <v>MIKLUŠČÁK Benjamín</v>
      </c>
      <c r="Q183" s="477" t="str">
        <f t="shared" ref="Q183" si="236">F184</f>
        <v>LACENOVÁ Renáta</v>
      </c>
    </row>
    <row r="184" spans="1:17" s="375" customFormat="1" ht="35.1" customHeight="1">
      <c r="A184" s="374">
        <v>212</v>
      </c>
      <c r="C184" s="479"/>
      <c r="D184" s="478"/>
      <c r="E184" s="376">
        <f>IF(ISERROR(VLOOKUP(A184,'startova listina'!$A$143:$I$190,4,0))=TRUE," ",VLOOKUP(A184,'startova listina'!$A$143:$I$190,4,0))</f>
        <v>20</v>
      </c>
      <c r="F184" s="377" t="str">
        <f>IF(ISERROR(VLOOKUP(A184,'startova listina'!$A$143:$I$190,5,0))=TRUE," ",VLOOKUP(A184,'startova listina'!$A$143:$I$190,5,0))</f>
        <v>LACENOVÁ Renáta</v>
      </c>
      <c r="G184" s="376">
        <f>IF(ISERROR(VLOOKUP(A184,'startova listina'!$A$143:$I$190,6,0))=TRUE," ",VLOOKUP(A184,'startova listina'!$A$143:$I$190,6,0))</f>
        <v>2003</v>
      </c>
      <c r="H184" s="377" t="str">
        <f>IF(ISERROR(VLOOKUP(A184,'startova listina'!$A$143:$I$190,7,0))=TRUE," ",VLOOKUP(A184,'startova listina'!$A$143:$I$190,7,0))</f>
        <v>ŠKST TOPOĽČANY</v>
      </c>
      <c r="I184" s="376">
        <f>IF(ISERROR(VLOOKUP(A184,'startova listina'!$A$143:$I$190,8,0))=TRUE," ",VLOOKUP(A184,'startova listina'!$A$143:$I$190,8,0))</f>
        <v>76.44</v>
      </c>
      <c r="J184" s="479"/>
      <c r="L184" s="374">
        <f t="shared" si="129"/>
        <v>212</v>
      </c>
      <c r="N184" s="478"/>
      <c r="O184" s="478"/>
      <c r="P184" s="478"/>
      <c r="Q184" s="478"/>
    </row>
    <row r="185" spans="1:17" s="375" customFormat="1" ht="35.1" customHeight="1">
      <c r="A185" s="374">
        <v>221</v>
      </c>
      <c r="C185" s="479">
        <f t="shared" ref="C185" si="237">RANK(J185,$J$143:$J$190,0)</f>
        <v>22</v>
      </c>
      <c r="D185" s="477">
        <v>20</v>
      </c>
      <c r="E185" s="376">
        <f>IF(ISERROR(VLOOKUP(A185,'startova listina'!$A$143:$I$190,4,0))=TRUE," ",VLOOKUP(A185,'startova listina'!$A$143:$I$190,4,0))</f>
        <v>29</v>
      </c>
      <c r="F185" s="377" t="str">
        <f>IF(ISERROR(VLOOKUP(A185,'startova listina'!$A$143:$I$190,5,0))=TRUE," ",VLOOKUP(A185,'startova listina'!$A$143:$I$190,5,0))</f>
        <v>MARUNIAK Martin</v>
      </c>
      <c r="G185" s="376">
        <f>IF(ISERROR(VLOOKUP(A185,'startova listina'!$A$143:$I$190,6,0))=TRUE," ",VLOOKUP(A185,'startova listina'!$A$143:$I$190,6,0))</f>
        <v>2001</v>
      </c>
      <c r="H185" s="377" t="str">
        <f>IF(ISERROR(VLOOKUP(A185,'startova listina'!$A$143:$I$190,7,0))=TRUE," ",VLOOKUP(A185,'startova listina'!$A$143:$I$190,7,0))</f>
        <v>MSTK VTJ MARTIN</v>
      </c>
      <c r="I185" s="376">
        <f>IF(ISERROR(VLOOKUP(A185,'startova listina'!$A$143:$I$1906,8,0))=TRUE," ",VLOOKUP(A185,'startova listina'!$A$143:$I$190,8,0))</f>
        <v>68.900000000000006</v>
      </c>
      <c r="J185" s="479">
        <f t="shared" si="147"/>
        <v>160.67000000000002</v>
      </c>
      <c r="L185" s="374">
        <f t="shared" si="129"/>
        <v>221</v>
      </c>
      <c r="N185" s="477" t="str">
        <f t="shared" ref="N185" si="238">CONCATENATE(LEFT(F185,FIND(" ",F185,1)-1)," / ",LEFT(F186,FIND(" ",F186,1)-1))</f>
        <v>MARUNIAK / VOJTASOVA</v>
      </c>
      <c r="O185" s="477" t="str">
        <f t="shared" ref="O185" si="239">CONCATENATE(H185," / ",H186)</f>
        <v>MSTK VTJ MARTIN / ZŠ LIETAVSKÁ LÚČKA</v>
      </c>
      <c r="P185" s="477" t="str">
        <f t="shared" ref="P185" si="240">F185</f>
        <v>MARUNIAK Martin</v>
      </c>
      <c r="Q185" s="477" t="str">
        <f t="shared" ref="Q185" si="241">F186</f>
        <v>VOJTASOVA Patrícia</v>
      </c>
    </row>
    <row r="186" spans="1:17" s="375" customFormat="1" ht="35.1" customHeight="1">
      <c r="A186" s="374">
        <v>222</v>
      </c>
      <c r="C186" s="479"/>
      <c r="D186" s="478"/>
      <c r="E186" s="376">
        <f>IF(ISERROR(VLOOKUP(A186,'startova listina'!$A$143:$I$190,4,0))=TRUE," ",VLOOKUP(A186,'startova listina'!$A$143:$I$190,4,0))</f>
        <v>16</v>
      </c>
      <c r="F186" s="377" t="str">
        <f>IF(ISERROR(VLOOKUP(A186,'startova listina'!$A$143:$I$190,5,0))=TRUE," ",VLOOKUP(A186,'startova listina'!$A$143:$I$190,5,0))</f>
        <v>VOJTASOVA Patrícia</v>
      </c>
      <c r="G186" s="376">
        <f>IF(ISERROR(VLOOKUP(A186,'startova listina'!$A$143:$I$190,6,0))=TRUE," ",VLOOKUP(A186,'startova listina'!$A$143:$I$190,6,0))</f>
        <v>2001</v>
      </c>
      <c r="H186" s="377" t="str">
        <f>IF(ISERROR(VLOOKUP(A186,'startova listina'!$A$143:$I$190,7,0))=TRUE," ",VLOOKUP(A186,'startova listina'!$A$143:$I$190,7,0))</f>
        <v>ZŠ LIETAVSKÁ LÚČKA</v>
      </c>
      <c r="I186" s="376">
        <f>IF(ISERROR(VLOOKUP(A186,'startova listina'!$A$143:$I$190,8,0))=TRUE," ",VLOOKUP(A186,'startova listina'!$A$143:$I$190,8,0))</f>
        <v>91.77</v>
      </c>
      <c r="J186" s="479"/>
      <c r="L186" s="374">
        <f t="shared" si="129"/>
        <v>222</v>
      </c>
      <c r="N186" s="478"/>
      <c r="O186" s="478"/>
      <c r="P186" s="478"/>
      <c r="Q186" s="478"/>
    </row>
    <row r="187" spans="1:17" s="375" customFormat="1" ht="35.1" customHeight="1">
      <c r="A187" s="374">
        <v>231</v>
      </c>
      <c r="C187" s="479">
        <f t="shared" ref="C187" si="242">RANK(J187,$J$143:$J$190,0)</f>
        <v>23</v>
      </c>
      <c r="D187" s="477">
        <v>27</v>
      </c>
      <c r="E187" s="376">
        <f>IF(ISERROR(VLOOKUP(A187,'startova listina'!$A$143:$I$190,4,0))=TRUE," ",VLOOKUP(A187,'startova listina'!$A$143:$I$190,4,0))</f>
        <v>23</v>
      </c>
      <c r="F187" s="377" t="str">
        <f>IF(ISERROR(VLOOKUP(A187,'startova listina'!$A$143:$I$190,5,0))=TRUE," ",VLOOKUP(A187,'startova listina'!$A$143:$I$190,5,0))</f>
        <v>MAKÚCH Damian</v>
      </c>
      <c r="G187" s="376">
        <f>IF(ISERROR(VLOOKUP(A187,'startova listina'!$A$143:$I$190,6,0))=TRUE," ",VLOOKUP(A187,'startova listina'!$A$143:$I$190,6,0))</f>
        <v>2001</v>
      </c>
      <c r="H187" s="377" t="str">
        <f>IF(ISERROR(VLOOKUP(A187,'startova listina'!$A$143:$I$190,7,0))=TRUE," ",VLOOKUP(A187,'startova listina'!$A$143:$I$190,7,0))</f>
        <v>TJ ORAVAN NÁMESTOVO/TATRAN KRUŠETNICA</v>
      </c>
      <c r="I187" s="376">
        <f>IF(ISERROR(VLOOKUP(A187,'startova listina'!$A$143:$I$1906,8,0))=TRUE," ",VLOOKUP(A187,'startova listina'!$A$143:$I$190,8,0))</f>
        <v>74.849999999999994</v>
      </c>
      <c r="J187" s="479">
        <f t="shared" si="147"/>
        <v>153.94999999999999</v>
      </c>
      <c r="L187" s="374">
        <f t="shared" si="129"/>
        <v>231</v>
      </c>
      <c r="N187" s="477" t="str">
        <f t="shared" ref="N187" si="243">CONCATENATE(LEFT(F187,FIND(" ",F187,1)-1)," / ",LEFT(F188,FIND(" ",F188,1)-1))</f>
        <v>MAKÚCH / GALČÍKOVÁ</v>
      </c>
      <c r="O187" s="477" t="str">
        <f t="shared" ref="O187" si="244">CONCATENATE(H187," / ",H188)</f>
        <v>TJ ORAVAN NÁMESTOVO/TATRAN KRUŠETNICA / TJ ORAVAN NÁMESTOVO</v>
      </c>
      <c r="P187" s="477" t="str">
        <f t="shared" ref="P187" si="245">F187</f>
        <v>MAKÚCH Damian</v>
      </c>
      <c r="Q187" s="477" t="str">
        <f t="shared" ref="Q187" si="246">F188</f>
        <v>GALČÍKOVÁ Sára</v>
      </c>
    </row>
    <row r="188" spans="1:17" s="375" customFormat="1" ht="35.1" customHeight="1">
      <c r="A188" s="374">
        <v>232</v>
      </c>
      <c r="C188" s="479"/>
      <c r="D188" s="478"/>
      <c r="E188" s="376">
        <f>IF(ISERROR(VLOOKUP(A188,'startova listina'!$A$143:$I$190,4,0))=TRUE," ",VLOOKUP(A188,'startova listina'!$A$143:$I$190,4,0))</f>
        <v>18</v>
      </c>
      <c r="F188" s="377" t="str">
        <f>IF(ISERROR(VLOOKUP(A188,'startova listina'!$A$143:$I$190,5,0))=TRUE," ",VLOOKUP(A188,'startova listina'!$A$143:$I$190,5,0))</f>
        <v>GALČÍKOVÁ Sára</v>
      </c>
      <c r="G188" s="376">
        <f>IF(ISERROR(VLOOKUP(A188,'startova listina'!$A$143:$I$190,6,0))=TRUE," ",VLOOKUP(A188,'startova listina'!$A$143:$I$190,6,0))</f>
        <v>2001</v>
      </c>
      <c r="H188" s="377" t="str">
        <f>IF(ISERROR(VLOOKUP(A188,'startova listina'!$A$143:$I$190,7,0))=TRUE," ",VLOOKUP(A188,'startova listina'!$A$143:$I$190,7,0))</f>
        <v>TJ ORAVAN NÁMESTOVO</v>
      </c>
      <c r="I188" s="376">
        <f>IF(ISERROR(VLOOKUP(A188,'startova listina'!$A$143:$I$190,8,0))=TRUE," ",VLOOKUP(A188,'startova listina'!$A$143:$I$190,8,0))</f>
        <v>79.099999999999994</v>
      </c>
      <c r="J188" s="479"/>
      <c r="L188" s="374">
        <f t="shared" si="129"/>
        <v>232</v>
      </c>
      <c r="N188" s="478"/>
      <c r="O188" s="478"/>
      <c r="P188" s="478"/>
      <c r="Q188" s="478"/>
    </row>
    <row r="189" spans="1:17" s="375" customFormat="1" ht="35.1" customHeight="1">
      <c r="A189" s="374">
        <v>241</v>
      </c>
      <c r="C189" s="479">
        <f t="shared" ref="C189" si="247">RANK(J189,$J$143:$J$190,0)</f>
        <v>24</v>
      </c>
      <c r="D189" s="477">
        <v>11</v>
      </c>
      <c r="E189" s="376">
        <f>IF(ISERROR(VLOOKUP(A189,'startova listina'!$A$143:$I$190,4,0))=TRUE," ",VLOOKUP(A189,'startova listina'!$A$143:$I$190,4,0))</f>
        <v>26</v>
      </c>
      <c r="F189" s="377" t="str">
        <f>IF(ISERROR(VLOOKUP(A189,'startova listina'!$A$143:$I$190,5,0))=TRUE," ",VLOOKUP(A189,'startova listina'!$A$143:$I$190,5,0))</f>
        <v>KLUČÁR Matej</v>
      </c>
      <c r="G189" s="376">
        <f>IF(ISERROR(VLOOKUP(A189,'startova listina'!$A$143:$I$190,6,0))=TRUE," ",VLOOKUP(A189,'startova listina'!$A$143:$I$190,6,0))</f>
        <v>2002</v>
      </c>
      <c r="H189" s="377" t="str">
        <f>IF(ISERROR(VLOOKUP(A189,'startova listina'!$A$143:$I$190,7,0))=TRUE," ",VLOOKUP(A189,'startova listina'!$A$143:$I$190,7,0))</f>
        <v>TTC MAJCICHOV</v>
      </c>
      <c r="I189" s="376">
        <f>IF(ISERROR(VLOOKUP(A189,'startova listina'!$A$143:$I$1906,8,0))=TRUE," ",VLOOKUP(A189,'startova listina'!$A$143:$I$190,8,0))</f>
        <v>74.069999999999993</v>
      </c>
      <c r="J189" s="479">
        <f t="shared" si="147"/>
        <v>146.47</v>
      </c>
      <c r="L189" s="374">
        <f t="shared" si="129"/>
        <v>241</v>
      </c>
      <c r="N189" s="477" t="str">
        <f t="shared" ref="N189" si="248">CONCATENATE(LEFT(F189,FIND(" ",F189,1)-1)," / ",LEFT(F190,FIND(" ",F190,1)-1))</f>
        <v>KLUČÁR / GORFOLOVÁ</v>
      </c>
      <c r="O189" s="477" t="str">
        <f t="shared" ref="O189" si="249">CONCATENATE(H189," / ",H190)</f>
        <v>TTC MAJCICHOV / GASTO METALFIN GALANTA</v>
      </c>
      <c r="P189" s="477" t="str">
        <f t="shared" ref="P189" si="250">F189</f>
        <v>KLUČÁR Matej</v>
      </c>
      <c r="Q189" s="477" t="str">
        <f t="shared" ref="Q189" si="251">F190</f>
        <v>GORFOLOVÁ Viktória</v>
      </c>
    </row>
    <row r="190" spans="1:17" s="375" customFormat="1" ht="35.1" customHeight="1">
      <c r="A190" s="374">
        <v>242</v>
      </c>
      <c r="C190" s="479"/>
      <c r="D190" s="478"/>
      <c r="E190" s="376">
        <f>IF(ISERROR(VLOOKUP(A190,'startova listina'!$A$143:$I$190,4,0))=TRUE," ",VLOOKUP(A190,'startova listina'!$A$143:$I$190,4,0))</f>
        <v>21</v>
      </c>
      <c r="F190" s="377" t="str">
        <f>IF(ISERROR(VLOOKUP(A190,'startova listina'!$A$143:$I$190,5,0))=TRUE," ",VLOOKUP(A190,'startova listina'!$A$143:$I$190,5,0))</f>
        <v>GORFOLOVÁ Viktória</v>
      </c>
      <c r="G190" s="376">
        <f>IF(ISERROR(VLOOKUP(A190,'startova listina'!$A$143:$I$190,6,0))=TRUE," ",VLOOKUP(A190,'startova listina'!$A$143:$I$190,6,0))</f>
        <v>2001</v>
      </c>
      <c r="H190" s="377" t="str">
        <f>IF(ISERROR(VLOOKUP(A190,'startova listina'!$A$143:$I$190,7,0))=TRUE," ",VLOOKUP(A190,'startova listina'!$A$143:$I$190,7,0))</f>
        <v>GASTO METALFIN GALANTA</v>
      </c>
      <c r="I190" s="376">
        <f>IF(ISERROR(VLOOKUP(A190,'startova listina'!$A$143:$I$190,8,0))=TRUE," ",VLOOKUP(A190,'startova listina'!$A$143:$I$190,8,0))</f>
        <v>72.400000000000006</v>
      </c>
      <c r="J190" s="479"/>
      <c r="L190" s="374">
        <f t="shared" si="129"/>
        <v>242</v>
      </c>
      <c r="N190" s="478"/>
      <c r="O190" s="478"/>
      <c r="P190" s="478"/>
      <c r="Q190" s="478"/>
    </row>
    <row r="191" spans="1:17" s="204" customFormat="1">
      <c r="A191" s="203"/>
      <c r="C191" s="205" t="s">
        <v>121</v>
      </c>
      <c r="D191" s="205" t="s">
        <v>121</v>
      </c>
      <c r="E191" s="205" t="s">
        <v>121</v>
      </c>
      <c r="F191" s="204" t="s">
        <v>121</v>
      </c>
      <c r="G191" s="205" t="s">
        <v>121</v>
      </c>
      <c r="H191" s="204" t="s">
        <v>121</v>
      </c>
      <c r="I191" s="205" t="s">
        <v>121</v>
      </c>
      <c r="J191" s="205" t="s">
        <v>121</v>
      </c>
      <c r="K191" s="204" t="s">
        <v>121</v>
      </c>
      <c r="L191" s="203" t="s">
        <v>121</v>
      </c>
      <c r="M191" s="204" t="s">
        <v>121</v>
      </c>
      <c r="N191" s="204" t="s">
        <v>121</v>
      </c>
      <c r="O191" s="204" t="s">
        <v>121</v>
      </c>
      <c r="P191" s="204" t="s">
        <v>121</v>
      </c>
      <c r="Q191" s="320" t="s">
        <v>121</v>
      </c>
    </row>
  </sheetData>
  <mergeCells count="367">
    <mergeCell ref="N179:N180"/>
    <mergeCell ref="N181:N182"/>
    <mergeCell ref="N183:N184"/>
    <mergeCell ref="N185:N186"/>
    <mergeCell ref="N187:N188"/>
    <mergeCell ref="N189:N190"/>
    <mergeCell ref="N157:N158"/>
    <mergeCell ref="N159:N160"/>
    <mergeCell ref="N161:N162"/>
    <mergeCell ref="N163:N164"/>
    <mergeCell ref="N165:N166"/>
    <mergeCell ref="N167:N168"/>
    <mergeCell ref="N169:N170"/>
    <mergeCell ref="N171:N172"/>
    <mergeCell ref="N173:N174"/>
    <mergeCell ref="N143:N144"/>
    <mergeCell ref="N145:N146"/>
    <mergeCell ref="N147:N148"/>
    <mergeCell ref="N149:N150"/>
    <mergeCell ref="N151:N152"/>
    <mergeCell ref="N153:N154"/>
    <mergeCell ref="N155:N156"/>
    <mergeCell ref="N175:N176"/>
    <mergeCell ref="N177:N178"/>
    <mergeCell ref="N119:N120"/>
    <mergeCell ref="N121:N122"/>
    <mergeCell ref="N123:N124"/>
    <mergeCell ref="N125:N126"/>
    <mergeCell ref="N127:N128"/>
    <mergeCell ref="N129:N130"/>
    <mergeCell ref="N131:N132"/>
    <mergeCell ref="N133:N134"/>
    <mergeCell ref="N135:N136"/>
    <mergeCell ref="P181:P182"/>
    <mergeCell ref="P183:P184"/>
    <mergeCell ref="P185:P186"/>
    <mergeCell ref="P187:P188"/>
    <mergeCell ref="P189:P190"/>
    <mergeCell ref="N75:N76"/>
    <mergeCell ref="N77:N78"/>
    <mergeCell ref="N79:N80"/>
    <mergeCell ref="N81:N82"/>
    <mergeCell ref="N83:N84"/>
    <mergeCell ref="N85:N86"/>
    <mergeCell ref="N87:N88"/>
    <mergeCell ref="N89:N90"/>
    <mergeCell ref="N91:N92"/>
    <mergeCell ref="N93:N94"/>
    <mergeCell ref="N95:N96"/>
    <mergeCell ref="N97:N98"/>
    <mergeCell ref="N99:N100"/>
    <mergeCell ref="N101:N102"/>
    <mergeCell ref="N103:N104"/>
    <mergeCell ref="N105:N106"/>
    <mergeCell ref="N113:N114"/>
    <mergeCell ref="N115:N116"/>
    <mergeCell ref="N117:N118"/>
    <mergeCell ref="P163:P164"/>
    <mergeCell ref="P165:P166"/>
    <mergeCell ref="P167:P168"/>
    <mergeCell ref="P169:P170"/>
    <mergeCell ref="P171:P172"/>
    <mergeCell ref="P173:P174"/>
    <mergeCell ref="P175:P176"/>
    <mergeCell ref="P177:P178"/>
    <mergeCell ref="P179:P180"/>
    <mergeCell ref="P145:P146"/>
    <mergeCell ref="P147:P148"/>
    <mergeCell ref="P149:P150"/>
    <mergeCell ref="P151:P152"/>
    <mergeCell ref="P153:P154"/>
    <mergeCell ref="P155:P156"/>
    <mergeCell ref="P157:P158"/>
    <mergeCell ref="P159:P160"/>
    <mergeCell ref="P161:P162"/>
    <mergeCell ref="P121:P122"/>
    <mergeCell ref="P123:P124"/>
    <mergeCell ref="P125:P126"/>
    <mergeCell ref="P127:P128"/>
    <mergeCell ref="P129:P130"/>
    <mergeCell ref="P131:P132"/>
    <mergeCell ref="P133:P134"/>
    <mergeCell ref="P135:P136"/>
    <mergeCell ref="P143:P144"/>
    <mergeCell ref="P97:P98"/>
    <mergeCell ref="P99:P100"/>
    <mergeCell ref="P101:P102"/>
    <mergeCell ref="P103:P104"/>
    <mergeCell ref="P105:P106"/>
    <mergeCell ref="P113:P114"/>
    <mergeCell ref="P115:P116"/>
    <mergeCell ref="P117:P118"/>
    <mergeCell ref="P119:P120"/>
    <mergeCell ref="P81:P82"/>
    <mergeCell ref="P83:P84"/>
    <mergeCell ref="P85:P86"/>
    <mergeCell ref="P87:P88"/>
    <mergeCell ref="P89:P90"/>
    <mergeCell ref="P91:P92"/>
    <mergeCell ref="O187:O188"/>
    <mergeCell ref="O157:O158"/>
    <mergeCell ref="O159:O160"/>
    <mergeCell ref="O161:O162"/>
    <mergeCell ref="O163:O164"/>
    <mergeCell ref="O165:O166"/>
    <mergeCell ref="O147:O148"/>
    <mergeCell ref="O149:O150"/>
    <mergeCell ref="O151:O152"/>
    <mergeCell ref="O153:O154"/>
    <mergeCell ref="O155:O156"/>
    <mergeCell ref="O131:O132"/>
    <mergeCell ref="O133:O134"/>
    <mergeCell ref="O135:O136"/>
    <mergeCell ref="O143:O144"/>
    <mergeCell ref="O145:O146"/>
    <mergeCell ref="P93:P94"/>
    <mergeCell ref="P95:P96"/>
    <mergeCell ref="O189:O190"/>
    <mergeCell ref="O177:O178"/>
    <mergeCell ref="O179:O180"/>
    <mergeCell ref="O181:O182"/>
    <mergeCell ref="O183:O184"/>
    <mergeCell ref="O185:O186"/>
    <mergeCell ref="O167:O168"/>
    <mergeCell ref="O169:O170"/>
    <mergeCell ref="O171:O172"/>
    <mergeCell ref="O173:O174"/>
    <mergeCell ref="O175:O176"/>
    <mergeCell ref="O121:O122"/>
    <mergeCell ref="O123:O124"/>
    <mergeCell ref="O125:O126"/>
    <mergeCell ref="O127:O128"/>
    <mergeCell ref="O129:O130"/>
    <mergeCell ref="O105:O106"/>
    <mergeCell ref="O113:O114"/>
    <mergeCell ref="O115:O116"/>
    <mergeCell ref="O117:O118"/>
    <mergeCell ref="O119:O120"/>
    <mergeCell ref="O95:O96"/>
    <mergeCell ref="O97:O98"/>
    <mergeCell ref="O99:O100"/>
    <mergeCell ref="O101:O102"/>
    <mergeCell ref="O103:O104"/>
    <mergeCell ref="O85:O86"/>
    <mergeCell ref="O87:O88"/>
    <mergeCell ref="O89:O90"/>
    <mergeCell ref="O91:O92"/>
    <mergeCell ref="O93:O94"/>
    <mergeCell ref="P75:P76"/>
    <mergeCell ref="O75:O76"/>
    <mergeCell ref="O77:O78"/>
    <mergeCell ref="O79:O80"/>
    <mergeCell ref="O81:O82"/>
    <mergeCell ref="O83:O84"/>
    <mergeCell ref="D6:E6"/>
    <mergeCell ref="D43:E43"/>
    <mergeCell ref="C75:C76"/>
    <mergeCell ref="J75:J76"/>
    <mergeCell ref="D75:D76"/>
    <mergeCell ref="C77:C78"/>
    <mergeCell ref="J77:J78"/>
    <mergeCell ref="C79:C80"/>
    <mergeCell ref="J79:J80"/>
    <mergeCell ref="C81:C82"/>
    <mergeCell ref="J81:J82"/>
    <mergeCell ref="D77:D78"/>
    <mergeCell ref="D79:D80"/>
    <mergeCell ref="D81:D82"/>
    <mergeCell ref="C83:C84"/>
    <mergeCell ref="J83:J84"/>
    <mergeCell ref="P77:P78"/>
    <mergeCell ref="P79:P80"/>
    <mergeCell ref="C85:C86"/>
    <mergeCell ref="J85:J86"/>
    <mergeCell ref="C87:C88"/>
    <mergeCell ref="J87:J88"/>
    <mergeCell ref="D83:D84"/>
    <mergeCell ref="D85:D86"/>
    <mergeCell ref="D87:D88"/>
    <mergeCell ref="C89:C90"/>
    <mergeCell ref="J89:J90"/>
    <mergeCell ref="C91:C92"/>
    <mergeCell ref="J91:J92"/>
    <mergeCell ref="C93:C94"/>
    <mergeCell ref="J93:J94"/>
    <mergeCell ref="D89:D90"/>
    <mergeCell ref="D91:D92"/>
    <mergeCell ref="D93:D94"/>
    <mergeCell ref="C95:C96"/>
    <mergeCell ref="J95:J96"/>
    <mergeCell ref="C97:C98"/>
    <mergeCell ref="J97:J98"/>
    <mergeCell ref="C99:C100"/>
    <mergeCell ref="J99:J100"/>
    <mergeCell ref="D95:D96"/>
    <mergeCell ref="D97:D98"/>
    <mergeCell ref="D99:D100"/>
    <mergeCell ref="C101:C102"/>
    <mergeCell ref="J101:J102"/>
    <mergeCell ref="C103:C104"/>
    <mergeCell ref="J103:J104"/>
    <mergeCell ref="C105:C106"/>
    <mergeCell ref="J105:J106"/>
    <mergeCell ref="D101:D102"/>
    <mergeCell ref="D103:D104"/>
    <mergeCell ref="D105:D106"/>
    <mergeCell ref="C117:C118"/>
    <mergeCell ref="D117:D118"/>
    <mergeCell ref="J117:J118"/>
    <mergeCell ref="C119:C120"/>
    <mergeCell ref="D119:D120"/>
    <mergeCell ref="J119:J120"/>
    <mergeCell ref="C113:C114"/>
    <mergeCell ref="D113:D114"/>
    <mergeCell ref="J113:J114"/>
    <mergeCell ref="C115:C116"/>
    <mergeCell ref="D115:D116"/>
    <mergeCell ref="J115:J116"/>
    <mergeCell ref="C125:C126"/>
    <mergeCell ref="D125:D126"/>
    <mergeCell ref="J125:J126"/>
    <mergeCell ref="C127:C128"/>
    <mergeCell ref="D127:D128"/>
    <mergeCell ref="J127:J128"/>
    <mergeCell ref="C121:C122"/>
    <mergeCell ref="D121:D122"/>
    <mergeCell ref="J121:J122"/>
    <mergeCell ref="C123:C124"/>
    <mergeCell ref="D123:D124"/>
    <mergeCell ref="J123:J124"/>
    <mergeCell ref="C133:C134"/>
    <mergeCell ref="D133:D134"/>
    <mergeCell ref="J133:J134"/>
    <mergeCell ref="C135:C136"/>
    <mergeCell ref="D135:D136"/>
    <mergeCell ref="J135:J136"/>
    <mergeCell ref="C129:C130"/>
    <mergeCell ref="D129:D130"/>
    <mergeCell ref="J129:J130"/>
    <mergeCell ref="C131:C132"/>
    <mergeCell ref="D131:D132"/>
    <mergeCell ref="J131:J132"/>
    <mergeCell ref="C147:C148"/>
    <mergeCell ref="D147:D148"/>
    <mergeCell ref="J147:J148"/>
    <mergeCell ref="C149:C150"/>
    <mergeCell ref="D149:D150"/>
    <mergeCell ref="J149:J150"/>
    <mergeCell ref="C143:C144"/>
    <mergeCell ref="D143:D144"/>
    <mergeCell ref="J143:J144"/>
    <mergeCell ref="C145:C146"/>
    <mergeCell ref="D145:D146"/>
    <mergeCell ref="J145:J146"/>
    <mergeCell ref="C155:C156"/>
    <mergeCell ref="D155:D156"/>
    <mergeCell ref="J155:J156"/>
    <mergeCell ref="C157:C158"/>
    <mergeCell ref="D157:D158"/>
    <mergeCell ref="J157:J158"/>
    <mergeCell ref="C151:C152"/>
    <mergeCell ref="D151:D152"/>
    <mergeCell ref="J151:J152"/>
    <mergeCell ref="C153:C154"/>
    <mergeCell ref="D153:D154"/>
    <mergeCell ref="J153:J154"/>
    <mergeCell ref="C163:C164"/>
    <mergeCell ref="D163:D164"/>
    <mergeCell ref="J163:J164"/>
    <mergeCell ref="C165:C166"/>
    <mergeCell ref="D165:D166"/>
    <mergeCell ref="J165:J166"/>
    <mergeCell ref="C159:C160"/>
    <mergeCell ref="D159:D160"/>
    <mergeCell ref="J159:J160"/>
    <mergeCell ref="C161:C162"/>
    <mergeCell ref="D161:D162"/>
    <mergeCell ref="J161:J162"/>
    <mergeCell ref="C171:C172"/>
    <mergeCell ref="D171:D172"/>
    <mergeCell ref="J171:J172"/>
    <mergeCell ref="C173:C174"/>
    <mergeCell ref="D173:D174"/>
    <mergeCell ref="J173:J174"/>
    <mergeCell ref="C167:C168"/>
    <mergeCell ref="D167:D168"/>
    <mergeCell ref="J167:J168"/>
    <mergeCell ref="C169:C170"/>
    <mergeCell ref="D169:D170"/>
    <mergeCell ref="J169:J170"/>
    <mergeCell ref="C179:C180"/>
    <mergeCell ref="D179:D180"/>
    <mergeCell ref="J179:J180"/>
    <mergeCell ref="C181:C182"/>
    <mergeCell ref="D181:D182"/>
    <mergeCell ref="J181:J182"/>
    <mergeCell ref="C175:C176"/>
    <mergeCell ref="D175:D176"/>
    <mergeCell ref="J175:J176"/>
    <mergeCell ref="C177:C178"/>
    <mergeCell ref="D177:D178"/>
    <mergeCell ref="J177:J178"/>
    <mergeCell ref="C187:C188"/>
    <mergeCell ref="D187:D188"/>
    <mergeCell ref="J187:J188"/>
    <mergeCell ref="C189:C190"/>
    <mergeCell ref="D189:D190"/>
    <mergeCell ref="J189:J190"/>
    <mergeCell ref="C183:C184"/>
    <mergeCell ref="D183:D184"/>
    <mergeCell ref="J183:J184"/>
    <mergeCell ref="C185:C186"/>
    <mergeCell ref="D185:D186"/>
    <mergeCell ref="J185:J186"/>
    <mergeCell ref="Q75:Q76"/>
    <mergeCell ref="Q77:Q78"/>
    <mergeCell ref="Q79:Q80"/>
    <mergeCell ref="Q81:Q82"/>
    <mergeCell ref="Q83:Q84"/>
    <mergeCell ref="Q85:Q86"/>
    <mergeCell ref="Q87:Q88"/>
    <mergeCell ref="Q89:Q90"/>
    <mergeCell ref="Q91:Q92"/>
    <mergeCell ref="Q93:Q94"/>
    <mergeCell ref="Q95:Q96"/>
    <mergeCell ref="Q97:Q98"/>
    <mergeCell ref="Q99:Q100"/>
    <mergeCell ref="Q101:Q102"/>
    <mergeCell ref="Q103:Q104"/>
    <mergeCell ref="Q105:Q106"/>
    <mergeCell ref="Q113:Q114"/>
    <mergeCell ref="Q115:Q116"/>
    <mergeCell ref="Q155:Q156"/>
    <mergeCell ref="Q157:Q158"/>
    <mergeCell ref="Q117:Q118"/>
    <mergeCell ref="Q119:Q120"/>
    <mergeCell ref="Q121:Q122"/>
    <mergeCell ref="Q123:Q124"/>
    <mergeCell ref="Q125:Q126"/>
    <mergeCell ref="Q127:Q128"/>
    <mergeCell ref="Q129:Q130"/>
    <mergeCell ref="Q131:Q132"/>
    <mergeCell ref="Q133:Q134"/>
    <mergeCell ref="C1:I1"/>
    <mergeCell ref="Q177:Q178"/>
    <mergeCell ref="Q179:Q180"/>
    <mergeCell ref="Q181:Q182"/>
    <mergeCell ref="Q183:Q184"/>
    <mergeCell ref="Q185:Q186"/>
    <mergeCell ref="Q187:Q188"/>
    <mergeCell ref="Q189:Q190"/>
    <mergeCell ref="Q159:Q160"/>
    <mergeCell ref="Q161:Q162"/>
    <mergeCell ref="Q163:Q164"/>
    <mergeCell ref="Q165:Q166"/>
    <mergeCell ref="Q167:Q168"/>
    <mergeCell ref="Q169:Q170"/>
    <mergeCell ref="Q171:Q172"/>
    <mergeCell ref="Q173:Q174"/>
    <mergeCell ref="Q175:Q176"/>
    <mergeCell ref="Q135:Q136"/>
    <mergeCell ref="Q143:Q144"/>
    <mergeCell ref="Q145:Q146"/>
    <mergeCell ref="Q147:Q148"/>
    <mergeCell ref="Q149:Q150"/>
    <mergeCell ref="Q151:Q152"/>
    <mergeCell ref="Q153:Q154"/>
  </mergeCells>
  <pageMargins left="0.55118110236220474" right="0.31496062992125984" top="0.42" bottom="0.47244094488188981" header="0.24" footer="0.31496062992125984"/>
  <pageSetup paperSize="9" scale="43" orientation="portrait" horizontalDpi="300" verticalDpi="300" r:id="rId1"/>
  <rowBreaks count="4" manualBreakCount="4">
    <brk id="40" min="2" max="10" man="1"/>
    <brk id="69" min="2" max="10" man="1"/>
    <brk id="107" min="2" max="10" man="1"/>
    <brk id="137" min="2" max="10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dimension ref="A1:T166"/>
  <sheetViews>
    <sheetView view="pageBreakPreview" topLeftCell="A73" zoomScale="60" zoomScaleNormal="50" workbookViewId="0">
      <selection activeCell="K47" sqref="K47"/>
    </sheetView>
  </sheetViews>
  <sheetFormatPr defaultColWidth="6.28515625" defaultRowHeight="26.25"/>
  <cols>
    <col min="1" max="1" width="16.28515625" style="84" customWidth="1"/>
    <col min="2" max="2" width="14.5703125" style="85" customWidth="1"/>
    <col min="3" max="3" width="10.7109375" style="8" customWidth="1"/>
    <col min="4" max="4" width="65.28515625" style="8" customWidth="1"/>
    <col min="5" max="5" width="58.85546875" style="8" customWidth="1"/>
    <col min="6" max="6" width="11.7109375" style="8" customWidth="1"/>
    <col min="7" max="7" width="9.5703125" style="8" customWidth="1"/>
    <col min="8" max="8" width="15.140625" style="27" customWidth="1"/>
    <col min="9" max="9" width="14.140625" style="27" customWidth="1"/>
    <col min="10" max="10" width="14.140625" style="415" customWidth="1"/>
    <col min="11" max="11" width="14.28515625" style="9" customWidth="1"/>
    <col min="12" max="12" width="3.28515625" style="9" customWidth="1"/>
    <col min="13" max="15" width="6.28515625" style="8"/>
    <col min="16" max="17" width="6.28515625" style="38"/>
    <col min="18" max="16384" width="6.28515625" style="8"/>
  </cols>
  <sheetData>
    <row r="1" spans="1:20" ht="46.5">
      <c r="D1" s="294" t="str">
        <f>'startova listina'!C1</f>
        <v>Majstrovstvá Slovenska jednotlivcov</v>
      </c>
      <c r="E1" s="18"/>
      <c r="F1" s="409" t="str">
        <f>'startova listina'!H3</f>
        <v>ročník:</v>
      </c>
      <c r="G1" s="410"/>
      <c r="H1" s="411">
        <f>'startova listina'!I3</f>
        <v>2014</v>
      </c>
      <c r="I1" s="26"/>
      <c r="J1" s="414"/>
      <c r="K1" s="10"/>
      <c r="L1" s="10"/>
    </row>
    <row r="3" spans="1:20">
      <c r="D3" s="9"/>
      <c r="E3" s="25" t="s">
        <v>74</v>
      </c>
      <c r="F3" s="14"/>
      <c r="G3" s="14"/>
    </row>
    <row r="5" spans="1:20" s="20" customFormat="1" ht="36">
      <c r="A5" s="84" t="s">
        <v>11</v>
      </c>
      <c r="B5" s="85"/>
      <c r="C5" s="22" t="s">
        <v>60</v>
      </c>
      <c r="D5" s="22" t="s">
        <v>61</v>
      </c>
      <c r="E5" s="22" t="s">
        <v>61</v>
      </c>
      <c r="F5" s="22" t="s">
        <v>63</v>
      </c>
      <c r="G5" s="22" t="s">
        <v>64</v>
      </c>
      <c r="H5" s="28" t="s">
        <v>14</v>
      </c>
      <c r="I5" s="28" t="s">
        <v>67</v>
      </c>
      <c r="J5" s="416" t="s">
        <v>15</v>
      </c>
      <c r="K5" s="23" t="s">
        <v>16</v>
      </c>
      <c r="L5" s="24"/>
      <c r="P5" s="38"/>
      <c r="Q5" s="38"/>
    </row>
    <row r="6" spans="1:20" s="20" customFormat="1" ht="36">
      <c r="A6" s="84" t="str">
        <f>CONCATENATE(F6,G6,H6)</f>
        <v>DA1-3</v>
      </c>
      <c r="B6" s="85"/>
      <c r="C6" s="22">
        <v>1</v>
      </c>
      <c r="D6" s="22" t="str">
        <f>IF(ISERROR(VLOOKUP(P6,vylosovanie!$A$8:$J$68,6,0))=TRUE,"",VLOOKUP(P6,vylosovanie!$A$8:$J$68,6,0))</f>
        <v>LABOŠOVÁ Ema</v>
      </c>
      <c r="E6" s="22" t="str">
        <f>IF(ISERROR(VLOOKUP(Q6,vylosovanie!$A$8:$J$68,6,0))=TRUE,"",VLOOKUP(Q6,vylosovanie!$A$8:$J$68,6,0))</f>
        <v>LEDAJOVÁ Martina</v>
      </c>
      <c r="F6" s="22" t="s">
        <v>39</v>
      </c>
      <c r="G6" s="22" t="s">
        <v>12</v>
      </c>
      <c r="H6" s="28" t="s">
        <v>20</v>
      </c>
      <c r="I6" s="28" t="s">
        <v>383</v>
      </c>
      <c r="J6" s="422" t="s">
        <v>69</v>
      </c>
      <c r="K6" s="23">
        <v>1</v>
      </c>
      <c r="L6" s="24"/>
      <c r="P6" s="38" t="str">
        <f>CONCATENATE(F6,VLOOKUP(G6,$S$5:$T$14,2,0),LEFT(H6,1))</f>
        <v>D11</v>
      </c>
      <c r="Q6" s="38" t="str">
        <f>CONCATENATE(F6,VLOOKUP(G6,$S$5:$T$14,2,0),RIGHT(H6,1))</f>
        <v>D13</v>
      </c>
      <c r="S6" s="37" t="s">
        <v>12</v>
      </c>
      <c r="T6" s="37">
        <v>1</v>
      </c>
    </row>
    <row r="7" spans="1:20" s="20" customFormat="1" ht="36">
      <c r="A7" s="84" t="str">
        <f t="shared" ref="A7:A70" si="0">CONCATENATE(F7,G7,H7)</f>
        <v>DB1-3</v>
      </c>
      <c r="B7" s="85"/>
      <c r="C7" s="22">
        <v>2</v>
      </c>
      <c r="D7" s="22" t="str">
        <f>IF(ISERROR(VLOOKUP(P7,vylosovanie!$A$8:$J$68,6,0))=TRUE,"",VLOOKUP(P7,vylosovanie!$A$8:$J$68,6,0))</f>
        <v>PEKOVÁ Zuzana</v>
      </c>
      <c r="E7" s="22" t="str">
        <f>IF(ISERROR(VLOOKUP(Q7,vylosovanie!$A$8:$J$68,6,0))=TRUE,"",VLOOKUP(Q7,vylosovanie!$A$8:$J$68,6,0))</f>
        <v>GALČÍKOVÁ Sára</v>
      </c>
      <c r="F7" s="22" t="s">
        <v>39</v>
      </c>
      <c r="G7" s="22" t="s">
        <v>18</v>
      </c>
      <c r="H7" s="28" t="s">
        <v>20</v>
      </c>
      <c r="I7" s="28" t="s">
        <v>383</v>
      </c>
      <c r="J7" s="422" t="s">
        <v>69</v>
      </c>
      <c r="K7" s="23">
        <v>2</v>
      </c>
      <c r="L7" s="21"/>
      <c r="P7" s="38" t="str">
        <f t="shared" ref="P7:P70" si="1">CONCATENATE(F7,VLOOKUP(G7,$S$5:$T$14,2,0),LEFT(H7,1))</f>
        <v>D21</v>
      </c>
      <c r="Q7" s="38" t="str">
        <f t="shared" ref="Q7:Q70" si="2">CONCATENATE(F7,VLOOKUP(G7,$S$5:$T$14,2,0),RIGHT(H7,1))</f>
        <v>D23</v>
      </c>
      <c r="S7" s="37" t="s">
        <v>18</v>
      </c>
      <c r="T7" s="37">
        <v>2</v>
      </c>
    </row>
    <row r="8" spans="1:20" s="20" customFormat="1" ht="36">
      <c r="A8" s="84" t="str">
        <f t="shared" si="0"/>
        <v>DC1-3</v>
      </c>
      <c r="B8" s="85"/>
      <c r="C8" s="22">
        <v>3</v>
      </c>
      <c r="D8" s="22" t="str">
        <f>IF(ISERROR(VLOOKUP(P8,vylosovanie!$A$8:$J$68,6,0))=TRUE,"",VLOOKUP(P8,vylosovanie!$A$8:$J$68,6,0))</f>
        <v>ŠINKAROVÁ Dáša</v>
      </c>
      <c r="E8" s="22" t="str">
        <f>IF(ISERROR(VLOOKUP(Q8,vylosovanie!$A$8:$J$68,6,0))=TRUE,"",VLOOKUP(Q8,vylosovanie!$A$8:$J$68,6,0))</f>
        <v>SISKOVÁ Zuzana</v>
      </c>
      <c r="F8" s="22" t="s">
        <v>39</v>
      </c>
      <c r="G8" s="22" t="s">
        <v>38</v>
      </c>
      <c r="H8" s="28" t="s">
        <v>20</v>
      </c>
      <c r="I8" s="28" t="s">
        <v>383</v>
      </c>
      <c r="J8" s="422" t="s">
        <v>69</v>
      </c>
      <c r="K8" s="23">
        <v>3</v>
      </c>
      <c r="L8" s="21"/>
      <c r="P8" s="38" t="str">
        <f t="shared" si="1"/>
        <v>D31</v>
      </c>
      <c r="Q8" s="38" t="str">
        <f t="shared" si="2"/>
        <v>D33</v>
      </c>
      <c r="S8" s="37" t="s">
        <v>38</v>
      </c>
      <c r="T8" s="37">
        <v>3</v>
      </c>
    </row>
    <row r="9" spans="1:20" s="20" customFormat="1" ht="36">
      <c r="A9" s="84" t="str">
        <f t="shared" si="0"/>
        <v>DD1-3</v>
      </c>
      <c r="B9" s="85"/>
      <c r="C9" s="22">
        <v>4</v>
      </c>
      <c r="D9" s="22" t="str">
        <f>IF(ISERROR(VLOOKUP(P9,vylosovanie!$A$8:$J$68,6,0))=TRUE,"",VLOOKUP(P9,vylosovanie!$A$8:$J$68,6,0))</f>
        <v>DZELINSKA Júlia</v>
      </c>
      <c r="E9" s="22" t="str">
        <f>IF(ISERROR(VLOOKUP(Q9,vylosovanie!$A$8:$J$68,6,0))=TRUE,"",VLOOKUP(Q9,vylosovanie!$A$8:$J$68,6,0))</f>
        <v>HUDÁKOVÁ Ivana</v>
      </c>
      <c r="F9" s="22" t="s">
        <v>39</v>
      </c>
      <c r="G9" s="22" t="s">
        <v>39</v>
      </c>
      <c r="H9" s="28" t="s">
        <v>20</v>
      </c>
      <c r="I9" s="28" t="s">
        <v>383</v>
      </c>
      <c r="J9" s="422" t="s">
        <v>69</v>
      </c>
      <c r="K9" s="23">
        <v>4</v>
      </c>
      <c r="L9" s="21"/>
      <c r="P9" s="38" t="str">
        <f t="shared" si="1"/>
        <v>D41</v>
      </c>
      <c r="Q9" s="38" t="str">
        <f t="shared" si="2"/>
        <v>D43</v>
      </c>
      <c r="S9" s="37" t="s">
        <v>39</v>
      </c>
      <c r="T9" s="37">
        <v>4</v>
      </c>
    </row>
    <row r="10" spans="1:20" s="20" customFormat="1" ht="36">
      <c r="A10" s="84" t="str">
        <f t="shared" si="0"/>
        <v>DE1-3</v>
      </c>
      <c r="B10" s="85"/>
      <c r="C10" s="22">
        <v>5</v>
      </c>
      <c r="D10" s="22" t="str">
        <f>IF(ISERROR(VLOOKUP(P10,vylosovanie!$A$8:$J$68,6,0))=TRUE,"",VLOOKUP(P10,vylosovanie!$A$8:$J$68,6,0))</f>
        <v>DIVINSKÁ Natália</v>
      </c>
      <c r="E10" s="22" t="str">
        <f>IF(ISERROR(VLOOKUP(Q10,vylosovanie!$A$8:$J$68,6,0))=TRUE,"",VLOOKUP(Q10,vylosovanie!$A$8:$J$68,6,0))</f>
        <v>HURBANOVÁ Isabella</v>
      </c>
      <c r="F10" s="22" t="s">
        <v>39</v>
      </c>
      <c r="G10" s="22" t="s">
        <v>40</v>
      </c>
      <c r="H10" s="28" t="s">
        <v>20</v>
      </c>
      <c r="I10" s="28" t="s">
        <v>383</v>
      </c>
      <c r="J10" s="422" t="s">
        <v>69</v>
      </c>
      <c r="K10" s="23">
        <v>5</v>
      </c>
      <c r="L10" s="21"/>
      <c r="P10" s="38" t="str">
        <f t="shared" si="1"/>
        <v>D51</v>
      </c>
      <c r="Q10" s="38" t="str">
        <f t="shared" si="2"/>
        <v>D53</v>
      </c>
      <c r="S10" s="37" t="s">
        <v>40</v>
      </c>
      <c r="T10" s="37">
        <v>5</v>
      </c>
    </row>
    <row r="11" spans="1:20" s="20" customFormat="1" ht="36">
      <c r="A11" s="84" t="str">
        <f t="shared" si="0"/>
        <v>DF1-3</v>
      </c>
      <c r="B11" s="85"/>
      <c r="C11" s="22">
        <v>6</v>
      </c>
      <c r="D11" s="22" t="str">
        <f>IF(ISERROR(VLOOKUP(P11,vylosovanie!$A$8:$J$68,6,0))=TRUE,"",VLOOKUP(P11,vylosovanie!$A$8:$J$68,6,0))</f>
        <v>ŠVAJDLENKOVÁ Laura</v>
      </c>
      <c r="E11" s="22" t="str">
        <f>IF(ISERROR(VLOOKUP(Q11,vylosovanie!$A$8:$J$68,6,0))=TRUE,"",VLOOKUP(Q11,vylosovanie!$A$8:$J$68,6,0))</f>
        <v>LACENOVÁ Renáta</v>
      </c>
      <c r="F11" s="22" t="s">
        <v>39</v>
      </c>
      <c r="G11" s="22" t="s">
        <v>41</v>
      </c>
      <c r="H11" s="28" t="s">
        <v>20</v>
      </c>
      <c r="I11" s="28" t="s">
        <v>383</v>
      </c>
      <c r="J11" s="422" t="s">
        <v>69</v>
      </c>
      <c r="K11" s="23">
        <v>6</v>
      </c>
      <c r="L11" s="21"/>
      <c r="P11" s="38" t="str">
        <f t="shared" si="1"/>
        <v>D61</v>
      </c>
      <c r="Q11" s="38" t="str">
        <f t="shared" si="2"/>
        <v>D63</v>
      </c>
      <c r="S11" s="37" t="s">
        <v>41</v>
      </c>
      <c r="T11" s="37">
        <v>6</v>
      </c>
    </row>
    <row r="12" spans="1:20" s="20" customFormat="1" ht="36">
      <c r="A12" s="84" t="str">
        <f t="shared" si="0"/>
        <v>DG1-3</v>
      </c>
      <c r="B12" s="85"/>
      <c r="C12" s="22">
        <v>7</v>
      </c>
      <c r="D12" s="22" t="str">
        <f>IF(ISERROR(VLOOKUP(P12,vylosovanie!$A$8:$J$68,6,0))=TRUE,"",VLOOKUP(P12,vylosovanie!$A$8:$J$68,6,0))</f>
        <v>MAJERSKÁ Alena</v>
      </c>
      <c r="E12" s="22" t="str">
        <f>IF(ISERROR(VLOOKUP(Q12,vylosovanie!$A$8:$J$68,6,0))=TRUE,"",VLOOKUP(Q12,vylosovanie!$A$8:$J$68,6,0))</f>
        <v>GORFOLOVÁ Viktória</v>
      </c>
      <c r="F12" s="22" t="s">
        <v>39</v>
      </c>
      <c r="G12" s="22" t="s">
        <v>42</v>
      </c>
      <c r="H12" s="28" t="s">
        <v>20</v>
      </c>
      <c r="I12" s="28" t="s">
        <v>383</v>
      </c>
      <c r="J12" s="422" t="s">
        <v>69</v>
      </c>
      <c r="K12" s="23">
        <v>7</v>
      </c>
      <c r="L12" s="21"/>
      <c r="P12" s="38" t="str">
        <f t="shared" si="1"/>
        <v>D71</v>
      </c>
      <c r="Q12" s="38" t="str">
        <f t="shared" si="2"/>
        <v>D73</v>
      </c>
      <c r="S12" s="37" t="s">
        <v>42</v>
      </c>
      <c r="T12" s="37">
        <v>7</v>
      </c>
    </row>
    <row r="13" spans="1:20" s="20" customFormat="1" ht="36">
      <c r="A13" s="84" t="str">
        <f t="shared" si="0"/>
        <v>DH1-3</v>
      </c>
      <c r="B13" s="85"/>
      <c r="C13" s="22">
        <v>8</v>
      </c>
      <c r="D13" s="22" t="str">
        <f>IF(ISERROR(VLOOKUP(P13,vylosovanie!$A$8:$J$68,6,0))=TRUE,"",VLOOKUP(P13,vylosovanie!$A$8:$J$68,6,0))</f>
        <v>TEREZKOVÁ Jana</v>
      </c>
      <c r="E13" s="22" t="str">
        <f>IF(ISERROR(VLOOKUP(Q13,vylosovanie!$A$8:$J$68,6,0))=TRUE,"",VLOOKUP(Q13,vylosovanie!$A$8:$J$68,6,0))</f>
        <v>PISARČIKOVÁ Frederika</v>
      </c>
      <c r="F13" s="22" t="s">
        <v>39</v>
      </c>
      <c r="G13" s="22" t="s">
        <v>43</v>
      </c>
      <c r="H13" s="28" t="s">
        <v>20</v>
      </c>
      <c r="I13" s="28" t="s">
        <v>383</v>
      </c>
      <c r="J13" s="422" t="s">
        <v>69</v>
      </c>
      <c r="K13" s="23">
        <v>8</v>
      </c>
      <c r="L13" s="21"/>
      <c r="P13" s="38" t="str">
        <f t="shared" si="1"/>
        <v>D81</v>
      </c>
      <c r="Q13" s="38" t="str">
        <f t="shared" si="2"/>
        <v>D83</v>
      </c>
      <c r="S13" s="37" t="s">
        <v>43</v>
      </c>
      <c r="T13" s="37">
        <v>8</v>
      </c>
    </row>
    <row r="14" spans="1:20" s="20" customFormat="1" ht="36">
      <c r="A14" s="84" t="str">
        <f t="shared" si="0"/>
        <v>CHA1-3</v>
      </c>
      <c r="B14" s="85"/>
      <c r="C14" s="22">
        <v>9</v>
      </c>
      <c r="D14" s="22" t="str">
        <f>IF(ISERROR(VLOOKUP(P14,vylosovanie!$A$8:$J$68,6,0))=TRUE,"",VLOOKUP(P14,vylosovanie!$A$8:$J$68,6,0))</f>
        <v>DIKO Dalibor</v>
      </c>
      <c r="E14" s="22" t="str">
        <f>IF(ISERROR(VLOOKUP(Q14,vylosovanie!$A$8:$J$68,6,0))=TRUE,"",VLOOKUP(Q14,vylosovanie!$A$8:$J$68,6,0))</f>
        <v>MIKLUŠČÁK Benjamín</v>
      </c>
      <c r="F14" s="22" t="s">
        <v>65</v>
      </c>
      <c r="G14" s="22" t="s">
        <v>12</v>
      </c>
      <c r="H14" s="28" t="s">
        <v>20</v>
      </c>
      <c r="I14" s="28" t="s">
        <v>383</v>
      </c>
      <c r="J14" s="424" t="s">
        <v>646</v>
      </c>
      <c r="K14" s="23">
        <v>1</v>
      </c>
      <c r="L14" s="21"/>
      <c r="P14" s="38" t="str">
        <f t="shared" si="1"/>
        <v>CH11</v>
      </c>
      <c r="Q14" s="38" t="str">
        <f t="shared" si="2"/>
        <v>CH13</v>
      </c>
    </row>
    <row r="15" spans="1:20" s="20" customFormat="1" ht="36">
      <c r="A15" s="84" t="str">
        <f t="shared" si="0"/>
        <v>CHA2-4</v>
      </c>
      <c r="B15" s="85"/>
      <c r="C15" s="22">
        <v>10</v>
      </c>
      <c r="D15" s="22" t="str">
        <f>IF(ISERROR(VLOOKUP(P15,vylosovanie!$A$8:$J$68,6,0))=TRUE,"",VLOOKUP(P15,vylosovanie!$A$8:$J$68,6,0))</f>
        <v>IVANČO Félix</v>
      </c>
      <c r="E15" s="22" t="str">
        <f>IF(ISERROR(VLOOKUP(Q15,vylosovanie!$A$8:$J$68,6,0))=TRUE,"",VLOOKUP(Q15,vylosovanie!$A$8:$J$68,6,0))</f>
        <v>MARUNIAK Martin</v>
      </c>
      <c r="F15" s="22" t="s">
        <v>65</v>
      </c>
      <c r="G15" s="22" t="s">
        <v>12</v>
      </c>
      <c r="H15" s="28" t="s">
        <v>21</v>
      </c>
      <c r="I15" s="28" t="s">
        <v>383</v>
      </c>
      <c r="J15" s="424" t="s">
        <v>646</v>
      </c>
      <c r="K15" s="23">
        <v>2</v>
      </c>
      <c r="L15" s="21"/>
      <c r="P15" s="38" t="str">
        <f t="shared" si="1"/>
        <v>CH12</v>
      </c>
      <c r="Q15" s="38" t="str">
        <f t="shared" si="2"/>
        <v>CH14</v>
      </c>
    </row>
    <row r="16" spans="1:20" s="20" customFormat="1" ht="36">
      <c r="A16" s="84" t="str">
        <f t="shared" si="0"/>
        <v>CHB1-3</v>
      </c>
      <c r="B16" s="85"/>
      <c r="C16" s="22">
        <v>11</v>
      </c>
      <c r="D16" s="22" t="str">
        <f>IF(ISERROR(VLOOKUP(P16,vylosovanie!$A$8:$J$68,6,0))=TRUE,"",VLOOKUP(P16,vylosovanie!$A$8:$J$68,6,0))</f>
        <v>KYSEL Martin</v>
      </c>
      <c r="E16" s="22" t="str">
        <f>IF(ISERROR(VLOOKUP(Q16,vylosovanie!$A$8:$J$68,6,0))=TRUE,"",VLOOKUP(Q16,vylosovanie!$A$8:$J$68,6,0))</f>
        <v>KAPUSTA Martin</v>
      </c>
      <c r="F16" s="22" t="s">
        <v>65</v>
      </c>
      <c r="G16" s="22" t="s">
        <v>18</v>
      </c>
      <c r="H16" s="28" t="s">
        <v>20</v>
      </c>
      <c r="I16" s="28" t="s">
        <v>383</v>
      </c>
      <c r="J16" s="424" t="s">
        <v>646</v>
      </c>
      <c r="K16" s="23">
        <v>3</v>
      </c>
      <c r="L16" s="21"/>
      <c r="P16" s="38" t="str">
        <f t="shared" si="1"/>
        <v>CH21</v>
      </c>
      <c r="Q16" s="38" t="str">
        <f t="shared" si="2"/>
        <v>CH23</v>
      </c>
    </row>
    <row r="17" spans="1:17" s="20" customFormat="1" ht="36">
      <c r="A17" s="84" t="str">
        <f t="shared" si="0"/>
        <v>CHB2-4</v>
      </c>
      <c r="B17" s="85"/>
      <c r="C17" s="22">
        <v>12</v>
      </c>
      <c r="D17" s="22" t="str">
        <f>IF(ISERROR(VLOOKUP(P17,vylosovanie!$A$8:$J$68,6,0))=TRUE,"",VLOOKUP(P17,vylosovanie!$A$8:$J$68,6,0))</f>
        <v>SUCHA Tomáš</v>
      </c>
      <c r="E17" s="22" t="str">
        <f>IF(ISERROR(VLOOKUP(Q17,vylosovanie!$A$8:$J$68,6,0))=TRUE,"",VLOOKUP(Q17,vylosovanie!$A$8:$J$68,6,0))</f>
        <v>ZAJAC Jakub</v>
      </c>
      <c r="F17" s="22" t="s">
        <v>65</v>
      </c>
      <c r="G17" s="22" t="s">
        <v>18</v>
      </c>
      <c r="H17" s="28" t="s">
        <v>21</v>
      </c>
      <c r="I17" s="28" t="s">
        <v>383</v>
      </c>
      <c r="J17" s="424" t="s">
        <v>646</v>
      </c>
      <c r="K17" s="23">
        <v>4</v>
      </c>
      <c r="L17" s="21"/>
      <c r="P17" s="38" t="str">
        <f t="shared" si="1"/>
        <v>CH22</v>
      </c>
      <c r="Q17" s="38" t="str">
        <f t="shared" si="2"/>
        <v>CH24</v>
      </c>
    </row>
    <row r="18" spans="1:17" s="20" customFormat="1" ht="36">
      <c r="A18" s="84" t="str">
        <f t="shared" si="0"/>
        <v>CHC1-3</v>
      </c>
      <c r="B18" s="85"/>
      <c r="C18" s="22">
        <v>13</v>
      </c>
      <c r="D18" s="22" t="str">
        <f>IF(ISERROR(VLOOKUP(P18,vylosovanie!$A$8:$J$68,6,0))=TRUE,"",VLOOKUP(P18,vylosovanie!$A$8:$J$68,6,0))</f>
        <v>FEČO Samuel</v>
      </c>
      <c r="E18" s="22" t="str">
        <f>IF(ISERROR(VLOOKUP(Q18,vylosovanie!$A$8:$J$68,6,0))=TRUE,"",VLOOKUP(Q18,vylosovanie!$A$8:$J$68,6,0))</f>
        <v>FREUND Andrej</v>
      </c>
      <c r="F18" s="22" t="s">
        <v>65</v>
      </c>
      <c r="G18" s="22" t="s">
        <v>38</v>
      </c>
      <c r="H18" s="28" t="s">
        <v>20</v>
      </c>
      <c r="I18" s="28" t="s">
        <v>383</v>
      </c>
      <c r="J18" s="424" t="s">
        <v>646</v>
      </c>
      <c r="K18" s="23">
        <v>5</v>
      </c>
      <c r="L18" s="21"/>
      <c r="P18" s="38" t="str">
        <f t="shared" si="1"/>
        <v>CH31</v>
      </c>
      <c r="Q18" s="38" t="str">
        <f t="shared" si="2"/>
        <v>CH33</v>
      </c>
    </row>
    <row r="19" spans="1:17" s="20" customFormat="1" ht="36">
      <c r="A19" s="84" t="str">
        <f t="shared" si="0"/>
        <v>CHC2-4</v>
      </c>
      <c r="B19" s="85"/>
      <c r="C19" s="22">
        <v>14</v>
      </c>
      <c r="D19" s="22" t="str">
        <f>IF(ISERROR(VLOOKUP(P19,vylosovanie!$A$8:$J$68,6,0))=TRUE,"",VLOOKUP(P19,vylosovanie!$A$8:$J$68,6,0))</f>
        <v>KLAJBER Adam</v>
      </c>
      <c r="E19" s="22" t="str">
        <f>IF(ISERROR(VLOOKUP(Q19,vylosovanie!$A$8:$J$68,6,0))=TRUE,"",VLOOKUP(Q19,vylosovanie!$A$8:$J$68,6,0))</f>
        <v>KLUČÁR Matej</v>
      </c>
      <c r="F19" s="22" t="s">
        <v>65</v>
      </c>
      <c r="G19" s="22" t="s">
        <v>38</v>
      </c>
      <c r="H19" s="28" t="s">
        <v>21</v>
      </c>
      <c r="I19" s="28" t="s">
        <v>383</v>
      </c>
      <c r="J19" s="424" t="s">
        <v>646</v>
      </c>
      <c r="K19" s="23">
        <v>6</v>
      </c>
      <c r="L19" s="21"/>
      <c r="P19" s="38" t="str">
        <f t="shared" si="1"/>
        <v>CH32</v>
      </c>
      <c r="Q19" s="38" t="str">
        <f t="shared" si="2"/>
        <v>CH34</v>
      </c>
    </row>
    <row r="20" spans="1:17" s="20" customFormat="1" ht="36">
      <c r="A20" s="84" t="str">
        <f t="shared" si="0"/>
        <v>CHD1-3</v>
      </c>
      <c r="B20" s="85"/>
      <c r="C20" s="22">
        <v>15</v>
      </c>
      <c r="D20" s="22" t="str">
        <f>IF(ISERROR(VLOOKUP(P20,vylosovanie!$A$8:$J$68,6,0))=TRUE,"",VLOOKUP(P20,vylosovanie!$A$8:$J$68,6,0))</f>
        <v>PINDURA Tobiáš</v>
      </c>
      <c r="E20" s="22" t="str">
        <f>IF(ISERROR(VLOOKUP(Q20,vylosovanie!$A$8:$J$68,6,0))=TRUE,"",VLOOKUP(Q20,vylosovanie!$A$8:$J$68,6,0))</f>
        <v>DELINČAK Filip</v>
      </c>
      <c r="F20" s="22" t="s">
        <v>65</v>
      </c>
      <c r="G20" s="22" t="s">
        <v>39</v>
      </c>
      <c r="H20" s="28" t="s">
        <v>20</v>
      </c>
      <c r="I20" s="28" t="s">
        <v>383</v>
      </c>
      <c r="J20" s="424" t="s">
        <v>646</v>
      </c>
      <c r="K20" s="23">
        <v>7</v>
      </c>
      <c r="L20" s="21"/>
      <c r="P20" s="38" t="str">
        <f t="shared" si="1"/>
        <v>CH41</v>
      </c>
      <c r="Q20" s="38" t="str">
        <f t="shared" si="2"/>
        <v>CH43</v>
      </c>
    </row>
    <row r="21" spans="1:17" s="20" customFormat="1" ht="36">
      <c r="A21" s="84" t="str">
        <f t="shared" si="0"/>
        <v>CHD2-4</v>
      </c>
      <c r="B21" s="85"/>
      <c r="C21" s="22">
        <v>16</v>
      </c>
      <c r="D21" s="22" t="str">
        <f>IF(ISERROR(VLOOKUP(P21,vylosovanie!$A$8:$J$68,6,0))=TRUE,"",VLOOKUP(P21,vylosovanie!$A$8:$J$68,6,0))</f>
        <v>HURKA Rastislav</v>
      </c>
      <c r="E21" s="22" t="str">
        <f>IF(ISERROR(VLOOKUP(Q21,vylosovanie!$A$8:$J$68,6,0))=TRUE,"",VLOOKUP(Q21,vylosovanie!$A$8:$J$68,6,0))</f>
        <v>TRŇAN Jakub</v>
      </c>
      <c r="F21" s="22" t="s">
        <v>65</v>
      </c>
      <c r="G21" s="22" t="s">
        <v>39</v>
      </c>
      <c r="H21" s="28" t="s">
        <v>21</v>
      </c>
      <c r="I21" s="28" t="s">
        <v>383</v>
      </c>
      <c r="J21" s="424" t="s">
        <v>646</v>
      </c>
      <c r="K21" s="23">
        <v>8</v>
      </c>
      <c r="L21" s="21"/>
      <c r="P21" s="38" t="str">
        <f t="shared" si="1"/>
        <v>CH42</v>
      </c>
      <c r="Q21" s="38" t="str">
        <f t="shared" si="2"/>
        <v>CH44</v>
      </c>
    </row>
    <row r="22" spans="1:17" s="20" customFormat="1" ht="36">
      <c r="A22" s="84" t="str">
        <f t="shared" si="0"/>
        <v>CHE1-3</v>
      </c>
      <c r="B22" s="85"/>
      <c r="C22" s="22">
        <v>17</v>
      </c>
      <c r="D22" s="22" t="str">
        <f>IF(ISERROR(VLOOKUP(P22,vylosovanie!$A$8:$J$68,6,0))=TRUE,"",VLOOKUP(P22,vylosovanie!$A$8:$J$68,6,0))</f>
        <v>PETRÍK Filip</v>
      </c>
      <c r="E22" s="22" t="str">
        <f>IF(ISERROR(VLOOKUP(Q22,vylosovanie!$A$8:$J$68,6,0))=TRUE,"",VLOOKUP(Q22,vylosovanie!$A$8:$J$68,6,0))</f>
        <v>VICO Dávid</v>
      </c>
      <c r="F22" s="22" t="s">
        <v>65</v>
      </c>
      <c r="G22" s="22" t="s">
        <v>40</v>
      </c>
      <c r="H22" s="28" t="s">
        <v>20</v>
      </c>
      <c r="I22" s="28" t="s">
        <v>383</v>
      </c>
      <c r="J22" s="422" t="s">
        <v>71</v>
      </c>
      <c r="K22" s="23">
        <v>1</v>
      </c>
      <c r="L22" s="21"/>
      <c r="P22" s="38" t="str">
        <f t="shared" si="1"/>
        <v>CH51</v>
      </c>
      <c r="Q22" s="38" t="str">
        <f t="shared" si="2"/>
        <v>CH53</v>
      </c>
    </row>
    <row r="23" spans="1:17" s="20" customFormat="1" ht="36">
      <c r="A23" s="84" t="str">
        <f t="shared" si="0"/>
        <v>CHE2-4</v>
      </c>
      <c r="B23" s="85"/>
      <c r="C23" s="22">
        <v>18</v>
      </c>
      <c r="D23" s="22" t="str">
        <f>IF(ISERROR(VLOOKUP(P23,vylosovanie!$A$8:$J$68,6,0))=TRUE,"",VLOOKUP(P23,vylosovanie!$A$8:$J$68,6,0))</f>
        <v>ĎANOVSKÝ Martin</v>
      </c>
      <c r="E23" s="22" t="str">
        <f>IF(ISERROR(VLOOKUP(Q23,vylosovanie!$A$8:$J$68,6,0))=TRUE,"",VLOOKUP(Q23,vylosovanie!$A$8:$J$68,6,0))</f>
        <v>MACKO Miroslav</v>
      </c>
      <c r="F23" s="22" t="s">
        <v>65</v>
      </c>
      <c r="G23" s="22" t="s">
        <v>40</v>
      </c>
      <c r="H23" s="28" t="s">
        <v>21</v>
      </c>
      <c r="I23" s="28" t="s">
        <v>383</v>
      </c>
      <c r="J23" s="422" t="s">
        <v>71</v>
      </c>
      <c r="K23" s="23">
        <v>2</v>
      </c>
      <c r="L23" s="21"/>
      <c r="P23" s="38" t="str">
        <f t="shared" si="1"/>
        <v>CH52</v>
      </c>
      <c r="Q23" s="38" t="str">
        <f t="shared" si="2"/>
        <v>CH54</v>
      </c>
    </row>
    <row r="24" spans="1:17" s="20" customFormat="1" ht="36">
      <c r="A24" s="84" t="str">
        <f t="shared" si="0"/>
        <v>CHF1-3</v>
      </c>
      <c r="B24" s="85"/>
      <c r="C24" s="22">
        <v>19</v>
      </c>
      <c r="D24" s="22" t="str">
        <f>IF(ISERROR(VLOOKUP(P24,vylosovanie!$A$8:$J$68,6,0))=TRUE,"",VLOOKUP(P24,vylosovanie!$A$8:$J$68,6,0))</f>
        <v>CYPRICH Samuel</v>
      </c>
      <c r="E24" s="22" t="str">
        <f>IF(ISERROR(VLOOKUP(Q24,vylosovanie!$A$8:$J$68,6,0))=TRUE,"",VLOOKUP(Q24,vylosovanie!$A$8:$J$68,6,0))</f>
        <v>PACH Kamil</v>
      </c>
      <c r="F24" s="22" t="s">
        <v>65</v>
      </c>
      <c r="G24" s="22" t="s">
        <v>41</v>
      </c>
      <c r="H24" s="28" t="s">
        <v>20</v>
      </c>
      <c r="I24" s="28" t="s">
        <v>383</v>
      </c>
      <c r="J24" s="422" t="s">
        <v>71</v>
      </c>
      <c r="K24" s="23">
        <v>3</v>
      </c>
      <c r="L24" s="21"/>
      <c r="P24" s="38" t="str">
        <f t="shared" si="1"/>
        <v>CH61</v>
      </c>
      <c r="Q24" s="38" t="str">
        <f t="shared" si="2"/>
        <v>CH63</v>
      </c>
    </row>
    <row r="25" spans="1:17" s="20" customFormat="1" ht="36">
      <c r="A25" s="84" t="str">
        <f t="shared" si="0"/>
        <v>CHF2-4</v>
      </c>
      <c r="B25" s="85"/>
      <c r="C25" s="22">
        <v>20</v>
      </c>
      <c r="D25" s="22" t="str">
        <f>IF(ISERROR(VLOOKUP(P25,vylosovanie!$A$8:$J$68,6,0))=TRUE,"",VLOOKUP(P25,vylosovanie!$A$8:$J$68,6,0))</f>
        <v>MILAN Martin</v>
      </c>
      <c r="E25" s="22" t="str">
        <f>IF(ISERROR(VLOOKUP(Q25,vylosovanie!$A$8:$J$68,6,0))=TRUE,"",VLOOKUP(Q25,vylosovanie!$A$8:$J$68,6,0))</f>
        <v>KALINKA Timotej</v>
      </c>
      <c r="F25" s="22" t="s">
        <v>65</v>
      </c>
      <c r="G25" s="22" t="s">
        <v>41</v>
      </c>
      <c r="H25" s="28" t="s">
        <v>21</v>
      </c>
      <c r="I25" s="28" t="s">
        <v>383</v>
      </c>
      <c r="J25" s="422" t="s">
        <v>71</v>
      </c>
      <c r="K25" s="23">
        <v>4</v>
      </c>
      <c r="L25" s="21"/>
      <c r="P25" s="38" t="str">
        <f t="shared" si="1"/>
        <v>CH62</v>
      </c>
      <c r="Q25" s="38" t="str">
        <f t="shared" si="2"/>
        <v>CH64</v>
      </c>
    </row>
    <row r="26" spans="1:17" s="20" customFormat="1" ht="36">
      <c r="A26" s="84" t="str">
        <f t="shared" si="0"/>
        <v>CHG1-3</v>
      </c>
      <c r="B26" s="85"/>
      <c r="C26" s="22">
        <v>21</v>
      </c>
      <c r="D26" s="22" t="str">
        <f>IF(ISERROR(VLOOKUP(P26,vylosovanie!$A$8:$J$68,6,0))=TRUE,"",VLOOKUP(P26,vylosovanie!$A$8:$J$68,6,0))</f>
        <v>TUREK Teodor</v>
      </c>
      <c r="E26" s="22" t="str">
        <f>IF(ISERROR(VLOOKUP(Q26,vylosovanie!$A$8:$J$68,6,0))=TRUE,"",VLOOKUP(Q26,vylosovanie!$A$8:$J$68,6,0))</f>
        <v>FEČO Michal</v>
      </c>
      <c r="F26" s="22" t="s">
        <v>65</v>
      </c>
      <c r="G26" s="22" t="s">
        <v>42</v>
      </c>
      <c r="H26" s="28" t="s">
        <v>20</v>
      </c>
      <c r="I26" s="28" t="s">
        <v>383</v>
      </c>
      <c r="J26" s="422" t="s">
        <v>71</v>
      </c>
      <c r="K26" s="23">
        <v>5</v>
      </c>
      <c r="L26" s="21"/>
      <c r="P26" s="38" t="str">
        <f t="shared" si="1"/>
        <v>CH71</v>
      </c>
      <c r="Q26" s="38" t="str">
        <f t="shared" si="2"/>
        <v>CH73</v>
      </c>
    </row>
    <row r="27" spans="1:17" s="20" customFormat="1" ht="36">
      <c r="A27" s="84" t="str">
        <f t="shared" si="0"/>
        <v>CHG2-4</v>
      </c>
      <c r="B27" s="85"/>
      <c r="C27" s="22">
        <v>22</v>
      </c>
      <c r="D27" s="22" t="str">
        <f>IF(ISERROR(VLOOKUP(P27,vylosovanie!$A$8:$J$68,6,0))=TRUE,"",VLOOKUP(P27,vylosovanie!$A$8:$J$68,6,0))</f>
        <v>JALOVECKÝ Marek</v>
      </c>
      <c r="E27" s="22" t="str">
        <f>IF(ISERROR(VLOOKUP(Q27,vylosovanie!$A$8:$J$68,6,0))=TRUE,"",VLOOKUP(Q27,vylosovanie!$A$8:$J$68,6,0))</f>
        <v>GREGOR Jakub</v>
      </c>
      <c r="F27" s="22" t="s">
        <v>65</v>
      </c>
      <c r="G27" s="22" t="s">
        <v>42</v>
      </c>
      <c r="H27" s="28" t="s">
        <v>21</v>
      </c>
      <c r="I27" s="28" t="s">
        <v>383</v>
      </c>
      <c r="J27" s="422" t="s">
        <v>71</v>
      </c>
      <c r="K27" s="23">
        <v>6</v>
      </c>
      <c r="L27" s="21"/>
      <c r="P27" s="38" t="str">
        <f t="shared" si="1"/>
        <v>CH72</v>
      </c>
      <c r="Q27" s="38" t="str">
        <f t="shared" si="2"/>
        <v>CH74</v>
      </c>
    </row>
    <row r="28" spans="1:17" s="20" customFormat="1" ht="36">
      <c r="A28" s="84" t="str">
        <f t="shared" si="0"/>
        <v>CHH1-3</v>
      </c>
      <c r="B28" s="85"/>
      <c r="C28" s="22">
        <v>23</v>
      </c>
      <c r="D28" s="22" t="str">
        <f>IF(ISERROR(VLOOKUP(P28,vylosovanie!$A$8:$J$68,6,0))=TRUE,"",VLOOKUP(P28,vylosovanie!$A$8:$J$68,6,0))</f>
        <v>PAPÁNEK Martin</v>
      </c>
      <c r="E28" s="22" t="str">
        <f>IF(ISERROR(VLOOKUP(Q28,vylosovanie!$A$8:$J$68,6,0))=TRUE,"",VLOOKUP(Q28,vylosovanie!$A$8:$J$68,6,0))</f>
        <v>MAKÚCH Damian</v>
      </c>
      <c r="F28" s="22" t="s">
        <v>65</v>
      </c>
      <c r="G28" s="22" t="s">
        <v>43</v>
      </c>
      <c r="H28" s="28" t="s">
        <v>20</v>
      </c>
      <c r="I28" s="28" t="s">
        <v>383</v>
      </c>
      <c r="J28" s="422" t="s">
        <v>71</v>
      </c>
      <c r="K28" s="23">
        <v>7</v>
      </c>
      <c r="L28" s="21"/>
      <c r="P28" s="38" t="str">
        <f t="shared" si="1"/>
        <v>CH81</v>
      </c>
      <c r="Q28" s="38" t="str">
        <f t="shared" si="2"/>
        <v>CH83</v>
      </c>
    </row>
    <row r="29" spans="1:17" s="20" customFormat="1" ht="36">
      <c r="A29" s="84" t="str">
        <f t="shared" si="0"/>
        <v>CHH2-4</v>
      </c>
      <c r="B29" s="85"/>
      <c r="C29" s="22">
        <v>24</v>
      </c>
      <c r="D29" s="22" t="str">
        <f>IF(ISERROR(VLOOKUP(P29,vylosovanie!$A$8:$J$68,6,0))=TRUE,"",VLOOKUP(P29,vylosovanie!$A$8:$J$68,6,0))</f>
        <v>FUSEK Patrik</v>
      </c>
      <c r="E29" s="22" t="str">
        <f>IF(ISERROR(VLOOKUP(Q29,vylosovanie!$A$8:$J$68,6,0))=TRUE,"",VLOOKUP(Q29,vylosovanie!$A$8:$J$68,6,0))</f>
        <v>TRUBÁČIK Tomáš</v>
      </c>
      <c r="F29" s="22" t="s">
        <v>65</v>
      </c>
      <c r="G29" s="22" t="s">
        <v>43</v>
      </c>
      <c r="H29" s="28" t="s">
        <v>21</v>
      </c>
      <c r="I29" s="28" t="s">
        <v>383</v>
      </c>
      <c r="J29" s="422" t="s">
        <v>71</v>
      </c>
      <c r="K29" s="23">
        <v>8</v>
      </c>
      <c r="L29" s="21"/>
      <c r="P29" s="38" t="str">
        <f t="shared" si="1"/>
        <v>CH82</v>
      </c>
      <c r="Q29" s="38" t="str">
        <f t="shared" si="2"/>
        <v>CH84</v>
      </c>
    </row>
    <row r="30" spans="1:17" s="20" customFormat="1" ht="36">
      <c r="A30" s="84" t="str">
        <f t="shared" si="0"/>
        <v>DA1-2</v>
      </c>
      <c r="B30" s="85"/>
      <c r="C30" s="22">
        <v>25</v>
      </c>
      <c r="D30" s="22" t="str">
        <f>IF(ISERROR(VLOOKUP(P30,vylosovanie!$A$8:$J$68,6,0))=TRUE,"",VLOOKUP(P30,vylosovanie!$A$8:$J$68,6,0))</f>
        <v>LABOŠOVÁ Ema</v>
      </c>
      <c r="E30" s="22" t="str">
        <f>IF(ISERROR(VLOOKUP(Q30,vylosovanie!$A$8:$J$68,6,0))=TRUE,"",VLOOKUP(Q30,vylosovanie!$A$8:$J$68,6,0))</f>
        <v>CHYLOVÁ Sabína</v>
      </c>
      <c r="F30" s="22" t="s">
        <v>39</v>
      </c>
      <c r="G30" s="22" t="s">
        <v>12</v>
      </c>
      <c r="H30" s="28" t="s">
        <v>22</v>
      </c>
      <c r="I30" s="28" t="s">
        <v>383</v>
      </c>
      <c r="J30" s="424" t="s">
        <v>72</v>
      </c>
      <c r="K30" s="23">
        <v>1</v>
      </c>
      <c r="L30" s="21"/>
      <c r="P30" s="38" t="str">
        <f t="shared" si="1"/>
        <v>D11</v>
      </c>
      <c r="Q30" s="38" t="str">
        <f t="shared" si="2"/>
        <v>D12</v>
      </c>
    </row>
    <row r="31" spans="1:17" s="20" customFormat="1" ht="36">
      <c r="A31" s="84" t="str">
        <f t="shared" si="0"/>
        <v>DB1-2</v>
      </c>
      <c r="B31" s="85"/>
      <c r="C31" s="22">
        <v>26</v>
      </c>
      <c r="D31" s="22" t="str">
        <f>IF(ISERROR(VLOOKUP(P31,vylosovanie!$A$8:$J$68,6,0))=TRUE,"",VLOOKUP(P31,vylosovanie!$A$8:$J$68,6,0))</f>
        <v>PEKOVÁ Zuzana</v>
      </c>
      <c r="E31" s="22" t="str">
        <f>IF(ISERROR(VLOOKUP(Q31,vylosovanie!$A$8:$J$68,6,0))=TRUE,"",VLOOKUP(Q31,vylosovanie!$A$8:$J$68,6,0))</f>
        <v>MIKULOVÁ Terézia</v>
      </c>
      <c r="F31" s="22" t="s">
        <v>39</v>
      </c>
      <c r="G31" s="22" t="s">
        <v>18</v>
      </c>
      <c r="H31" s="28" t="s">
        <v>22</v>
      </c>
      <c r="I31" s="28" t="s">
        <v>383</v>
      </c>
      <c r="J31" s="424" t="s">
        <v>72</v>
      </c>
      <c r="K31" s="23">
        <v>2</v>
      </c>
      <c r="L31" s="21"/>
      <c r="P31" s="38" t="str">
        <f t="shared" si="1"/>
        <v>D21</v>
      </c>
      <c r="Q31" s="38" t="str">
        <f t="shared" si="2"/>
        <v>D22</v>
      </c>
    </row>
    <row r="32" spans="1:17" s="20" customFormat="1" ht="36">
      <c r="A32" s="84" t="str">
        <f t="shared" si="0"/>
        <v>DC1-2</v>
      </c>
      <c r="B32" s="85"/>
      <c r="C32" s="22">
        <v>27</v>
      </c>
      <c r="D32" s="22" t="str">
        <f>IF(ISERROR(VLOOKUP(P32,vylosovanie!$A$8:$J$68,6,0))=TRUE,"",VLOOKUP(P32,vylosovanie!$A$8:$J$68,6,0))</f>
        <v>ŠINKAROVÁ Dáša</v>
      </c>
      <c r="E32" s="22" t="str">
        <f>IF(ISERROR(VLOOKUP(Q32,vylosovanie!$A$8:$J$68,6,0))=TRUE,"",VLOOKUP(Q32,vylosovanie!$A$8:$J$68,6,0))</f>
        <v>DZUROVÁ Lenka</v>
      </c>
      <c r="F32" s="22" t="s">
        <v>39</v>
      </c>
      <c r="G32" s="22" t="s">
        <v>38</v>
      </c>
      <c r="H32" s="28" t="s">
        <v>22</v>
      </c>
      <c r="I32" s="28" t="s">
        <v>383</v>
      </c>
      <c r="J32" s="424" t="s">
        <v>72</v>
      </c>
      <c r="K32" s="23">
        <v>3</v>
      </c>
      <c r="L32" s="21"/>
      <c r="P32" s="38" t="str">
        <f t="shared" si="1"/>
        <v>D31</v>
      </c>
      <c r="Q32" s="38" t="str">
        <f t="shared" si="2"/>
        <v>D32</v>
      </c>
    </row>
    <row r="33" spans="1:17" s="20" customFormat="1" ht="36">
      <c r="A33" s="84" t="str">
        <f t="shared" si="0"/>
        <v>DD1-2</v>
      </c>
      <c r="B33" s="85"/>
      <c r="C33" s="22">
        <v>28</v>
      </c>
      <c r="D33" s="22" t="str">
        <f>IF(ISERROR(VLOOKUP(P33,vylosovanie!$A$8:$J$68,6,0))=TRUE,"",VLOOKUP(P33,vylosovanie!$A$8:$J$68,6,0))</f>
        <v>DZELINSKA Júlia</v>
      </c>
      <c r="E33" s="22" t="str">
        <f>IF(ISERROR(VLOOKUP(Q33,vylosovanie!$A$8:$J$68,6,0))=TRUE,"",VLOOKUP(Q33,vylosovanie!$A$8:$J$68,6,0))</f>
        <v>GAŠPARÍKOVÁ Lucia</v>
      </c>
      <c r="F33" s="22" t="s">
        <v>39</v>
      </c>
      <c r="G33" s="22" t="s">
        <v>39</v>
      </c>
      <c r="H33" s="28" t="s">
        <v>22</v>
      </c>
      <c r="I33" s="28" t="s">
        <v>383</v>
      </c>
      <c r="J33" s="424" t="s">
        <v>72</v>
      </c>
      <c r="K33" s="23">
        <v>4</v>
      </c>
      <c r="L33" s="21"/>
      <c r="P33" s="38" t="str">
        <f t="shared" si="1"/>
        <v>D41</v>
      </c>
      <c r="Q33" s="38" t="str">
        <f t="shared" si="2"/>
        <v>D42</v>
      </c>
    </row>
    <row r="34" spans="1:17" s="20" customFormat="1" ht="36">
      <c r="A34" s="84" t="str">
        <f t="shared" si="0"/>
        <v>DE1-2</v>
      </c>
      <c r="B34" s="85"/>
      <c r="C34" s="22">
        <v>29</v>
      </c>
      <c r="D34" s="22" t="str">
        <f>IF(ISERROR(VLOOKUP(P34,vylosovanie!$A$8:$J$68,6,0))=TRUE,"",VLOOKUP(P34,vylosovanie!$A$8:$J$68,6,0))</f>
        <v>DIVINSKÁ Natália</v>
      </c>
      <c r="E34" s="22" t="str">
        <f>IF(ISERROR(VLOOKUP(Q34,vylosovanie!$A$8:$J$68,6,0))=TRUE,"",VLOOKUP(Q34,vylosovanie!$A$8:$J$68,6,0))</f>
        <v>SLOBODNÍKOVÁ Hana</v>
      </c>
      <c r="F34" s="22" t="s">
        <v>39</v>
      </c>
      <c r="G34" s="22" t="s">
        <v>40</v>
      </c>
      <c r="H34" s="28" t="s">
        <v>22</v>
      </c>
      <c r="I34" s="28" t="s">
        <v>383</v>
      </c>
      <c r="J34" s="424" t="s">
        <v>72</v>
      </c>
      <c r="K34" s="23">
        <v>5</v>
      </c>
      <c r="L34" s="21"/>
      <c r="P34" s="38" t="str">
        <f t="shared" si="1"/>
        <v>D51</v>
      </c>
      <c r="Q34" s="38" t="str">
        <f t="shared" si="2"/>
        <v>D52</v>
      </c>
    </row>
    <row r="35" spans="1:17" s="20" customFormat="1" ht="36">
      <c r="A35" s="84" t="str">
        <f t="shared" si="0"/>
        <v>DF1-2</v>
      </c>
      <c r="B35" s="85"/>
      <c r="C35" s="22">
        <v>30</v>
      </c>
      <c r="D35" s="22" t="str">
        <f>IF(ISERROR(VLOOKUP(P35,vylosovanie!$A$8:$J$68,6,0))=TRUE,"",VLOOKUP(P35,vylosovanie!$A$8:$J$68,6,0))</f>
        <v>ŠVAJDLENKOVÁ Laura</v>
      </c>
      <c r="E35" s="22" t="str">
        <f>IF(ISERROR(VLOOKUP(Q35,vylosovanie!$A$8:$J$68,6,0))=TRUE,"",VLOOKUP(Q35,vylosovanie!$A$8:$J$68,6,0))</f>
        <v>PAPCUNOVÁ Viktória</v>
      </c>
      <c r="F35" s="22" t="s">
        <v>39</v>
      </c>
      <c r="G35" s="22" t="s">
        <v>41</v>
      </c>
      <c r="H35" s="28" t="s">
        <v>22</v>
      </c>
      <c r="I35" s="28" t="s">
        <v>383</v>
      </c>
      <c r="J35" s="424" t="s">
        <v>72</v>
      </c>
      <c r="K35" s="23">
        <v>6</v>
      </c>
      <c r="L35" s="21"/>
      <c r="P35" s="38" t="str">
        <f t="shared" si="1"/>
        <v>D61</v>
      </c>
      <c r="Q35" s="38" t="str">
        <f t="shared" si="2"/>
        <v>D62</v>
      </c>
    </row>
    <row r="36" spans="1:17" s="20" customFormat="1" ht="36">
      <c r="A36" s="84" t="str">
        <f t="shared" si="0"/>
        <v>DG1-2</v>
      </c>
      <c r="B36" s="85"/>
      <c r="C36" s="22">
        <v>31</v>
      </c>
      <c r="D36" s="22" t="str">
        <f>IF(ISERROR(VLOOKUP(P36,vylosovanie!$A$8:$J$68,6,0))=TRUE,"",VLOOKUP(P36,vylosovanie!$A$8:$J$68,6,0))</f>
        <v>MAJERSKÁ Alena</v>
      </c>
      <c r="E36" s="22" t="str">
        <f>IF(ISERROR(VLOOKUP(Q36,vylosovanie!$A$8:$J$68,6,0))=TRUE,"",VLOOKUP(Q36,vylosovanie!$A$8:$J$68,6,0))</f>
        <v>VIŠŇOVSKÁ Nina</v>
      </c>
      <c r="F36" s="22" t="s">
        <v>39</v>
      </c>
      <c r="G36" s="22" t="s">
        <v>42</v>
      </c>
      <c r="H36" s="28" t="s">
        <v>22</v>
      </c>
      <c r="I36" s="28" t="s">
        <v>383</v>
      </c>
      <c r="J36" s="424" t="s">
        <v>72</v>
      </c>
      <c r="K36" s="23">
        <v>7</v>
      </c>
      <c r="L36" s="21"/>
      <c r="P36" s="38" t="str">
        <f t="shared" si="1"/>
        <v>D71</v>
      </c>
      <c r="Q36" s="38" t="str">
        <f t="shared" si="2"/>
        <v>D72</v>
      </c>
    </row>
    <row r="37" spans="1:17" s="20" customFormat="1" ht="36">
      <c r="A37" s="84" t="str">
        <f t="shared" si="0"/>
        <v>DH1-2</v>
      </c>
      <c r="B37" s="85"/>
      <c r="C37" s="22">
        <v>32</v>
      </c>
      <c r="D37" s="22" t="str">
        <f>IF(ISERROR(VLOOKUP(P37,vylosovanie!$A$8:$J$68,6,0))=TRUE,"",VLOOKUP(P37,vylosovanie!$A$8:$J$68,6,0))</f>
        <v>TEREZKOVÁ Jana</v>
      </c>
      <c r="E37" s="22" t="str">
        <f>IF(ISERROR(VLOOKUP(Q37,vylosovanie!$A$8:$J$68,6,0))=TRUE,"",VLOOKUP(Q37,vylosovanie!$A$8:$J$68,6,0))</f>
        <v>VOJTASOVA Patrícia</v>
      </c>
      <c r="F37" s="22" t="s">
        <v>39</v>
      </c>
      <c r="G37" s="22" t="s">
        <v>43</v>
      </c>
      <c r="H37" s="28" t="s">
        <v>22</v>
      </c>
      <c r="I37" s="28" t="s">
        <v>383</v>
      </c>
      <c r="J37" s="424" t="s">
        <v>72</v>
      </c>
      <c r="K37" s="23">
        <v>8</v>
      </c>
      <c r="L37" s="21"/>
      <c r="P37" s="38" t="str">
        <f t="shared" si="1"/>
        <v>D81</v>
      </c>
      <c r="Q37" s="38" t="str">
        <f t="shared" si="2"/>
        <v>D82</v>
      </c>
    </row>
    <row r="38" spans="1:17" s="20" customFormat="1" ht="36">
      <c r="A38" s="84" t="str">
        <f t="shared" si="0"/>
        <v>CHA1-2</v>
      </c>
      <c r="B38" s="85"/>
      <c r="C38" s="22">
        <v>33</v>
      </c>
      <c r="D38" s="22" t="str">
        <f>IF(ISERROR(VLOOKUP(P38,vylosovanie!$A$8:$J$68,6,0))=TRUE,"",VLOOKUP(P38,vylosovanie!$A$8:$J$68,6,0))</f>
        <v>DIKO Dalibor</v>
      </c>
      <c r="E38" s="22" t="str">
        <f>IF(ISERROR(VLOOKUP(Q38,vylosovanie!$A$8:$J$68,6,0))=TRUE,"",VLOOKUP(Q38,vylosovanie!$A$8:$J$68,6,0))</f>
        <v>IVANČO Félix</v>
      </c>
      <c r="F38" s="22" t="s">
        <v>65</v>
      </c>
      <c r="G38" s="22" t="s">
        <v>12</v>
      </c>
      <c r="H38" s="28" t="s">
        <v>22</v>
      </c>
      <c r="I38" s="28" t="s">
        <v>383</v>
      </c>
      <c r="J38" s="422" t="s">
        <v>647</v>
      </c>
      <c r="K38" s="23">
        <v>1</v>
      </c>
      <c r="L38" s="21"/>
      <c r="P38" s="38" t="str">
        <f t="shared" si="1"/>
        <v>CH11</v>
      </c>
      <c r="Q38" s="38" t="str">
        <f t="shared" si="2"/>
        <v>CH12</v>
      </c>
    </row>
    <row r="39" spans="1:17" s="20" customFormat="1" ht="36">
      <c r="A39" s="84" t="str">
        <f t="shared" si="0"/>
        <v>CHA3-4</v>
      </c>
      <c r="B39" s="85"/>
      <c r="C39" s="22">
        <v>34</v>
      </c>
      <c r="D39" s="22" t="str">
        <f>IF(ISERROR(VLOOKUP(P39,vylosovanie!$A$8:$J$68,6,0))=TRUE,"",VLOOKUP(P39,vylosovanie!$A$8:$J$68,6,0))</f>
        <v>MIKLUŠČÁK Benjamín</v>
      </c>
      <c r="E39" s="22" t="str">
        <f>IF(ISERROR(VLOOKUP(Q39,vylosovanie!$A$8:$J$68,6,0))=TRUE,"",VLOOKUP(Q39,vylosovanie!$A$8:$J$68,6,0))</f>
        <v>MARUNIAK Martin</v>
      </c>
      <c r="F39" s="22" t="s">
        <v>65</v>
      </c>
      <c r="G39" s="22" t="s">
        <v>12</v>
      </c>
      <c r="H39" s="28" t="s">
        <v>23</v>
      </c>
      <c r="I39" s="28" t="s">
        <v>383</v>
      </c>
      <c r="J39" s="422" t="s">
        <v>647</v>
      </c>
      <c r="K39" s="23">
        <v>2</v>
      </c>
      <c r="L39" s="21"/>
      <c r="P39" s="38" t="str">
        <f t="shared" si="1"/>
        <v>CH13</v>
      </c>
      <c r="Q39" s="38" t="str">
        <f t="shared" si="2"/>
        <v>CH14</v>
      </c>
    </row>
    <row r="40" spans="1:17" s="20" customFormat="1" ht="36">
      <c r="A40" s="84" t="str">
        <f t="shared" si="0"/>
        <v>CHB1-2</v>
      </c>
      <c r="B40" s="85"/>
      <c r="C40" s="22">
        <v>35</v>
      </c>
      <c r="D40" s="22" t="str">
        <f>IF(ISERROR(VLOOKUP(P40,vylosovanie!$A$8:$J$68,6,0))=TRUE,"",VLOOKUP(P40,vylosovanie!$A$8:$J$68,6,0))</f>
        <v>KYSEL Martin</v>
      </c>
      <c r="E40" s="22" t="str">
        <f>IF(ISERROR(VLOOKUP(Q40,vylosovanie!$A$8:$J$68,6,0))=TRUE,"",VLOOKUP(Q40,vylosovanie!$A$8:$J$68,6,0))</f>
        <v>SUCHA Tomáš</v>
      </c>
      <c r="F40" s="22" t="s">
        <v>65</v>
      </c>
      <c r="G40" s="22" t="s">
        <v>18</v>
      </c>
      <c r="H40" s="28" t="s">
        <v>22</v>
      </c>
      <c r="I40" s="28" t="s">
        <v>383</v>
      </c>
      <c r="J40" s="422" t="s">
        <v>647</v>
      </c>
      <c r="K40" s="23">
        <v>3</v>
      </c>
      <c r="L40" s="21"/>
      <c r="P40" s="38" t="str">
        <f t="shared" si="1"/>
        <v>CH21</v>
      </c>
      <c r="Q40" s="38" t="str">
        <f t="shared" si="2"/>
        <v>CH22</v>
      </c>
    </row>
    <row r="41" spans="1:17" s="20" customFormat="1" ht="36">
      <c r="A41" s="84" t="str">
        <f t="shared" si="0"/>
        <v>CHB3-4</v>
      </c>
      <c r="B41" s="85"/>
      <c r="C41" s="22">
        <v>36</v>
      </c>
      <c r="D41" s="22" t="str">
        <f>IF(ISERROR(VLOOKUP(P41,vylosovanie!$A$8:$J$68,6,0))=TRUE,"",VLOOKUP(P41,vylosovanie!$A$8:$J$68,6,0))</f>
        <v>KAPUSTA Martin</v>
      </c>
      <c r="E41" s="22" t="str">
        <f>IF(ISERROR(VLOOKUP(Q41,vylosovanie!$A$8:$J$68,6,0))=TRUE,"",VLOOKUP(Q41,vylosovanie!$A$8:$J$68,6,0))</f>
        <v>ZAJAC Jakub</v>
      </c>
      <c r="F41" s="22" t="s">
        <v>65</v>
      </c>
      <c r="G41" s="22" t="s">
        <v>18</v>
      </c>
      <c r="H41" s="28" t="s">
        <v>23</v>
      </c>
      <c r="I41" s="28" t="s">
        <v>383</v>
      </c>
      <c r="J41" s="422" t="s">
        <v>647</v>
      </c>
      <c r="K41" s="23">
        <v>4</v>
      </c>
      <c r="L41" s="21"/>
      <c r="P41" s="38" t="str">
        <f t="shared" si="1"/>
        <v>CH23</v>
      </c>
      <c r="Q41" s="38" t="str">
        <f t="shared" si="2"/>
        <v>CH24</v>
      </c>
    </row>
    <row r="42" spans="1:17" s="20" customFormat="1" ht="36">
      <c r="A42" s="84" t="str">
        <f t="shared" si="0"/>
        <v>CHC1-2</v>
      </c>
      <c r="B42" s="85"/>
      <c r="C42" s="22">
        <v>37</v>
      </c>
      <c r="D42" s="22" t="str">
        <f>IF(ISERROR(VLOOKUP(P42,vylosovanie!$A$8:$J$68,6,0))=TRUE,"",VLOOKUP(P42,vylosovanie!$A$8:$J$68,6,0))</f>
        <v>FEČO Samuel</v>
      </c>
      <c r="E42" s="22" t="str">
        <f>IF(ISERROR(VLOOKUP(Q42,vylosovanie!$A$8:$J$68,6,0))=TRUE,"",VLOOKUP(Q42,vylosovanie!$A$8:$J$68,6,0))</f>
        <v>KLAJBER Adam</v>
      </c>
      <c r="F42" s="22" t="s">
        <v>65</v>
      </c>
      <c r="G42" s="22" t="s">
        <v>38</v>
      </c>
      <c r="H42" s="28" t="s">
        <v>22</v>
      </c>
      <c r="I42" s="28" t="s">
        <v>383</v>
      </c>
      <c r="J42" s="422" t="s">
        <v>647</v>
      </c>
      <c r="K42" s="23">
        <v>5</v>
      </c>
      <c r="L42" s="21"/>
      <c r="P42" s="38" t="str">
        <f t="shared" si="1"/>
        <v>CH31</v>
      </c>
      <c r="Q42" s="38" t="str">
        <f t="shared" si="2"/>
        <v>CH32</v>
      </c>
    </row>
    <row r="43" spans="1:17" s="20" customFormat="1" ht="36">
      <c r="A43" s="84" t="str">
        <f t="shared" si="0"/>
        <v>CHC3-4</v>
      </c>
      <c r="B43" s="85"/>
      <c r="C43" s="22">
        <v>38</v>
      </c>
      <c r="D43" s="22" t="str">
        <f>IF(ISERROR(VLOOKUP(P43,vylosovanie!$A$8:$J$68,6,0))=TRUE,"",VLOOKUP(P43,vylosovanie!$A$8:$J$68,6,0))</f>
        <v>FREUND Andrej</v>
      </c>
      <c r="E43" s="22" t="str">
        <f>IF(ISERROR(VLOOKUP(Q43,vylosovanie!$A$8:$J$68,6,0))=TRUE,"",VLOOKUP(Q43,vylosovanie!$A$8:$J$68,6,0))</f>
        <v>KLUČÁR Matej</v>
      </c>
      <c r="F43" s="22" t="s">
        <v>65</v>
      </c>
      <c r="G43" s="22" t="s">
        <v>38</v>
      </c>
      <c r="H43" s="28" t="s">
        <v>23</v>
      </c>
      <c r="I43" s="28" t="s">
        <v>383</v>
      </c>
      <c r="J43" s="422" t="s">
        <v>647</v>
      </c>
      <c r="K43" s="23">
        <v>6</v>
      </c>
      <c r="L43" s="21"/>
      <c r="P43" s="38" t="str">
        <f t="shared" si="1"/>
        <v>CH33</v>
      </c>
      <c r="Q43" s="38" t="str">
        <f t="shared" si="2"/>
        <v>CH34</v>
      </c>
    </row>
    <row r="44" spans="1:17" s="20" customFormat="1" ht="36">
      <c r="A44" s="84" t="str">
        <f t="shared" si="0"/>
        <v>CHD1-2</v>
      </c>
      <c r="B44" s="85"/>
      <c r="C44" s="22">
        <v>39</v>
      </c>
      <c r="D44" s="22" t="str">
        <f>IF(ISERROR(VLOOKUP(P44,vylosovanie!$A$8:$J$68,6,0))=TRUE,"",VLOOKUP(P44,vylosovanie!$A$8:$J$68,6,0))</f>
        <v>PINDURA Tobiáš</v>
      </c>
      <c r="E44" s="22" t="str">
        <f>IF(ISERROR(VLOOKUP(Q44,vylosovanie!$A$8:$J$68,6,0))=TRUE,"",VLOOKUP(Q44,vylosovanie!$A$8:$J$68,6,0))</f>
        <v>HURKA Rastislav</v>
      </c>
      <c r="F44" s="22" t="s">
        <v>65</v>
      </c>
      <c r="G44" s="22" t="s">
        <v>39</v>
      </c>
      <c r="H44" s="28" t="s">
        <v>22</v>
      </c>
      <c r="I44" s="28" t="s">
        <v>383</v>
      </c>
      <c r="J44" s="422" t="s">
        <v>647</v>
      </c>
      <c r="K44" s="23">
        <v>7</v>
      </c>
      <c r="L44" s="21"/>
      <c r="P44" s="38" t="str">
        <f t="shared" si="1"/>
        <v>CH41</v>
      </c>
      <c r="Q44" s="38" t="str">
        <f t="shared" si="2"/>
        <v>CH42</v>
      </c>
    </row>
    <row r="45" spans="1:17" s="20" customFormat="1" ht="36">
      <c r="A45" s="84" t="str">
        <f t="shared" si="0"/>
        <v>CHD3-4</v>
      </c>
      <c r="B45" s="85"/>
      <c r="C45" s="22">
        <v>40</v>
      </c>
      <c r="D45" s="22" t="str">
        <f>IF(ISERROR(VLOOKUP(P45,vylosovanie!$A$8:$J$68,6,0))=TRUE,"",VLOOKUP(P45,vylosovanie!$A$8:$J$68,6,0))</f>
        <v>DELINČAK Filip</v>
      </c>
      <c r="E45" s="22" t="str">
        <f>IF(ISERROR(VLOOKUP(Q45,vylosovanie!$A$8:$J$68,6,0))=TRUE,"",VLOOKUP(Q45,vylosovanie!$A$8:$J$68,6,0))</f>
        <v>TRŇAN Jakub</v>
      </c>
      <c r="F45" s="22" t="s">
        <v>65</v>
      </c>
      <c r="G45" s="22" t="s">
        <v>39</v>
      </c>
      <c r="H45" s="28" t="s">
        <v>23</v>
      </c>
      <c r="I45" s="28" t="s">
        <v>383</v>
      </c>
      <c r="J45" s="422" t="s">
        <v>647</v>
      </c>
      <c r="K45" s="23">
        <v>8</v>
      </c>
      <c r="L45" s="21"/>
      <c r="P45" s="38" t="str">
        <f t="shared" si="1"/>
        <v>CH43</v>
      </c>
      <c r="Q45" s="38" t="str">
        <f t="shared" si="2"/>
        <v>CH44</v>
      </c>
    </row>
    <row r="46" spans="1:17" s="20" customFormat="1" ht="36">
      <c r="A46" s="84" t="str">
        <f t="shared" si="0"/>
        <v>CHE1-2</v>
      </c>
      <c r="B46" s="85"/>
      <c r="C46" s="22">
        <v>41</v>
      </c>
      <c r="D46" s="22" t="str">
        <f>IF(ISERROR(VLOOKUP(P46,vylosovanie!$A$8:$J$68,6,0))=TRUE,"",VLOOKUP(P46,vylosovanie!$A$8:$J$68,6,0))</f>
        <v>PETRÍK Filip</v>
      </c>
      <c r="E46" s="22" t="str">
        <f>IF(ISERROR(VLOOKUP(Q46,vylosovanie!$A$8:$J$68,6,0))=TRUE,"",VLOOKUP(Q46,vylosovanie!$A$8:$J$68,6,0))</f>
        <v>ĎANOVSKÝ Martin</v>
      </c>
      <c r="F46" s="22" t="s">
        <v>65</v>
      </c>
      <c r="G46" s="22" t="s">
        <v>40</v>
      </c>
      <c r="H46" s="28" t="s">
        <v>22</v>
      </c>
      <c r="I46" s="28" t="s">
        <v>383</v>
      </c>
      <c r="J46" s="422" t="s">
        <v>648</v>
      </c>
      <c r="K46" s="23">
        <v>1</v>
      </c>
      <c r="L46" s="21"/>
      <c r="P46" s="38" t="str">
        <f t="shared" si="1"/>
        <v>CH51</v>
      </c>
      <c r="Q46" s="38" t="str">
        <f t="shared" si="2"/>
        <v>CH52</v>
      </c>
    </row>
    <row r="47" spans="1:17" s="20" customFormat="1" ht="36">
      <c r="A47" s="84" t="str">
        <f t="shared" si="0"/>
        <v>CHE3-4</v>
      </c>
      <c r="B47" s="85"/>
      <c r="C47" s="22">
        <v>42</v>
      </c>
      <c r="D47" s="22" t="str">
        <f>IF(ISERROR(VLOOKUP(P47,vylosovanie!$A$8:$J$68,6,0))=TRUE,"",VLOOKUP(P47,vylosovanie!$A$8:$J$68,6,0))</f>
        <v>VICO Dávid</v>
      </c>
      <c r="E47" s="22" t="str">
        <f>IF(ISERROR(VLOOKUP(Q47,vylosovanie!$A$8:$J$68,6,0))=TRUE,"",VLOOKUP(Q47,vylosovanie!$A$8:$J$68,6,0))</f>
        <v>MACKO Miroslav</v>
      </c>
      <c r="F47" s="22" t="s">
        <v>65</v>
      </c>
      <c r="G47" s="22" t="s">
        <v>40</v>
      </c>
      <c r="H47" s="28" t="s">
        <v>23</v>
      </c>
      <c r="I47" s="28" t="s">
        <v>383</v>
      </c>
      <c r="J47" s="424" t="s">
        <v>648</v>
      </c>
      <c r="K47" s="23">
        <v>2</v>
      </c>
      <c r="L47" s="21"/>
      <c r="P47" s="38" t="str">
        <f t="shared" si="1"/>
        <v>CH53</v>
      </c>
      <c r="Q47" s="38" t="str">
        <f t="shared" si="2"/>
        <v>CH54</v>
      </c>
    </row>
    <row r="48" spans="1:17" s="20" customFormat="1" ht="36">
      <c r="A48" s="84" t="str">
        <f t="shared" si="0"/>
        <v>CHF1-2</v>
      </c>
      <c r="B48" s="85"/>
      <c r="C48" s="22">
        <v>43</v>
      </c>
      <c r="D48" s="22" t="str">
        <f>IF(ISERROR(VLOOKUP(P48,vylosovanie!$A$8:$J$68,6,0))=TRUE,"",VLOOKUP(P48,vylosovanie!$A$8:$J$68,6,0))</f>
        <v>CYPRICH Samuel</v>
      </c>
      <c r="E48" s="22" t="str">
        <f>IF(ISERROR(VLOOKUP(Q48,vylosovanie!$A$8:$J$68,6,0))=TRUE,"",VLOOKUP(Q48,vylosovanie!$A$8:$J$68,6,0))</f>
        <v>MILAN Martin</v>
      </c>
      <c r="F48" s="22" t="s">
        <v>65</v>
      </c>
      <c r="G48" s="22" t="s">
        <v>41</v>
      </c>
      <c r="H48" s="28" t="s">
        <v>22</v>
      </c>
      <c r="I48" s="28" t="s">
        <v>383</v>
      </c>
      <c r="J48" s="424" t="s">
        <v>648</v>
      </c>
      <c r="K48" s="23">
        <v>3</v>
      </c>
      <c r="L48" s="21"/>
      <c r="P48" s="38" t="str">
        <f t="shared" si="1"/>
        <v>CH61</v>
      </c>
      <c r="Q48" s="38" t="str">
        <f t="shared" si="2"/>
        <v>CH62</v>
      </c>
    </row>
    <row r="49" spans="1:17" s="20" customFormat="1" ht="36">
      <c r="A49" s="84" t="str">
        <f t="shared" si="0"/>
        <v>CHF3-4</v>
      </c>
      <c r="B49" s="85"/>
      <c r="C49" s="22">
        <v>44</v>
      </c>
      <c r="D49" s="22" t="str">
        <f>IF(ISERROR(VLOOKUP(P49,vylosovanie!$A$8:$J$68,6,0))=TRUE,"",VLOOKUP(P49,vylosovanie!$A$8:$J$68,6,0))</f>
        <v>PACH Kamil</v>
      </c>
      <c r="E49" s="22" t="str">
        <f>IF(ISERROR(VLOOKUP(Q49,vylosovanie!$A$8:$J$68,6,0))=TRUE,"",VLOOKUP(Q49,vylosovanie!$A$8:$J$68,6,0))</f>
        <v>KALINKA Timotej</v>
      </c>
      <c r="F49" s="22" t="s">
        <v>65</v>
      </c>
      <c r="G49" s="22" t="s">
        <v>41</v>
      </c>
      <c r="H49" s="28" t="s">
        <v>23</v>
      </c>
      <c r="I49" s="28" t="s">
        <v>383</v>
      </c>
      <c r="J49" s="424" t="s">
        <v>648</v>
      </c>
      <c r="K49" s="23">
        <v>4</v>
      </c>
      <c r="L49" s="21"/>
      <c r="P49" s="38" t="str">
        <f t="shared" si="1"/>
        <v>CH63</v>
      </c>
      <c r="Q49" s="38" t="str">
        <f t="shared" si="2"/>
        <v>CH64</v>
      </c>
    </row>
    <row r="50" spans="1:17" s="20" customFormat="1" ht="36">
      <c r="A50" s="84" t="str">
        <f t="shared" si="0"/>
        <v>CHG1-2</v>
      </c>
      <c r="B50" s="85"/>
      <c r="C50" s="22">
        <v>45</v>
      </c>
      <c r="D50" s="22" t="str">
        <f>IF(ISERROR(VLOOKUP(P50,vylosovanie!$A$8:$J$68,6,0))=TRUE,"",VLOOKUP(P50,vylosovanie!$A$8:$J$68,6,0))</f>
        <v>TUREK Teodor</v>
      </c>
      <c r="E50" s="22" t="str">
        <f>IF(ISERROR(VLOOKUP(Q50,vylosovanie!$A$8:$J$68,6,0))=TRUE,"",VLOOKUP(Q50,vylosovanie!$A$8:$J$68,6,0))</f>
        <v>JALOVECKÝ Marek</v>
      </c>
      <c r="F50" s="22" t="s">
        <v>65</v>
      </c>
      <c r="G50" s="22" t="s">
        <v>42</v>
      </c>
      <c r="H50" s="28" t="s">
        <v>22</v>
      </c>
      <c r="I50" s="28" t="s">
        <v>383</v>
      </c>
      <c r="J50" s="424" t="s">
        <v>648</v>
      </c>
      <c r="K50" s="23">
        <v>5</v>
      </c>
      <c r="L50" s="21"/>
      <c r="P50" s="38" t="str">
        <f t="shared" si="1"/>
        <v>CH71</v>
      </c>
      <c r="Q50" s="38" t="str">
        <f t="shared" si="2"/>
        <v>CH72</v>
      </c>
    </row>
    <row r="51" spans="1:17" s="20" customFormat="1" ht="36">
      <c r="A51" s="84" t="str">
        <f t="shared" si="0"/>
        <v>CHG3-4</v>
      </c>
      <c r="B51" s="85"/>
      <c r="C51" s="22">
        <v>46</v>
      </c>
      <c r="D51" s="22" t="str">
        <f>IF(ISERROR(VLOOKUP(P51,vylosovanie!$A$8:$J$68,6,0))=TRUE,"",VLOOKUP(P51,vylosovanie!$A$8:$J$68,6,0))</f>
        <v>FEČO Michal</v>
      </c>
      <c r="E51" s="22" t="str">
        <f>IF(ISERROR(VLOOKUP(Q51,vylosovanie!$A$8:$J$68,6,0))=TRUE,"",VLOOKUP(Q51,vylosovanie!$A$8:$J$68,6,0))</f>
        <v>GREGOR Jakub</v>
      </c>
      <c r="F51" s="22" t="s">
        <v>65</v>
      </c>
      <c r="G51" s="22" t="s">
        <v>42</v>
      </c>
      <c r="H51" s="28" t="s">
        <v>23</v>
      </c>
      <c r="I51" s="28" t="s">
        <v>383</v>
      </c>
      <c r="J51" s="424" t="s">
        <v>648</v>
      </c>
      <c r="K51" s="23">
        <v>6</v>
      </c>
      <c r="L51" s="21"/>
      <c r="P51" s="38" t="str">
        <f t="shared" si="1"/>
        <v>CH73</v>
      </c>
      <c r="Q51" s="38" t="str">
        <f t="shared" si="2"/>
        <v>CH74</v>
      </c>
    </row>
    <row r="52" spans="1:17" s="20" customFormat="1" ht="36">
      <c r="A52" s="84" t="str">
        <f t="shared" si="0"/>
        <v>CHH1-2</v>
      </c>
      <c r="B52" s="85"/>
      <c r="C52" s="22">
        <v>47</v>
      </c>
      <c r="D52" s="22" t="str">
        <f>IF(ISERROR(VLOOKUP(P52,vylosovanie!$A$8:$J$68,6,0))=TRUE,"",VLOOKUP(P52,vylosovanie!$A$8:$J$68,6,0))</f>
        <v>PAPÁNEK Martin</v>
      </c>
      <c r="E52" s="22" t="str">
        <f>IF(ISERROR(VLOOKUP(Q52,vylosovanie!$A$8:$J$68,6,0))=TRUE,"",VLOOKUP(Q52,vylosovanie!$A$8:$J$68,6,0))</f>
        <v>FUSEK Patrik</v>
      </c>
      <c r="F52" s="22" t="s">
        <v>65</v>
      </c>
      <c r="G52" s="22" t="s">
        <v>43</v>
      </c>
      <c r="H52" s="28" t="s">
        <v>22</v>
      </c>
      <c r="I52" s="28" t="s">
        <v>383</v>
      </c>
      <c r="J52" s="424" t="s">
        <v>648</v>
      </c>
      <c r="K52" s="23">
        <v>7</v>
      </c>
      <c r="L52" s="21"/>
      <c r="P52" s="38" t="str">
        <f t="shared" si="1"/>
        <v>CH81</v>
      </c>
      <c r="Q52" s="38" t="str">
        <f t="shared" si="2"/>
        <v>CH82</v>
      </c>
    </row>
    <row r="53" spans="1:17" s="20" customFormat="1" ht="36">
      <c r="A53" s="84" t="str">
        <f t="shared" si="0"/>
        <v>CHH3-4</v>
      </c>
      <c r="B53" s="85"/>
      <c r="C53" s="22">
        <v>48</v>
      </c>
      <c r="D53" s="22" t="str">
        <f>IF(ISERROR(VLOOKUP(P53,vylosovanie!$A$8:$J$68,6,0))=TRUE,"",VLOOKUP(P53,vylosovanie!$A$8:$J$68,6,0))</f>
        <v>MAKÚCH Damian</v>
      </c>
      <c r="E53" s="22" t="str">
        <f>IF(ISERROR(VLOOKUP(Q53,vylosovanie!$A$8:$J$68,6,0))=TRUE,"",VLOOKUP(Q53,vylosovanie!$A$8:$J$68,6,0))</f>
        <v>TRUBÁČIK Tomáš</v>
      </c>
      <c r="F53" s="22" t="s">
        <v>65</v>
      </c>
      <c r="G53" s="22" t="s">
        <v>43</v>
      </c>
      <c r="H53" s="28" t="s">
        <v>23</v>
      </c>
      <c r="I53" s="28" t="s">
        <v>383</v>
      </c>
      <c r="J53" s="424" t="s">
        <v>648</v>
      </c>
      <c r="K53" s="23">
        <v>8</v>
      </c>
      <c r="L53" s="21"/>
      <c r="P53" s="38" t="str">
        <f t="shared" si="1"/>
        <v>CH83</v>
      </c>
      <c r="Q53" s="38" t="str">
        <f t="shared" si="2"/>
        <v>CH84</v>
      </c>
    </row>
    <row r="54" spans="1:17" s="20" customFormat="1" ht="36">
      <c r="A54" s="84" t="str">
        <f t="shared" si="0"/>
        <v>DA2-3</v>
      </c>
      <c r="B54" s="85"/>
      <c r="C54" s="22">
        <v>49</v>
      </c>
      <c r="D54" s="22" t="str">
        <f>IF(ISERROR(VLOOKUP(P54,vylosovanie!$A$8:$J$68,6,0))=TRUE,"",VLOOKUP(P54,vylosovanie!$A$8:$J$68,6,0))</f>
        <v>CHYLOVÁ Sabína</v>
      </c>
      <c r="E54" s="22" t="str">
        <f>IF(ISERROR(VLOOKUP(Q54,vylosovanie!$A$8:$J$68,6,0))=TRUE,"",VLOOKUP(Q54,vylosovanie!$A$8:$J$68,6,0))</f>
        <v>LEDAJOVÁ Martina</v>
      </c>
      <c r="F54" s="22" t="s">
        <v>39</v>
      </c>
      <c r="G54" s="22" t="s">
        <v>12</v>
      </c>
      <c r="H54" s="28" t="s">
        <v>25</v>
      </c>
      <c r="I54" s="28" t="s">
        <v>383</v>
      </c>
      <c r="J54" s="422" t="s">
        <v>73</v>
      </c>
      <c r="K54" s="23">
        <v>1</v>
      </c>
      <c r="L54" s="21"/>
      <c r="P54" s="38" t="str">
        <f t="shared" si="1"/>
        <v>D12</v>
      </c>
      <c r="Q54" s="38" t="str">
        <f t="shared" si="2"/>
        <v>D13</v>
      </c>
    </row>
    <row r="55" spans="1:17" s="20" customFormat="1" ht="36">
      <c r="A55" s="84" t="str">
        <f t="shared" si="0"/>
        <v>DB2-3</v>
      </c>
      <c r="B55" s="85"/>
      <c r="C55" s="22">
        <v>50</v>
      </c>
      <c r="D55" s="22" t="str">
        <f>IF(ISERROR(VLOOKUP(P55,vylosovanie!$A$8:$J$68,6,0))=TRUE,"",VLOOKUP(P55,vylosovanie!$A$8:$J$68,6,0))</f>
        <v>MIKULOVÁ Terézia</v>
      </c>
      <c r="E55" s="22" t="str">
        <f>IF(ISERROR(VLOOKUP(Q55,vylosovanie!$A$8:$J$68,6,0))=TRUE,"",VLOOKUP(Q55,vylosovanie!$A$8:$J$68,6,0))</f>
        <v>GALČÍKOVÁ Sára</v>
      </c>
      <c r="F55" s="22" t="s">
        <v>39</v>
      </c>
      <c r="G55" s="22" t="s">
        <v>18</v>
      </c>
      <c r="H55" s="28" t="s">
        <v>25</v>
      </c>
      <c r="I55" s="28" t="s">
        <v>383</v>
      </c>
      <c r="J55" s="422" t="s">
        <v>73</v>
      </c>
      <c r="K55" s="23">
        <v>2</v>
      </c>
      <c r="L55" s="21"/>
      <c r="P55" s="38" t="str">
        <f t="shared" si="1"/>
        <v>D22</v>
      </c>
      <c r="Q55" s="38" t="str">
        <f t="shared" si="2"/>
        <v>D23</v>
      </c>
    </row>
    <row r="56" spans="1:17" s="20" customFormat="1" ht="36">
      <c r="A56" s="84" t="str">
        <f t="shared" si="0"/>
        <v>DC2-3</v>
      </c>
      <c r="B56" s="85"/>
      <c r="C56" s="22">
        <v>51</v>
      </c>
      <c r="D56" s="22" t="str">
        <f>IF(ISERROR(VLOOKUP(P56,vylosovanie!$A$8:$J$68,6,0))=TRUE,"",VLOOKUP(P56,vylosovanie!$A$8:$J$68,6,0))</f>
        <v>DZUROVÁ Lenka</v>
      </c>
      <c r="E56" s="22" t="str">
        <f>IF(ISERROR(VLOOKUP(Q56,vylosovanie!$A$8:$J$68,6,0))=TRUE,"",VLOOKUP(Q56,vylosovanie!$A$8:$J$68,6,0))</f>
        <v>SISKOVÁ Zuzana</v>
      </c>
      <c r="F56" s="22" t="s">
        <v>39</v>
      </c>
      <c r="G56" s="22" t="s">
        <v>38</v>
      </c>
      <c r="H56" s="28" t="s">
        <v>25</v>
      </c>
      <c r="I56" s="28" t="s">
        <v>383</v>
      </c>
      <c r="J56" s="422" t="s">
        <v>73</v>
      </c>
      <c r="K56" s="23">
        <v>3</v>
      </c>
      <c r="L56" s="21"/>
      <c r="P56" s="38" t="str">
        <f t="shared" si="1"/>
        <v>D32</v>
      </c>
      <c r="Q56" s="38" t="str">
        <f t="shared" si="2"/>
        <v>D33</v>
      </c>
    </row>
    <row r="57" spans="1:17" s="20" customFormat="1" ht="36">
      <c r="A57" s="84" t="str">
        <f t="shared" si="0"/>
        <v>DD2-3</v>
      </c>
      <c r="B57" s="85"/>
      <c r="C57" s="22">
        <v>52</v>
      </c>
      <c r="D57" s="22" t="str">
        <f>IF(ISERROR(VLOOKUP(P57,vylosovanie!$A$8:$J$68,6,0))=TRUE,"",VLOOKUP(P57,vylosovanie!$A$8:$J$68,6,0))</f>
        <v>GAŠPARÍKOVÁ Lucia</v>
      </c>
      <c r="E57" s="22" t="str">
        <f>IF(ISERROR(VLOOKUP(Q57,vylosovanie!$A$8:$J$68,6,0))=TRUE,"",VLOOKUP(Q57,vylosovanie!$A$8:$J$68,6,0))</f>
        <v>HUDÁKOVÁ Ivana</v>
      </c>
      <c r="F57" s="22" t="s">
        <v>39</v>
      </c>
      <c r="G57" s="22" t="s">
        <v>39</v>
      </c>
      <c r="H57" s="28" t="s">
        <v>25</v>
      </c>
      <c r="I57" s="28" t="s">
        <v>383</v>
      </c>
      <c r="J57" s="422" t="s">
        <v>73</v>
      </c>
      <c r="K57" s="23">
        <v>4</v>
      </c>
      <c r="L57" s="21"/>
      <c r="P57" s="38" t="str">
        <f t="shared" si="1"/>
        <v>D42</v>
      </c>
      <c r="Q57" s="38" t="str">
        <f t="shared" si="2"/>
        <v>D43</v>
      </c>
    </row>
    <row r="58" spans="1:17" s="20" customFormat="1" ht="36">
      <c r="A58" s="84" t="str">
        <f t="shared" si="0"/>
        <v>DE2-3</v>
      </c>
      <c r="B58" s="85"/>
      <c r="C58" s="22">
        <v>53</v>
      </c>
      <c r="D58" s="22" t="str">
        <f>IF(ISERROR(VLOOKUP(P58,vylosovanie!$A$8:$J$68,6,0))=TRUE,"",VLOOKUP(P58,vylosovanie!$A$8:$J$68,6,0))</f>
        <v>SLOBODNÍKOVÁ Hana</v>
      </c>
      <c r="E58" s="22" t="str">
        <f>IF(ISERROR(VLOOKUP(Q58,vylosovanie!$A$8:$J$68,6,0))=TRUE,"",VLOOKUP(Q58,vylosovanie!$A$8:$J$68,6,0))</f>
        <v>HURBANOVÁ Isabella</v>
      </c>
      <c r="F58" s="22" t="s">
        <v>39</v>
      </c>
      <c r="G58" s="22" t="s">
        <v>40</v>
      </c>
      <c r="H58" s="28" t="s">
        <v>25</v>
      </c>
      <c r="I58" s="28" t="s">
        <v>383</v>
      </c>
      <c r="J58" s="422" t="s">
        <v>73</v>
      </c>
      <c r="K58" s="23">
        <v>5</v>
      </c>
      <c r="L58" s="21"/>
      <c r="P58" s="38" t="str">
        <f t="shared" si="1"/>
        <v>D52</v>
      </c>
      <c r="Q58" s="38" t="str">
        <f t="shared" si="2"/>
        <v>D53</v>
      </c>
    </row>
    <row r="59" spans="1:17" s="20" customFormat="1" ht="36">
      <c r="A59" s="84" t="str">
        <f t="shared" si="0"/>
        <v>DF2-3</v>
      </c>
      <c r="B59" s="85"/>
      <c r="C59" s="22">
        <v>54</v>
      </c>
      <c r="D59" s="22" t="str">
        <f>IF(ISERROR(VLOOKUP(P59,vylosovanie!$A$8:$J$68,6,0))=TRUE,"",VLOOKUP(P59,vylosovanie!$A$8:$J$68,6,0))</f>
        <v>PAPCUNOVÁ Viktória</v>
      </c>
      <c r="E59" s="22" t="str">
        <f>IF(ISERROR(VLOOKUP(Q59,vylosovanie!$A$8:$J$68,6,0))=TRUE,"",VLOOKUP(Q59,vylosovanie!$A$8:$J$68,6,0))</f>
        <v>LACENOVÁ Renáta</v>
      </c>
      <c r="F59" s="22" t="s">
        <v>39</v>
      </c>
      <c r="G59" s="22" t="s">
        <v>41</v>
      </c>
      <c r="H59" s="28" t="s">
        <v>25</v>
      </c>
      <c r="I59" s="28" t="s">
        <v>383</v>
      </c>
      <c r="J59" s="422" t="s">
        <v>73</v>
      </c>
      <c r="K59" s="23">
        <v>6</v>
      </c>
      <c r="L59" s="21"/>
      <c r="P59" s="38" t="str">
        <f t="shared" si="1"/>
        <v>D62</v>
      </c>
      <c r="Q59" s="38" t="str">
        <f t="shared" si="2"/>
        <v>D63</v>
      </c>
    </row>
    <row r="60" spans="1:17" s="20" customFormat="1" ht="36">
      <c r="A60" s="84" t="str">
        <f t="shared" si="0"/>
        <v>DG2-3</v>
      </c>
      <c r="B60" s="85"/>
      <c r="C60" s="22">
        <v>55</v>
      </c>
      <c r="D60" s="22" t="str">
        <f>IF(ISERROR(VLOOKUP(P60,vylosovanie!$A$8:$J$68,6,0))=TRUE,"",VLOOKUP(P60,vylosovanie!$A$8:$J$68,6,0))</f>
        <v>VIŠŇOVSKÁ Nina</v>
      </c>
      <c r="E60" s="22" t="str">
        <f>IF(ISERROR(VLOOKUP(Q60,vylosovanie!$A$8:$J$68,6,0))=TRUE,"",VLOOKUP(Q60,vylosovanie!$A$8:$J$68,6,0))</f>
        <v>GORFOLOVÁ Viktória</v>
      </c>
      <c r="F60" s="22" t="s">
        <v>39</v>
      </c>
      <c r="G60" s="22" t="s">
        <v>42</v>
      </c>
      <c r="H60" s="28" t="s">
        <v>25</v>
      </c>
      <c r="I60" s="28" t="s">
        <v>383</v>
      </c>
      <c r="J60" s="422" t="s">
        <v>73</v>
      </c>
      <c r="K60" s="23">
        <v>7</v>
      </c>
      <c r="L60" s="21"/>
      <c r="P60" s="38" t="str">
        <f t="shared" si="1"/>
        <v>D72</v>
      </c>
      <c r="Q60" s="38" t="str">
        <f t="shared" si="2"/>
        <v>D73</v>
      </c>
    </row>
    <row r="61" spans="1:17" s="20" customFormat="1" ht="36">
      <c r="A61" s="84" t="str">
        <f t="shared" si="0"/>
        <v>DH2-3</v>
      </c>
      <c r="B61" s="85"/>
      <c r="C61" s="22">
        <v>56</v>
      </c>
      <c r="D61" s="22" t="str">
        <f>IF(ISERROR(VLOOKUP(P61,vylosovanie!$A$8:$J$68,6,0))=TRUE,"",VLOOKUP(P61,vylosovanie!$A$8:$J$68,6,0))</f>
        <v>VOJTASOVA Patrícia</v>
      </c>
      <c r="E61" s="22" t="str">
        <f>IF(ISERROR(VLOOKUP(Q61,vylosovanie!$A$8:$J$68,6,0))=TRUE,"",VLOOKUP(Q61,vylosovanie!$A$8:$J$68,6,0))</f>
        <v>PISARČIKOVÁ Frederika</v>
      </c>
      <c r="F61" s="22" t="s">
        <v>39</v>
      </c>
      <c r="G61" s="22" t="s">
        <v>43</v>
      </c>
      <c r="H61" s="28" t="s">
        <v>25</v>
      </c>
      <c r="I61" s="28" t="s">
        <v>383</v>
      </c>
      <c r="J61" s="422" t="s">
        <v>73</v>
      </c>
      <c r="K61" s="23">
        <v>8</v>
      </c>
      <c r="L61" s="21"/>
      <c r="P61" s="38" t="str">
        <f t="shared" si="1"/>
        <v>D82</v>
      </c>
      <c r="Q61" s="38" t="str">
        <f t="shared" si="2"/>
        <v>D83</v>
      </c>
    </row>
    <row r="62" spans="1:17" s="20" customFormat="1" ht="36">
      <c r="A62" s="84" t="str">
        <f t="shared" si="0"/>
        <v>CHA1-4</v>
      </c>
      <c r="B62" s="85"/>
      <c r="C62" s="22">
        <v>57</v>
      </c>
      <c r="D62" s="22" t="str">
        <f>IF(ISERROR(VLOOKUP(P62,vylosovanie!$A$8:$J$68,6,0))=TRUE,"",VLOOKUP(P62,vylosovanie!$A$8:$J$68,6,0))</f>
        <v>DIKO Dalibor</v>
      </c>
      <c r="E62" s="22" t="str">
        <f>IF(ISERROR(VLOOKUP(Q62,vylosovanie!$A$8:$J$68,6,0))=TRUE,"",VLOOKUP(Q62,vylosovanie!$A$8:$J$68,6,0))</f>
        <v>MARUNIAK Martin</v>
      </c>
      <c r="F62" s="22" t="s">
        <v>65</v>
      </c>
      <c r="G62" s="22" t="s">
        <v>12</v>
      </c>
      <c r="H62" s="28" t="s">
        <v>24</v>
      </c>
      <c r="I62" s="28" t="s">
        <v>383</v>
      </c>
      <c r="J62" s="424" t="s">
        <v>649</v>
      </c>
      <c r="K62" s="23">
        <v>1</v>
      </c>
      <c r="L62" s="21"/>
      <c r="P62" s="38" t="str">
        <f t="shared" si="1"/>
        <v>CH11</v>
      </c>
      <c r="Q62" s="38" t="str">
        <f t="shared" si="2"/>
        <v>CH14</v>
      </c>
    </row>
    <row r="63" spans="1:17" s="20" customFormat="1" ht="36">
      <c r="A63" s="84" t="str">
        <f t="shared" si="0"/>
        <v>CHA2-3</v>
      </c>
      <c r="B63" s="85"/>
      <c r="C63" s="22">
        <v>58</v>
      </c>
      <c r="D63" s="22" t="str">
        <f>IF(ISERROR(VLOOKUP(P63,vylosovanie!$A$8:$J$68,6,0))=TRUE,"",VLOOKUP(P63,vylosovanie!$A$8:$J$68,6,0))</f>
        <v>IVANČO Félix</v>
      </c>
      <c r="E63" s="22" t="str">
        <f>IF(ISERROR(VLOOKUP(Q63,vylosovanie!$A$8:$J$68,6,0))=TRUE,"",VLOOKUP(Q63,vylosovanie!$A$8:$J$68,6,0))</f>
        <v>MIKLUŠČÁK Benjamín</v>
      </c>
      <c r="F63" s="22" t="s">
        <v>65</v>
      </c>
      <c r="G63" s="22" t="s">
        <v>12</v>
      </c>
      <c r="H63" s="28" t="s">
        <v>25</v>
      </c>
      <c r="I63" s="28" t="s">
        <v>383</v>
      </c>
      <c r="J63" s="424" t="s">
        <v>649</v>
      </c>
      <c r="K63" s="23">
        <v>2</v>
      </c>
      <c r="L63" s="21"/>
      <c r="P63" s="38" t="str">
        <f t="shared" si="1"/>
        <v>CH12</v>
      </c>
      <c r="Q63" s="38" t="str">
        <f t="shared" si="2"/>
        <v>CH13</v>
      </c>
    </row>
    <row r="64" spans="1:17" s="20" customFormat="1" ht="36">
      <c r="A64" s="84" t="str">
        <f t="shared" si="0"/>
        <v>CHB1-4</v>
      </c>
      <c r="B64" s="85"/>
      <c r="C64" s="22">
        <v>59</v>
      </c>
      <c r="D64" s="22" t="str">
        <f>IF(ISERROR(VLOOKUP(P64,vylosovanie!$A$8:$J$68,6,0))=TRUE,"",VLOOKUP(P64,vylosovanie!$A$8:$J$68,6,0))</f>
        <v>KYSEL Martin</v>
      </c>
      <c r="E64" s="22" t="str">
        <f>IF(ISERROR(VLOOKUP(Q64,vylosovanie!$A$8:$J$68,6,0))=TRUE,"",VLOOKUP(Q64,vylosovanie!$A$8:$J$68,6,0))</f>
        <v>ZAJAC Jakub</v>
      </c>
      <c r="F64" s="22" t="s">
        <v>65</v>
      </c>
      <c r="G64" s="22" t="s">
        <v>18</v>
      </c>
      <c r="H64" s="28" t="s">
        <v>24</v>
      </c>
      <c r="I64" s="28" t="s">
        <v>383</v>
      </c>
      <c r="J64" s="424" t="s">
        <v>649</v>
      </c>
      <c r="K64" s="23">
        <v>3</v>
      </c>
      <c r="L64" s="21"/>
      <c r="P64" s="38" t="str">
        <f t="shared" si="1"/>
        <v>CH21</v>
      </c>
      <c r="Q64" s="38" t="str">
        <f t="shared" si="2"/>
        <v>CH24</v>
      </c>
    </row>
    <row r="65" spans="1:17" s="20" customFormat="1" ht="36">
      <c r="A65" s="84" t="str">
        <f t="shared" si="0"/>
        <v>CHB2-3</v>
      </c>
      <c r="B65" s="85"/>
      <c r="C65" s="22">
        <v>60</v>
      </c>
      <c r="D65" s="22" t="str">
        <f>IF(ISERROR(VLOOKUP(P65,vylosovanie!$A$8:$J$68,6,0))=TRUE,"",VLOOKUP(P65,vylosovanie!$A$8:$J$68,6,0))</f>
        <v>SUCHA Tomáš</v>
      </c>
      <c r="E65" s="22" t="str">
        <f>IF(ISERROR(VLOOKUP(Q65,vylosovanie!$A$8:$J$68,6,0))=TRUE,"",VLOOKUP(Q65,vylosovanie!$A$8:$J$68,6,0))</f>
        <v>KAPUSTA Martin</v>
      </c>
      <c r="F65" s="22" t="s">
        <v>65</v>
      </c>
      <c r="G65" s="22" t="s">
        <v>18</v>
      </c>
      <c r="H65" s="28" t="s">
        <v>25</v>
      </c>
      <c r="I65" s="28" t="s">
        <v>383</v>
      </c>
      <c r="J65" s="424" t="s">
        <v>649</v>
      </c>
      <c r="K65" s="23">
        <v>4</v>
      </c>
      <c r="L65" s="21"/>
      <c r="P65" s="38" t="str">
        <f t="shared" si="1"/>
        <v>CH22</v>
      </c>
      <c r="Q65" s="38" t="str">
        <f t="shared" si="2"/>
        <v>CH23</v>
      </c>
    </row>
    <row r="66" spans="1:17" s="20" customFormat="1" ht="36">
      <c r="A66" s="84" t="str">
        <f t="shared" si="0"/>
        <v>CHC1-4</v>
      </c>
      <c r="B66" s="85"/>
      <c r="C66" s="22">
        <v>61</v>
      </c>
      <c r="D66" s="22" t="str">
        <f>IF(ISERROR(VLOOKUP(P66,vylosovanie!$A$8:$J$68,6,0))=TRUE,"",VLOOKUP(P66,vylosovanie!$A$8:$J$68,6,0))</f>
        <v>FEČO Samuel</v>
      </c>
      <c r="E66" s="22" t="str">
        <f>IF(ISERROR(VLOOKUP(Q66,vylosovanie!$A$8:$J$68,6,0))=TRUE,"",VLOOKUP(Q66,vylosovanie!$A$8:$J$68,6,0))</f>
        <v>KLUČÁR Matej</v>
      </c>
      <c r="F66" s="22" t="s">
        <v>65</v>
      </c>
      <c r="G66" s="22" t="s">
        <v>38</v>
      </c>
      <c r="H66" s="28" t="s">
        <v>24</v>
      </c>
      <c r="I66" s="28" t="s">
        <v>383</v>
      </c>
      <c r="J66" s="424" t="s">
        <v>649</v>
      </c>
      <c r="K66" s="23">
        <v>5</v>
      </c>
      <c r="L66" s="21"/>
      <c r="P66" s="38" t="str">
        <f t="shared" si="1"/>
        <v>CH31</v>
      </c>
      <c r="Q66" s="38" t="str">
        <f t="shared" si="2"/>
        <v>CH34</v>
      </c>
    </row>
    <row r="67" spans="1:17" s="20" customFormat="1" ht="36">
      <c r="A67" s="84" t="str">
        <f t="shared" si="0"/>
        <v>CHC2-3</v>
      </c>
      <c r="B67" s="85"/>
      <c r="C67" s="22">
        <v>62</v>
      </c>
      <c r="D67" s="22" t="str">
        <f>IF(ISERROR(VLOOKUP(P67,vylosovanie!$A$8:$J$68,6,0))=TRUE,"",VLOOKUP(P67,vylosovanie!$A$8:$J$68,6,0))</f>
        <v>KLAJBER Adam</v>
      </c>
      <c r="E67" s="22" t="str">
        <f>IF(ISERROR(VLOOKUP(Q67,vylosovanie!$A$8:$J$68,6,0))=TRUE,"",VLOOKUP(Q67,vylosovanie!$A$8:$J$68,6,0))</f>
        <v>FREUND Andrej</v>
      </c>
      <c r="F67" s="22" t="s">
        <v>65</v>
      </c>
      <c r="G67" s="22" t="s">
        <v>38</v>
      </c>
      <c r="H67" s="28" t="s">
        <v>25</v>
      </c>
      <c r="I67" s="28" t="s">
        <v>383</v>
      </c>
      <c r="J67" s="424" t="s">
        <v>649</v>
      </c>
      <c r="K67" s="23">
        <v>6</v>
      </c>
      <c r="L67" s="21"/>
      <c r="P67" s="38" t="str">
        <f t="shared" si="1"/>
        <v>CH32</v>
      </c>
      <c r="Q67" s="38" t="str">
        <f t="shared" si="2"/>
        <v>CH33</v>
      </c>
    </row>
    <row r="68" spans="1:17" s="20" customFormat="1" ht="36">
      <c r="A68" s="84" t="str">
        <f t="shared" si="0"/>
        <v>CHD1-4</v>
      </c>
      <c r="B68" s="85"/>
      <c r="C68" s="22">
        <v>63</v>
      </c>
      <c r="D68" s="22" t="str">
        <f>IF(ISERROR(VLOOKUP(P68,vylosovanie!$A$8:$J$68,6,0))=TRUE,"",VLOOKUP(P68,vylosovanie!$A$8:$J$68,6,0))</f>
        <v>PINDURA Tobiáš</v>
      </c>
      <c r="E68" s="22" t="str">
        <f>IF(ISERROR(VLOOKUP(Q68,vylosovanie!$A$8:$J$68,6,0))=TRUE,"",VLOOKUP(Q68,vylosovanie!$A$8:$J$68,6,0))</f>
        <v>TRŇAN Jakub</v>
      </c>
      <c r="F68" s="22" t="s">
        <v>65</v>
      </c>
      <c r="G68" s="22" t="s">
        <v>39</v>
      </c>
      <c r="H68" s="28" t="s">
        <v>24</v>
      </c>
      <c r="I68" s="28" t="s">
        <v>383</v>
      </c>
      <c r="J68" s="424" t="s">
        <v>649</v>
      </c>
      <c r="K68" s="23">
        <v>7</v>
      </c>
      <c r="L68" s="21"/>
      <c r="P68" s="38" t="str">
        <f t="shared" si="1"/>
        <v>CH41</v>
      </c>
      <c r="Q68" s="38" t="str">
        <f t="shared" si="2"/>
        <v>CH44</v>
      </c>
    </row>
    <row r="69" spans="1:17" s="20" customFormat="1" ht="36">
      <c r="A69" s="84" t="str">
        <f t="shared" si="0"/>
        <v>CHD2-3</v>
      </c>
      <c r="B69" s="85"/>
      <c r="C69" s="22">
        <v>64</v>
      </c>
      <c r="D69" s="22" t="str">
        <f>IF(ISERROR(VLOOKUP(P69,vylosovanie!$A$8:$J$68,6,0))=TRUE,"",VLOOKUP(P69,vylosovanie!$A$8:$J$68,6,0))</f>
        <v>HURKA Rastislav</v>
      </c>
      <c r="E69" s="22" t="str">
        <f>IF(ISERROR(VLOOKUP(Q69,vylosovanie!$A$8:$J$68,6,0))=TRUE,"",VLOOKUP(Q69,vylosovanie!$A$8:$J$68,6,0))</f>
        <v>DELINČAK Filip</v>
      </c>
      <c r="F69" s="22" t="s">
        <v>65</v>
      </c>
      <c r="G69" s="22" t="s">
        <v>39</v>
      </c>
      <c r="H69" s="28" t="s">
        <v>25</v>
      </c>
      <c r="I69" s="28" t="s">
        <v>383</v>
      </c>
      <c r="J69" s="424" t="s">
        <v>649</v>
      </c>
      <c r="K69" s="23">
        <v>8</v>
      </c>
      <c r="L69" s="21"/>
      <c r="P69" s="38" t="str">
        <f t="shared" si="1"/>
        <v>CH42</v>
      </c>
      <c r="Q69" s="38" t="str">
        <f t="shared" si="2"/>
        <v>CH43</v>
      </c>
    </row>
    <row r="70" spans="1:17" s="20" customFormat="1" ht="36">
      <c r="A70" s="84" t="str">
        <f t="shared" si="0"/>
        <v>CHE1-4</v>
      </c>
      <c r="B70" s="85"/>
      <c r="C70" s="22">
        <v>65</v>
      </c>
      <c r="D70" s="22" t="str">
        <f>IF(ISERROR(VLOOKUP(P70,vylosovanie!$A$8:$J$68,6,0))=TRUE,"",VLOOKUP(P70,vylosovanie!$A$8:$J$68,6,0))</f>
        <v>PETRÍK Filip</v>
      </c>
      <c r="E70" s="22" t="str">
        <f>IF(ISERROR(VLOOKUP(Q70,vylosovanie!$A$8:$J$68,6,0))=TRUE,"",VLOOKUP(Q70,vylosovanie!$A$8:$J$68,6,0))</f>
        <v>MACKO Miroslav</v>
      </c>
      <c r="F70" s="22" t="s">
        <v>65</v>
      </c>
      <c r="G70" s="22" t="s">
        <v>40</v>
      </c>
      <c r="H70" s="28" t="s">
        <v>24</v>
      </c>
      <c r="I70" s="28" t="s">
        <v>383</v>
      </c>
      <c r="J70" s="422" t="s">
        <v>650</v>
      </c>
      <c r="K70" s="23">
        <v>1</v>
      </c>
      <c r="L70" s="21"/>
      <c r="P70" s="38" t="str">
        <f t="shared" si="1"/>
        <v>CH51</v>
      </c>
      <c r="Q70" s="38" t="str">
        <f t="shared" si="2"/>
        <v>CH54</v>
      </c>
    </row>
    <row r="71" spans="1:17" s="20" customFormat="1" ht="36">
      <c r="A71" s="84" t="str">
        <f t="shared" ref="A71:A77" si="3">CONCATENATE(F71,G71,H71)</f>
        <v>CHE2-3</v>
      </c>
      <c r="B71" s="85"/>
      <c r="C71" s="22">
        <v>66</v>
      </c>
      <c r="D71" s="22" t="str">
        <f>IF(ISERROR(VLOOKUP(P71,vylosovanie!$A$8:$J$68,6,0))=TRUE,"",VLOOKUP(P71,vylosovanie!$A$8:$J$68,6,0))</f>
        <v>ĎANOVSKÝ Martin</v>
      </c>
      <c r="E71" s="22" t="str">
        <f>IF(ISERROR(VLOOKUP(Q71,vylosovanie!$A$8:$J$68,6,0))=TRUE,"",VLOOKUP(Q71,vylosovanie!$A$8:$J$68,6,0))</f>
        <v>VICO Dávid</v>
      </c>
      <c r="F71" s="22" t="s">
        <v>65</v>
      </c>
      <c r="G71" s="22" t="s">
        <v>40</v>
      </c>
      <c r="H71" s="28" t="s">
        <v>25</v>
      </c>
      <c r="I71" s="28" t="s">
        <v>383</v>
      </c>
      <c r="J71" s="422" t="s">
        <v>650</v>
      </c>
      <c r="K71" s="23">
        <v>2</v>
      </c>
      <c r="L71" s="21"/>
      <c r="P71" s="38" t="str">
        <f t="shared" ref="P71:P77" si="4">CONCATENATE(F71,VLOOKUP(G71,$S$5:$T$14,2,0),LEFT(H71,1))</f>
        <v>CH52</v>
      </c>
      <c r="Q71" s="38" t="str">
        <f t="shared" ref="Q71:Q77" si="5">CONCATENATE(F71,VLOOKUP(G71,$S$5:$T$14,2,0),RIGHT(H71,1))</f>
        <v>CH53</v>
      </c>
    </row>
    <row r="72" spans="1:17" s="20" customFormat="1" ht="36">
      <c r="A72" s="84" t="str">
        <f t="shared" si="3"/>
        <v>CHF1-4</v>
      </c>
      <c r="B72" s="85"/>
      <c r="C72" s="22">
        <v>67</v>
      </c>
      <c r="D72" s="22" t="str">
        <f>IF(ISERROR(VLOOKUP(P72,vylosovanie!$A$8:$J$68,6,0))=TRUE,"",VLOOKUP(P72,vylosovanie!$A$8:$J$68,6,0))</f>
        <v>CYPRICH Samuel</v>
      </c>
      <c r="E72" s="22" t="str">
        <f>IF(ISERROR(VLOOKUP(Q72,vylosovanie!$A$8:$J$68,6,0))=TRUE,"",VLOOKUP(Q72,vylosovanie!$A$8:$J$68,6,0))</f>
        <v>KALINKA Timotej</v>
      </c>
      <c r="F72" s="22" t="s">
        <v>65</v>
      </c>
      <c r="G72" s="22" t="s">
        <v>41</v>
      </c>
      <c r="H72" s="28" t="s">
        <v>24</v>
      </c>
      <c r="I72" s="28" t="s">
        <v>383</v>
      </c>
      <c r="J72" s="422" t="s">
        <v>650</v>
      </c>
      <c r="K72" s="23">
        <v>3</v>
      </c>
      <c r="L72" s="21"/>
      <c r="P72" s="38" t="str">
        <f t="shared" si="4"/>
        <v>CH61</v>
      </c>
      <c r="Q72" s="38" t="str">
        <f t="shared" si="5"/>
        <v>CH64</v>
      </c>
    </row>
    <row r="73" spans="1:17" s="20" customFormat="1" ht="36">
      <c r="A73" s="84" t="str">
        <f t="shared" si="3"/>
        <v>CHF2-3</v>
      </c>
      <c r="B73" s="85"/>
      <c r="C73" s="22">
        <v>68</v>
      </c>
      <c r="D73" s="22" t="str">
        <f>IF(ISERROR(VLOOKUP(P73,vylosovanie!$A$8:$J$68,6,0))=TRUE,"",VLOOKUP(P73,vylosovanie!$A$8:$J$68,6,0))</f>
        <v>MILAN Martin</v>
      </c>
      <c r="E73" s="22" t="str">
        <f>IF(ISERROR(VLOOKUP(Q73,vylosovanie!$A$8:$J$68,6,0))=TRUE,"",VLOOKUP(Q73,vylosovanie!$A$8:$J$68,6,0))</f>
        <v>PACH Kamil</v>
      </c>
      <c r="F73" s="22" t="s">
        <v>65</v>
      </c>
      <c r="G73" s="22" t="s">
        <v>41</v>
      </c>
      <c r="H73" s="28" t="s">
        <v>25</v>
      </c>
      <c r="I73" s="28" t="s">
        <v>383</v>
      </c>
      <c r="J73" s="422" t="s">
        <v>650</v>
      </c>
      <c r="K73" s="23">
        <v>4</v>
      </c>
      <c r="L73" s="21"/>
      <c r="P73" s="38" t="str">
        <f t="shared" si="4"/>
        <v>CH62</v>
      </c>
      <c r="Q73" s="38" t="str">
        <f t="shared" si="5"/>
        <v>CH63</v>
      </c>
    </row>
    <row r="74" spans="1:17" s="20" customFormat="1" ht="36">
      <c r="A74" s="84" t="str">
        <f t="shared" si="3"/>
        <v>CHG1-4</v>
      </c>
      <c r="B74" s="85"/>
      <c r="C74" s="22">
        <v>69</v>
      </c>
      <c r="D74" s="22" t="str">
        <f>IF(ISERROR(VLOOKUP(P74,vylosovanie!$A$8:$J$68,6,0))=TRUE,"",VLOOKUP(P74,vylosovanie!$A$8:$J$68,6,0))</f>
        <v>TUREK Teodor</v>
      </c>
      <c r="E74" s="22" t="str">
        <f>IF(ISERROR(VLOOKUP(Q74,vylosovanie!$A$8:$J$68,6,0))=TRUE,"",VLOOKUP(Q74,vylosovanie!$A$8:$J$68,6,0))</f>
        <v>GREGOR Jakub</v>
      </c>
      <c r="F74" s="22" t="s">
        <v>65</v>
      </c>
      <c r="G74" s="22" t="s">
        <v>42</v>
      </c>
      <c r="H74" s="28" t="s">
        <v>24</v>
      </c>
      <c r="I74" s="28" t="s">
        <v>383</v>
      </c>
      <c r="J74" s="422" t="s">
        <v>650</v>
      </c>
      <c r="K74" s="23">
        <v>5</v>
      </c>
      <c r="L74" s="21"/>
      <c r="P74" s="38" t="str">
        <f t="shared" si="4"/>
        <v>CH71</v>
      </c>
      <c r="Q74" s="38" t="str">
        <f t="shared" si="5"/>
        <v>CH74</v>
      </c>
    </row>
    <row r="75" spans="1:17" s="20" customFormat="1" ht="36">
      <c r="A75" s="84" t="str">
        <f t="shared" si="3"/>
        <v>CHG2-3</v>
      </c>
      <c r="B75" s="85"/>
      <c r="C75" s="22">
        <v>70</v>
      </c>
      <c r="D75" s="22" t="str">
        <f>IF(ISERROR(VLOOKUP(P75,vylosovanie!$A$8:$J$68,6,0))=TRUE,"",VLOOKUP(P75,vylosovanie!$A$8:$J$68,6,0))</f>
        <v>JALOVECKÝ Marek</v>
      </c>
      <c r="E75" s="22" t="str">
        <f>IF(ISERROR(VLOOKUP(Q75,vylosovanie!$A$8:$J$68,6,0))=TRUE,"",VLOOKUP(Q75,vylosovanie!$A$8:$J$68,6,0))</f>
        <v>FEČO Michal</v>
      </c>
      <c r="F75" s="22" t="s">
        <v>65</v>
      </c>
      <c r="G75" s="22" t="s">
        <v>42</v>
      </c>
      <c r="H75" s="28" t="s">
        <v>25</v>
      </c>
      <c r="I75" s="28" t="s">
        <v>383</v>
      </c>
      <c r="J75" s="422" t="s">
        <v>650</v>
      </c>
      <c r="K75" s="23">
        <v>6</v>
      </c>
      <c r="L75" s="21"/>
      <c r="P75" s="38" t="str">
        <f t="shared" si="4"/>
        <v>CH72</v>
      </c>
      <c r="Q75" s="38" t="str">
        <f t="shared" si="5"/>
        <v>CH73</v>
      </c>
    </row>
    <row r="76" spans="1:17" s="20" customFormat="1" ht="36">
      <c r="A76" s="84" t="str">
        <f t="shared" si="3"/>
        <v>CHH1-4</v>
      </c>
      <c r="B76" s="85"/>
      <c r="C76" s="22">
        <v>71</v>
      </c>
      <c r="D76" s="22" t="str">
        <f>IF(ISERROR(VLOOKUP(P76,vylosovanie!$A$8:$J$68,6,0))=TRUE,"",VLOOKUP(P76,vylosovanie!$A$8:$J$68,6,0))</f>
        <v>PAPÁNEK Martin</v>
      </c>
      <c r="E76" s="22" t="str">
        <f>IF(ISERROR(VLOOKUP(Q76,vylosovanie!$A$8:$J$68,6,0))=TRUE,"",VLOOKUP(Q76,vylosovanie!$A$8:$J$68,6,0))</f>
        <v>TRUBÁČIK Tomáš</v>
      </c>
      <c r="F76" s="22" t="s">
        <v>65</v>
      </c>
      <c r="G76" s="22" t="s">
        <v>43</v>
      </c>
      <c r="H76" s="28" t="s">
        <v>24</v>
      </c>
      <c r="I76" s="28" t="s">
        <v>383</v>
      </c>
      <c r="J76" s="422" t="s">
        <v>650</v>
      </c>
      <c r="K76" s="23">
        <v>7</v>
      </c>
      <c r="L76" s="21"/>
      <c r="P76" s="38" t="str">
        <f t="shared" si="4"/>
        <v>CH81</v>
      </c>
      <c r="Q76" s="38" t="str">
        <f t="shared" si="5"/>
        <v>CH84</v>
      </c>
    </row>
    <row r="77" spans="1:17" s="20" customFormat="1" ht="36">
      <c r="A77" s="84" t="str">
        <f t="shared" si="3"/>
        <v>CHH2-3</v>
      </c>
      <c r="B77" s="85"/>
      <c r="C77" s="22">
        <v>72</v>
      </c>
      <c r="D77" s="22" t="str">
        <f>IF(ISERROR(VLOOKUP(P77,vylosovanie!$A$8:$J$68,6,0))=TRUE,"",VLOOKUP(P77,vylosovanie!$A$8:$J$68,6,0))</f>
        <v>FUSEK Patrik</v>
      </c>
      <c r="E77" s="22" t="str">
        <f>IF(ISERROR(VLOOKUP(Q77,vylosovanie!$A$8:$J$68,6,0))=TRUE,"",VLOOKUP(Q77,vylosovanie!$A$8:$J$68,6,0))</f>
        <v>MAKÚCH Damian</v>
      </c>
      <c r="F77" s="22" t="s">
        <v>65</v>
      </c>
      <c r="G77" s="22" t="s">
        <v>43</v>
      </c>
      <c r="H77" s="28" t="s">
        <v>25</v>
      </c>
      <c r="I77" s="28" t="s">
        <v>383</v>
      </c>
      <c r="J77" s="422" t="s">
        <v>650</v>
      </c>
      <c r="K77" s="23">
        <v>8</v>
      </c>
      <c r="L77" s="21"/>
      <c r="P77" s="38" t="str">
        <f t="shared" si="4"/>
        <v>CH82</v>
      </c>
      <c r="Q77" s="38" t="str">
        <f t="shared" si="5"/>
        <v>CH83</v>
      </c>
    </row>
    <row r="78" spans="1:17" s="20" customFormat="1" ht="36">
      <c r="A78" s="84"/>
      <c r="B78" s="85"/>
      <c r="H78" s="29"/>
      <c r="I78" s="29"/>
      <c r="J78" s="416"/>
      <c r="K78" s="21"/>
      <c r="L78" s="21"/>
      <c r="P78" s="38"/>
      <c r="Q78" s="38"/>
    </row>
    <row r="79" spans="1:17" s="20" customFormat="1" ht="36">
      <c r="A79" s="84"/>
      <c r="B79" s="85"/>
      <c r="E79" s="20" t="s">
        <v>131</v>
      </c>
      <c r="H79" s="29"/>
      <c r="I79" s="29"/>
      <c r="J79" s="416"/>
      <c r="K79" s="21"/>
      <c r="L79" s="21"/>
      <c r="P79" s="38"/>
      <c r="Q79" s="38"/>
    </row>
    <row r="80" spans="1:17" s="20" customFormat="1" ht="36">
      <c r="A80" s="84"/>
      <c r="B80" s="85"/>
      <c r="C80" s="22" t="s">
        <v>60</v>
      </c>
      <c r="D80" s="22" t="s">
        <v>61</v>
      </c>
      <c r="E80" s="22" t="s">
        <v>61</v>
      </c>
      <c r="F80" s="22" t="s">
        <v>63</v>
      </c>
      <c r="G80" s="22" t="s">
        <v>64</v>
      </c>
      <c r="H80" s="28" t="s">
        <v>14</v>
      </c>
      <c r="I80" s="28" t="s">
        <v>67</v>
      </c>
      <c r="J80" s="416" t="s">
        <v>15</v>
      </c>
      <c r="K80" s="23" t="s">
        <v>16</v>
      </c>
      <c r="L80" s="21"/>
      <c r="P80" s="38"/>
      <c r="Q80" s="38"/>
    </row>
    <row r="81" spans="1:17" s="20" customFormat="1" ht="36">
      <c r="A81" s="84" t="str">
        <f>CONCATENATE(F81,G81,H81,1)</f>
        <v>D4P21</v>
      </c>
      <c r="B81" s="85" t="str">
        <f>CONCATENATE(F81,G81,H81,2)</f>
        <v>D4P22</v>
      </c>
      <c r="C81" s="22">
        <v>73</v>
      </c>
      <c r="D81" s="22" t="str">
        <f>VLOOKUP('zoznam zapasov'!A81,'KO KODY SPOLU'!$A$3:$B$189,2,0)</f>
        <v>PISARČIKOVÁ / HUDÁKOVÁ</v>
      </c>
      <c r="E81" s="22" t="str">
        <f>VLOOKUP('zoznam zapasov'!B81,'KO KODY SPOLU'!$A$3:$B$189,2,0)</f>
        <v>CHYLOVÁ / PAPCUNOVÁ</v>
      </c>
      <c r="F81" s="22" t="s">
        <v>95</v>
      </c>
      <c r="G81" s="22" t="s">
        <v>128</v>
      </c>
      <c r="H81" s="28" t="s">
        <v>162</v>
      </c>
      <c r="I81" s="28" t="s">
        <v>383</v>
      </c>
      <c r="J81" s="422" t="s">
        <v>651</v>
      </c>
      <c r="K81" s="23">
        <v>1</v>
      </c>
      <c r="L81" s="21"/>
      <c r="P81" s="38"/>
      <c r="Q81" s="38"/>
    </row>
    <row r="82" spans="1:17" s="20" customFormat="1" ht="36">
      <c r="A82" s="84" t="str">
        <f t="shared" ref="A82:A108" si="6">CONCATENATE(F82,G82,H82,1)</f>
        <v>D4P31</v>
      </c>
      <c r="B82" s="85" t="str">
        <f t="shared" ref="B82:B108" si="7">CONCATENATE(F82,G82,H82,2)</f>
        <v>D4P32</v>
      </c>
      <c r="C82" s="22">
        <v>74</v>
      </c>
      <c r="D82" s="22" t="str">
        <f>VLOOKUP('zoznam zapasov'!A82,'KO KODY SPOLU'!$A$3:$B$189,2,0)</f>
        <v>ŠVAJDLENKOVÁ / HURBANOVÁ</v>
      </c>
      <c r="E82" s="22" t="str">
        <f>VLOOKUP('zoznam zapasov'!B82,'KO KODY SPOLU'!$A$3:$B$189,2,0)</f>
        <v>SISKOVÁ / GORFOLOVÁ</v>
      </c>
      <c r="F82" s="22" t="s">
        <v>95</v>
      </c>
      <c r="G82" s="22" t="s">
        <v>128</v>
      </c>
      <c r="H82" s="28" t="s">
        <v>163</v>
      </c>
      <c r="I82" s="28" t="s">
        <v>383</v>
      </c>
      <c r="J82" s="422" t="s">
        <v>651</v>
      </c>
      <c r="K82" s="23">
        <v>3</v>
      </c>
      <c r="L82" s="21"/>
      <c r="P82" s="38"/>
      <c r="Q82" s="38"/>
    </row>
    <row r="83" spans="1:17" s="20" customFormat="1" ht="36">
      <c r="A83" s="84" t="str">
        <f t="shared" si="6"/>
        <v>D4P61</v>
      </c>
      <c r="B83" s="85" t="str">
        <f t="shared" si="7"/>
        <v>D4P62</v>
      </c>
      <c r="C83" s="22">
        <v>75</v>
      </c>
      <c r="D83" s="22" t="str">
        <f>VLOOKUP('zoznam zapasov'!A83,'KO KODY SPOLU'!$A$3:$B$189,2,0)</f>
        <v>VIŠŇOVSKÁ / LEDAJOVÁ</v>
      </c>
      <c r="E83" s="22" t="str">
        <f>VLOOKUP('zoznam zapasov'!B83,'KO KODY SPOLU'!$A$3:$B$189,2,0)</f>
        <v>MIKULOVÁ / DZUROVÁ</v>
      </c>
      <c r="F83" s="22" t="s">
        <v>95</v>
      </c>
      <c r="G83" s="22" t="s">
        <v>128</v>
      </c>
      <c r="H83" s="28" t="s">
        <v>311</v>
      </c>
      <c r="I83" s="28" t="s">
        <v>383</v>
      </c>
      <c r="J83" s="422" t="s">
        <v>651</v>
      </c>
      <c r="K83" s="23">
        <v>6</v>
      </c>
      <c r="L83" s="21"/>
      <c r="P83" s="38"/>
      <c r="Q83" s="38"/>
    </row>
    <row r="84" spans="1:17" s="20" customFormat="1" ht="36">
      <c r="A84" s="84" t="str">
        <f t="shared" si="6"/>
        <v>D4P71</v>
      </c>
      <c r="B84" s="85" t="str">
        <f t="shared" si="7"/>
        <v>D4P72</v>
      </c>
      <c r="C84" s="22">
        <v>76</v>
      </c>
      <c r="D84" s="22" t="str">
        <f>VLOOKUP('zoznam zapasov'!A84,'KO KODY SPOLU'!$A$3:$B$189,2,0)</f>
        <v>SLOBODNÍKOVÁ / LACENOVÁ</v>
      </c>
      <c r="E84" s="22" t="str">
        <f>VLOOKUP('zoznam zapasov'!B84,'KO KODY SPOLU'!$A$3:$B$189,2,0)</f>
        <v>GALČÍKOVÁ / VOJTASOVA</v>
      </c>
      <c r="F84" s="22" t="s">
        <v>95</v>
      </c>
      <c r="G84" s="22" t="s">
        <v>128</v>
      </c>
      <c r="H84" s="28" t="s">
        <v>312</v>
      </c>
      <c r="I84" s="28" t="s">
        <v>383</v>
      </c>
      <c r="J84" s="422" t="s">
        <v>651</v>
      </c>
      <c r="K84" s="23">
        <v>8</v>
      </c>
      <c r="L84" s="21"/>
      <c r="P84" s="38"/>
      <c r="Q84" s="38"/>
    </row>
    <row r="85" spans="1:17" s="20" customFormat="1" ht="36">
      <c r="A85" s="84" t="str">
        <f t="shared" si="6"/>
        <v>CH4P11</v>
      </c>
      <c r="B85" s="85" t="str">
        <f t="shared" si="7"/>
        <v>CH4P12</v>
      </c>
      <c r="C85" s="22">
        <v>77</v>
      </c>
      <c r="D85" s="22" t="str">
        <f>VLOOKUP('zoznam zapasov'!A85,'KO KODY SPOLU'!$A$3:$B$189,2,0)</f>
        <v>DIKO / KYSEL</v>
      </c>
      <c r="E85" s="22" t="str">
        <f>VLOOKUP('zoznam zapasov'!B85,'KO KODY SPOLU'!$A$3:$B$189,2,0)</f>
        <v>VICO / KLUČÁR</v>
      </c>
      <c r="F85" s="22" t="s">
        <v>309</v>
      </c>
      <c r="G85" s="22" t="s">
        <v>128</v>
      </c>
      <c r="H85" s="28" t="s">
        <v>129</v>
      </c>
      <c r="I85" s="28" t="s">
        <v>383</v>
      </c>
      <c r="J85" s="424" t="s">
        <v>652</v>
      </c>
      <c r="K85" s="23">
        <v>1</v>
      </c>
      <c r="L85" s="21"/>
      <c r="P85" s="38"/>
      <c r="Q85" s="38"/>
    </row>
    <row r="86" spans="1:17" s="20" customFormat="1" ht="36">
      <c r="A86" s="84" t="str">
        <f t="shared" si="6"/>
        <v>CH4P21</v>
      </c>
      <c r="B86" s="85" t="str">
        <f t="shared" si="7"/>
        <v>CH4P22</v>
      </c>
      <c r="C86" s="22">
        <v>78</v>
      </c>
      <c r="D86" s="22" t="str">
        <f>VLOOKUP('zoznam zapasov'!A86,'KO KODY SPOLU'!$A$3:$B$189,2,0)</f>
        <v>PACH / DELINČAK</v>
      </c>
      <c r="E86" s="22" t="str">
        <f>VLOOKUP('zoznam zapasov'!B86,'KO KODY SPOLU'!$A$3:$B$189,2,0)</f>
        <v>KLAJBER / IVANČO</v>
      </c>
      <c r="F86" s="22" t="s">
        <v>309</v>
      </c>
      <c r="G86" s="22" t="s">
        <v>128</v>
      </c>
      <c r="H86" s="28" t="s">
        <v>162</v>
      </c>
      <c r="I86" s="28" t="s">
        <v>383</v>
      </c>
      <c r="J86" s="424" t="s">
        <v>652</v>
      </c>
      <c r="K86" s="23">
        <v>2</v>
      </c>
      <c r="L86" s="21"/>
      <c r="P86" s="38"/>
      <c r="Q86" s="38"/>
    </row>
    <row r="87" spans="1:17" s="20" customFormat="1" ht="36">
      <c r="A87" s="84" t="str">
        <f t="shared" si="6"/>
        <v>CH4P31</v>
      </c>
      <c r="B87" s="85" t="str">
        <f t="shared" si="7"/>
        <v>CH4P32</v>
      </c>
      <c r="C87" s="22">
        <v>79</v>
      </c>
      <c r="D87" s="22" t="str">
        <f>VLOOKUP('zoznam zapasov'!A87,'KO KODY SPOLU'!$A$3:$B$189,2,0)</f>
        <v>FUSEK / FREUND</v>
      </c>
      <c r="E87" s="22" t="str">
        <f>VLOOKUP('zoznam zapasov'!B87,'KO KODY SPOLU'!$A$3:$B$189,2,0)</f>
        <v>MACKO / GREGOR</v>
      </c>
      <c r="F87" s="22" t="s">
        <v>309</v>
      </c>
      <c r="G87" s="22" t="s">
        <v>128</v>
      </c>
      <c r="H87" s="28" t="s">
        <v>163</v>
      </c>
      <c r="I87" s="28" t="s">
        <v>383</v>
      </c>
      <c r="J87" s="424" t="s">
        <v>652</v>
      </c>
      <c r="K87" s="23">
        <v>3</v>
      </c>
      <c r="L87" s="21"/>
      <c r="P87" s="38"/>
      <c r="Q87" s="38"/>
    </row>
    <row r="88" spans="1:17" s="20" customFormat="1" ht="36">
      <c r="A88" s="84" t="str">
        <f t="shared" si="6"/>
        <v>CH4P41</v>
      </c>
      <c r="B88" s="85" t="str">
        <f t="shared" si="7"/>
        <v>CH4P42</v>
      </c>
      <c r="C88" s="22">
        <v>80</v>
      </c>
      <c r="D88" s="22" t="str">
        <f>VLOOKUP('zoznam zapasov'!A88,'KO KODY SPOLU'!$A$3:$B$189,2,0)</f>
        <v>FEČO / KAPUSTA</v>
      </c>
      <c r="E88" s="22" t="str">
        <f>VLOOKUP('zoznam zapasov'!B88,'KO KODY SPOLU'!$A$3:$B$189,2,0)</f>
        <v>FEČO / PAPÁNEK</v>
      </c>
      <c r="F88" s="22" t="s">
        <v>309</v>
      </c>
      <c r="G88" s="22" t="s">
        <v>128</v>
      </c>
      <c r="H88" s="28" t="s">
        <v>164</v>
      </c>
      <c r="I88" s="28" t="s">
        <v>383</v>
      </c>
      <c r="J88" s="424" t="s">
        <v>652</v>
      </c>
      <c r="K88" s="23">
        <v>4</v>
      </c>
      <c r="L88" s="21"/>
      <c r="P88" s="38"/>
      <c r="Q88" s="38"/>
    </row>
    <row r="89" spans="1:17" s="20" customFormat="1" ht="36">
      <c r="A89" s="84" t="str">
        <f t="shared" si="6"/>
        <v>CH4P51</v>
      </c>
      <c r="B89" s="85" t="str">
        <f t="shared" si="7"/>
        <v>CH4P52</v>
      </c>
      <c r="C89" s="22">
        <v>81</v>
      </c>
      <c r="D89" s="22" t="str">
        <f>VLOOKUP('zoznam zapasov'!A89,'KO KODY SPOLU'!$A$3:$B$189,2,0)</f>
        <v>PETRÍK / TUREK</v>
      </c>
      <c r="E89" s="22" t="str">
        <f>VLOOKUP('zoznam zapasov'!B89,'KO KODY SPOLU'!$A$3:$B$189,2,0)</f>
        <v>SUCHA / MIKLUŠČÁK</v>
      </c>
      <c r="F89" s="22" t="s">
        <v>309</v>
      </c>
      <c r="G89" s="22" t="s">
        <v>128</v>
      </c>
      <c r="H89" s="28" t="s">
        <v>310</v>
      </c>
      <c r="I89" s="28" t="s">
        <v>383</v>
      </c>
      <c r="J89" s="424" t="s">
        <v>652</v>
      </c>
      <c r="K89" s="23">
        <v>5</v>
      </c>
      <c r="L89" s="21"/>
      <c r="P89" s="38"/>
      <c r="Q89" s="38"/>
    </row>
    <row r="90" spans="1:17" s="20" customFormat="1" ht="36">
      <c r="A90" s="84" t="str">
        <f t="shared" si="6"/>
        <v>CH4P61</v>
      </c>
      <c r="B90" s="85" t="str">
        <f t="shared" si="7"/>
        <v>CH4P62</v>
      </c>
      <c r="C90" s="22">
        <v>82</v>
      </c>
      <c r="D90" s="22" t="str">
        <f>VLOOKUP('zoznam zapasov'!A90,'KO KODY SPOLU'!$A$3:$B$189,2,0)</f>
        <v>TRŇAN / TRUBÁČIK</v>
      </c>
      <c r="E90" s="22" t="str">
        <f>VLOOKUP('zoznam zapasov'!B90,'KO KODY SPOLU'!$A$3:$B$189,2,0)</f>
        <v>ĎANOVSKÝ / MILAN</v>
      </c>
      <c r="F90" s="22" t="s">
        <v>309</v>
      </c>
      <c r="G90" s="22" t="s">
        <v>128</v>
      </c>
      <c r="H90" s="28" t="s">
        <v>311</v>
      </c>
      <c r="I90" s="28" t="s">
        <v>383</v>
      </c>
      <c r="J90" s="424" t="s">
        <v>652</v>
      </c>
      <c r="K90" s="23">
        <v>6</v>
      </c>
      <c r="L90" s="21"/>
      <c r="P90" s="38"/>
      <c r="Q90" s="38"/>
    </row>
    <row r="91" spans="1:17" s="20" customFormat="1" ht="36">
      <c r="A91" s="84" t="str">
        <f t="shared" si="6"/>
        <v>CH4P71</v>
      </c>
      <c r="B91" s="85" t="str">
        <f t="shared" si="7"/>
        <v>CH4P72</v>
      </c>
      <c r="C91" s="22">
        <v>83</v>
      </c>
      <c r="D91" s="22" t="str">
        <f>VLOOKUP('zoznam zapasov'!A91,'KO KODY SPOLU'!$A$3:$B$189,2,0)</f>
        <v>HURKA / JALOVECKÝ</v>
      </c>
      <c r="E91" s="22" t="str">
        <f>VLOOKUP('zoznam zapasov'!B91,'KO KODY SPOLU'!$A$3:$B$189,2,0)</f>
        <v>ZAJAC / MAKÚCH</v>
      </c>
      <c r="F91" s="22" t="s">
        <v>309</v>
      </c>
      <c r="G91" s="22" t="s">
        <v>128</v>
      </c>
      <c r="H91" s="28" t="s">
        <v>312</v>
      </c>
      <c r="I91" s="28" t="s">
        <v>383</v>
      </c>
      <c r="J91" s="424" t="s">
        <v>652</v>
      </c>
      <c r="K91" s="23">
        <v>7</v>
      </c>
      <c r="L91" s="21"/>
      <c r="P91" s="38"/>
      <c r="Q91" s="38"/>
    </row>
    <row r="92" spans="1:17" s="20" customFormat="1" ht="36">
      <c r="A92" s="84" t="str">
        <f t="shared" si="6"/>
        <v>CH4P81</v>
      </c>
      <c r="B92" s="85" t="str">
        <f t="shared" si="7"/>
        <v>CH4P82</v>
      </c>
      <c r="C92" s="22">
        <v>84</v>
      </c>
      <c r="D92" s="22" t="str">
        <f>VLOOKUP('zoznam zapasov'!A92,'KO KODY SPOLU'!$A$3:$B$189,2,0)</f>
        <v>MARUNIAK / KALINKA</v>
      </c>
      <c r="E92" s="22" t="str">
        <f>VLOOKUP('zoznam zapasov'!B92,'KO KODY SPOLU'!$A$3:$B$189,2,0)</f>
        <v>PINDURA / CYPRICH</v>
      </c>
      <c r="F92" s="22" t="s">
        <v>309</v>
      </c>
      <c r="G92" s="22" t="s">
        <v>128</v>
      </c>
      <c r="H92" s="28" t="s">
        <v>313</v>
      </c>
      <c r="I92" s="28" t="s">
        <v>383</v>
      </c>
      <c r="J92" s="424" t="s">
        <v>652</v>
      </c>
      <c r="K92" s="23">
        <v>8</v>
      </c>
      <c r="L92" s="21"/>
      <c r="P92" s="38"/>
      <c r="Q92" s="38"/>
    </row>
    <row r="93" spans="1:17" s="20" customFormat="1" ht="36">
      <c r="A93" s="84" t="str">
        <f t="shared" si="6"/>
        <v>MIXP21</v>
      </c>
      <c r="B93" s="85" t="str">
        <f t="shared" si="7"/>
        <v>MIXP22</v>
      </c>
      <c r="C93" s="22">
        <v>85</v>
      </c>
      <c r="D93" s="22" t="str">
        <f>VLOOKUP('zoznam zapasov'!A93,'KO KODY SPOLU'!$A$3:$B$189,2,0)</f>
        <v>VICO / HUDÁKOVÁ</v>
      </c>
      <c r="E93" s="22" t="str">
        <f>VLOOKUP('zoznam zapasov'!B93,'KO KODY SPOLU'!$A$3:$B$189,2,0)</f>
        <v>MILAN / GAŠPARÍKOVÁ</v>
      </c>
      <c r="F93" s="22" t="s">
        <v>316</v>
      </c>
      <c r="G93" s="22" t="s">
        <v>128</v>
      </c>
      <c r="H93" s="28" t="s">
        <v>162</v>
      </c>
      <c r="I93" s="28" t="s">
        <v>383</v>
      </c>
      <c r="J93" s="422" t="s">
        <v>653</v>
      </c>
      <c r="K93" s="23">
        <v>1</v>
      </c>
      <c r="L93" s="21"/>
      <c r="P93" s="38"/>
      <c r="Q93" s="38"/>
    </row>
    <row r="94" spans="1:17" s="20" customFormat="1" ht="36">
      <c r="A94" s="84" t="str">
        <f t="shared" si="6"/>
        <v>MIXP31</v>
      </c>
      <c r="B94" s="85" t="str">
        <f t="shared" si="7"/>
        <v>MIXP32</v>
      </c>
      <c r="C94" s="22">
        <v>86</v>
      </c>
      <c r="D94" s="22" t="str">
        <f>VLOOKUP('zoznam zapasov'!A94,'KO KODY SPOLU'!$A$3:$B$189,2,0)</f>
        <v>PACH / VIŠŇOVSKÁ</v>
      </c>
      <c r="E94" s="22" t="str">
        <f>VLOOKUP('zoznam zapasov'!B94,'KO KODY SPOLU'!$A$3:$B$189,2,0)</f>
        <v>KAPUSTA / CHYLOVÁ</v>
      </c>
      <c r="F94" s="22" t="s">
        <v>316</v>
      </c>
      <c r="G94" s="22" t="s">
        <v>128</v>
      </c>
      <c r="H94" s="28" t="s">
        <v>163</v>
      </c>
      <c r="I94" s="28" t="s">
        <v>383</v>
      </c>
      <c r="J94" s="422" t="s">
        <v>653</v>
      </c>
      <c r="K94" s="23">
        <v>2</v>
      </c>
      <c r="L94" s="21"/>
      <c r="P94" s="38"/>
      <c r="Q94" s="38"/>
    </row>
    <row r="95" spans="1:17" s="20" customFormat="1" ht="36">
      <c r="A95" s="84" t="str">
        <f t="shared" si="6"/>
        <v>MIXP61</v>
      </c>
      <c r="B95" s="85" t="str">
        <f t="shared" si="7"/>
        <v>MIXP62</v>
      </c>
      <c r="C95" s="22">
        <v>87</v>
      </c>
      <c r="D95" s="22" t="str">
        <f>VLOOKUP('zoznam zapasov'!A95,'KO KODY SPOLU'!$A$3:$B$189,2,0)</f>
        <v>KLUČÁR / GORFOLOVÁ</v>
      </c>
      <c r="E95" s="22" t="str">
        <f>VLOOKUP('zoznam zapasov'!B95,'KO KODY SPOLU'!$A$3:$B$189,2,0)</f>
        <v>PAPÁNEK / MIKULOVÁ</v>
      </c>
      <c r="F95" s="22" t="s">
        <v>316</v>
      </c>
      <c r="G95" s="22" t="s">
        <v>128</v>
      </c>
      <c r="H95" s="28" t="s">
        <v>311</v>
      </c>
      <c r="I95" s="28" t="s">
        <v>383</v>
      </c>
      <c r="J95" s="422" t="s">
        <v>653</v>
      </c>
      <c r="K95" s="23">
        <v>3</v>
      </c>
      <c r="L95" s="21"/>
      <c r="P95" s="38"/>
      <c r="Q95" s="38"/>
    </row>
    <row r="96" spans="1:17" s="20" customFormat="1" ht="36">
      <c r="A96" s="84" t="str">
        <f t="shared" si="6"/>
        <v>MIXP71</v>
      </c>
      <c r="B96" s="85" t="str">
        <f t="shared" si="7"/>
        <v>MIXP72</v>
      </c>
      <c r="C96" s="22">
        <v>88</v>
      </c>
      <c r="D96" s="22" t="str">
        <f>VLOOKUP('zoznam zapasov'!A96,'KO KODY SPOLU'!$A$3:$B$189,2,0)</f>
        <v>JALOVECKÝ / SLOBODNÍKOVÁ</v>
      </c>
      <c r="E96" s="22" t="str">
        <f>VLOOKUP('zoznam zapasov'!B96,'KO KODY SPOLU'!$A$3:$B$189,2,0)</f>
        <v>KLAJBER / SISKOVÁ</v>
      </c>
      <c r="F96" s="22" t="s">
        <v>316</v>
      </c>
      <c r="G96" s="22" t="s">
        <v>128</v>
      </c>
      <c r="H96" s="28" t="s">
        <v>312</v>
      </c>
      <c r="I96" s="28" t="s">
        <v>383</v>
      </c>
      <c r="J96" s="422" t="s">
        <v>653</v>
      </c>
      <c r="K96" s="23">
        <v>4</v>
      </c>
      <c r="L96" s="21"/>
      <c r="P96" s="38"/>
      <c r="Q96" s="38"/>
    </row>
    <row r="97" spans="1:17" s="20" customFormat="1" ht="36">
      <c r="A97" s="84" t="str">
        <f t="shared" si="6"/>
        <v>MIXP101</v>
      </c>
      <c r="B97" s="85" t="str">
        <f t="shared" si="7"/>
        <v>MIXP102</v>
      </c>
      <c r="C97" s="22">
        <v>89</v>
      </c>
      <c r="D97" s="22" t="str">
        <f>VLOOKUP('zoznam zapasov'!A97,'KO KODY SPOLU'!$A$3:$B$189,2,0)</f>
        <v>FREUND / LEDAJOVÁ</v>
      </c>
      <c r="E97" s="22" t="str">
        <f>VLOOKUP('zoznam zapasov'!B97,'KO KODY SPOLU'!$A$3:$B$189,2,0)</f>
        <v>MARUNIAK / VOJTASOVA</v>
      </c>
      <c r="F97" s="22" t="s">
        <v>316</v>
      </c>
      <c r="G97" s="22" t="s">
        <v>128</v>
      </c>
      <c r="H97" s="28" t="s">
        <v>349</v>
      </c>
      <c r="I97" s="28" t="s">
        <v>383</v>
      </c>
      <c r="J97" s="422" t="s">
        <v>653</v>
      </c>
      <c r="K97" s="23">
        <v>5</v>
      </c>
      <c r="L97" s="21"/>
      <c r="P97" s="38"/>
      <c r="Q97" s="38"/>
    </row>
    <row r="98" spans="1:17" s="20" customFormat="1" ht="36">
      <c r="A98" s="84" t="str">
        <f t="shared" si="6"/>
        <v>MIXP111</v>
      </c>
      <c r="B98" s="85" t="str">
        <f t="shared" si="7"/>
        <v>MIXP112</v>
      </c>
      <c r="C98" s="22">
        <v>90</v>
      </c>
      <c r="D98" s="22" t="str">
        <f>VLOOKUP('zoznam zapasov'!A98,'KO KODY SPOLU'!$A$3:$B$189,2,0)</f>
        <v>TUREK / DZUROVÁ</v>
      </c>
      <c r="E98" s="22" t="str">
        <f>VLOOKUP('zoznam zapasov'!B98,'KO KODY SPOLU'!$A$3:$B$189,2,0)</f>
        <v>FEČO / TEREZKOVÁ</v>
      </c>
      <c r="F98" s="22" t="s">
        <v>316</v>
      </c>
      <c r="G98" s="22" t="s">
        <v>128</v>
      </c>
      <c r="H98" s="28" t="s">
        <v>350</v>
      </c>
      <c r="I98" s="28" t="s">
        <v>383</v>
      </c>
      <c r="J98" s="422" t="s">
        <v>653</v>
      </c>
      <c r="K98" s="23">
        <v>6</v>
      </c>
      <c r="L98" s="21"/>
      <c r="P98" s="38"/>
      <c r="Q98" s="38"/>
    </row>
    <row r="99" spans="1:17" s="20" customFormat="1" ht="36">
      <c r="A99" s="84" t="str">
        <f t="shared" si="6"/>
        <v>MIXP141</v>
      </c>
      <c r="B99" s="85" t="str">
        <f t="shared" si="7"/>
        <v>MIXP142</v>
      </c>
      <c r="C99" s="22">
        <v>91</v>
      </c>
      <c r="D99" s="22" t="str">
        <f>VLOOKUP('zoznam zapasov'!A99,'KO KODY SPOLU'!$A$3:$B$189,2,0)</f>
        <v>MAKÚCH / GALČÍKOVÁ</v>
      </c>
      <c r="E99" s="22" t="str">
        <f>VLOOKUP('zoznam zapasov'!B99,'KO KODY SPOLU'!$A$3:$B$189,2,0)</f>
        <v>IVANČO / HURBANOVÁ</v>
      </c>
      <c r="F99" s="22" t="s">
        <v>316</v>
      </c>
      <c r="G99" s="22" t="s">
        <v>128</v>
      </c>
      <c r="H99" s="28" t="s">
        <v>353</v>
      </c>
      <c r="I99" s="28" t="s">
        <v>383</v>
      </c>
      <c r="J99" s="422" t="s">
        <v>653</v>
      </c>
      <c r="K99" s="23">
        <v>7</v>
      </c>
      <c r="L99" s="21"/>
      <c r="P99" s="38"/>
      <c r="Q99" s="38"/>
    </row>
    <row r="100" spans="1:17" s="20" customFormat="1" ht="36">
      <c r="A100" s="84" t="str">
        <f t="shared" si="6"/>
        <v>MIXP151</v>
      </c>
      <c r="B100" s="85" t="str">
        <f t="shared" si="7"/>
        <v>MIXP152</v>
      </c>
      <c r="C100" s="22">
        <v>92</v>
      </c>
      <c r="D100" s="22" t="str">
        <f>VLOOKUP('zoznam zapasov'!A100,'KO KODY SPOLU'!$A$3:$B$189,2,0)</f>
        <v>MIKLUŠČÁK / LACENOVÁ</v>
      </c>
      <c r="E100" s="22" t="str">
        <f>VLOOKUP('zoznam zapasov'!B100,'KO KODY SPOLU'!$A$3:$B$189,2,0)</f>
        <v>DELINČAK / PISARČIKOVÁ</v>
      </c>
      <c r="F100" s="22" t="s">
        <v>316</v>
      </c>
      <c r="G100" s="22" t="s">
        <v>128</v>
      </c>
      <c r="H100" s="28" t="s">
        <v>354</v>
      </c>
      <c r="I100" s="28" t="s">
        <v>383</v>
      </c>
      <c r="J100" s="422" t="s">
        <v>653</v>
      </c>
      <c r="K100" s="23">
        <v>8</v>
      </c>
      <c r="L100" s="21"/>
      <c r="P100" s="38"/>
      <c r="Q100" s="38"/>
    </row>
    <row r="101" spans="1:17" s="20" customFormat="1" ht="36">
      <c r="A101" s="84" t="str">
        <f t="shared" si="6"/>
        <v>MIXP171</v>
      </c>
      <c r="B101" s="85" t="str">
        <f t="shared" si="7"/>
        <v>MIXP172</v>
      </c>
      <c r="C101" s="22">
        <v>93</v>
      </c>
      <c r="D101" s="22" t="str">
        <f>VLOOKUP('zoznam zapasov'!A101,'KO KODY SPOLU'!$A$3:$B$189,2,0)</f>
        <v>KYSEL / LABOŠOVÁ</v>
      </c>
      <c r="E101" s="22" t="str">
        <f>VLOOKUP('zoznam zapasov'!B101,'KO KODY SPOLU'!$A$3:$B$189,2,0)</f>
        <v>MILAN / GAŠPARÍKOVÁ</v>
      </c>
      <c r="F101" s="22" t="s">
        <v>316</v>
      </c>
      <c r="G101" s="22" t="s">
        <v>128</v>
      </c>
      <c r="H101" s="28" t="s">
        <v>359</v>
      </c>
      <c r="I101" s="28" t="s">
        <v>383</v>
      </c>
      <c r="J101" s="424" t="s">
        <v>654</v>
      </c>
      <c r="K101" s="23">
        <v>1</v>
      </c>
      <c r="L101" s="21"/>
      <c r="P101" s="38"/>
      <c r="Q101" s="38"/>
    </row>
    <row r="102" spans="1:17" s="20" customFormat="1" ht="36">
      <c r="A102" s="84" t="str">
        <f t="shared" si="6"/>
        <v>MIXP181</v>
      </c>
      <c r="B102" s="85" t="str">
        <f t="shared" si="7"/>
        <v>MIXP182</v>
      </c>
      <c r="C102" s="22">
        <v>94</v>
      </c>
      <c r="D102" s="22" t="str">
        <f>VLOOKUP('zoznam zapasov'!A102,'KO KODY SPOLU'!$A$3:$B$189,2,0)</f>
        <v>PACH / VIŠŇOVSKÁ</v>
      </c>
      <c r="E102" s="22" t="str">
        <f>VLOOKUP('zoznam zapasov'!B102,'KO KODY SPOLU'!$A$3:$B$189,2,0)</f>
        <v>HURKA / MAJERSKÁ</v>
      </c>
      <c r="F102" s="22" t="s">
        <v>316</v>
      </c>
      <c r="G102" s="22" t="s">
        <v>128</v>
      </c>
      <c r="H102" s="28" t="s">
        <v>360</v>
      </c>
      <c r="I102" s="28" t="s">
        <v>383</v>
      </c>
      <c r="J102" s="424" t="s">
        <v>654</v>
      </c>
      <c r="K102" s="23">
        <v>2</v>
      </c>
      <c r="L102" s="21"/>
      <c r="P102" s="38"/>
      <c r="Q102" s="38"/>
    </row>
    <row r="103" spans="1:17" s="20" customFormat="1" ht="36">
      <c r="A103" s="84" t="str">
        <f t="shared" si="6"/>
        <v>MIXP191</v>
      </c>
      <c r="B103" s="85" t="str">
        <f t="shared" si="7"/>
        <v>MIXP192</v>
      </c>
      <c r="C103" s="22">
        <v>95</v>
      </c>
      <c r="D103" s="22" t="str">
        <f>VLOOKUP('zoznam zapasov'!A103,'KO KODY SPOLU'!$A$3:$B$189,2,0)</f>
        <v>ĎANOVSKÝ / DIVINSKÁ</v>
      </c>
      <c r="E103" s="22" t="str">
        <f>VLOOKUP('zoznam zapasov'!B103,'KO KODY SPOLU'!$A$3:$B$189,2,0)</f>
        <v>KLUČÁR / GORFOLOVÁ</v>
      </c>
      <c r="F103" s="22" t="s">
        <v>316</v>
      </c>
      <c r="G103" s="22" t="s">
        <v>128</v>
      </c>
      <c r="H103" s="28" t="s">
        <v>361</v>
      </c>
      <c r="I103" s="28" t="s">
        <v>383</v>
      </c>
      <c r="J103" s="424" t="s">
        <v>654</v>
      </c>
      <c r="K103" s="23">
        <v>3</v>
      </c>
      <c r="L103" s="21"/>
      <c r="P103" s="38"/>
      <c r="Q103" s="38"/>
    </row>
    <row r="104" spans="1:17" s="20" customFormat="1" ht="36">
      <c r="A104" s="84" t="str">
        <f t="shared" si="6"/>
        <v>MIXP201</v>
      </c>
      <c r="B104" s="85" t="str">
        <f t="shared" si="7"/>
        <v>MIXP202</v>
      </c>
      <c r="C104" s="22">
        <v>96</v>
      </c>
      <c r="D104" s="22" t="str">
        <f>VLOOKUP('zoznam zapasov'!A104,'KO KODY SPOLU'!$A$3:$B$189,2,0)</f>
        <v>JALOVECKÝ / SLOBODNÍKOVÁ</v>
      </c>
      <c r="E104" s="22" t="str">
        <f>VLOOKUP('zoznam zapasov'!B104,'KO KODY SPOLU'!$A$3:$B$189,2,0)</f>
        <v>FEČO / DZELINSKA</v>
      </c>
      <c r="F104" s="22" t="s">
        <v>316</v>
      </c>
      <c r="G104" s="22" t="s">
        <v>128</v>
      </c>
      <c r="H104" s="28" t="s">
        <v>362</v>
      </c>
      <c r="I104" s="28" t="s">
        <v>383</v>
      </c>
      <c r="J104" s="424" t="s">
        <v>654</v>
      </c>
      <c r="K104" s="23">
        <v>4</v>
      </c>
      <c r="L104" s="21"/>
      <c r="P104" s="38"/>
      <c r="Q104" s="38"/>
    </row>
    <row r="105" spans="1:17" s="20" customFormat="1" ht="36">
      <c r="A105" s="84" t="str">
        <f t="shared" si="6"/>
        <v>MIXP211</v>
      </c>
      <c r="B105" s="85" t="str">
        <f t="shared" si="7"/>
        <v>MIXP212</v>
      </c>
      <c r="C105" s="22">
        <v>97</v>
      </c>
      <c r="D105" s="22" t="str">
        <f>VLOOKUP('zoznam zapasov'!A105,'KO KODY SPOLU'!$A$3:$B$189,2,0)</f>
        <v>PINDURA / ŠINKAROVÁ</v>
      </c>
      <c r="E105" s="22" t="str">
        <f>VLOOKUP('zoznam zapasov'!B105,'KO KODY SPOLU'!$A$3:$B$189,2,0)</f>
        <v>MARUNIAK / VOJTASOVA</v>
      </c>
      <c r="F105" s="22" t="s">
        <v>316</v>
      </c>
      <c r="G105" s="22" t="s">
        <v>128</v>
      </c>
      <c r="H105" s="28" t="s">
        <v>368</v>
      </c>
      <c r="I105" s="28" t="s">
        <v>383</v>
      </c>
      <c r="J105" s="424" t="s">
        <v>654</v>
      </c>
      <c r="K105" s="23">
        <v>5</v>
      </c>
      <c r="L105" s="21"/>
      <c r="P105" s="38"/>
      <c r="Q105" s="38"/>
    </row>
    <row r="106" spans="1:17" s="20" customFormat="1" ht="36">
      <c r="A106" s="84" t="str">
        <f t="shared" si="6"/>
        <v>MIXP221</v>
      </c>
      <c r="B106" s="85" t="str">
        <f t="shared" si="7"/>
        <v>MIXP222</v>
      </c>
      <c r="C106" s="22">
        <v>98</v>
      </c>
      <c r="D106" s="22" t="str">
        <f>VLOOKUP('zoznam zapasov'!A106,'KO KODY SPOLU'!$A$3:$B$189,2,0)</f>
        <v>TUREK / DZUROVÁ</v>
      </c>
      <c r="E106" s="22" t="str">
        <f>VLOOKUP('zoznam zapasov'!B106,'KO KODY SPOLU'!$A$3:$B$189,2,0)</f>
        <v>CYPRICH / ŠVAJDLENKOVÁ</v>
      </c>
      <c r="F106" s="22" t="s">
        <v>316</v>
      </c>
      <c r="G106" s="22" t="s">
        <v>128</v>
      </c>
      <c r="H106" s="28" t="s">
        <v>369</v>
      </c>
      <c r="I106" s="28" t="s">
        <v>383</v>
      </c>
      <c r="J106" s="424" t="s">
        <v>654</v>
      </c>
      <c r="K106" s="23">
        <v>6</v>
      </c>
      <c r="L106" s="21"/>
      <c r="P106" s="38"/>
      <c r="Q106" s="38"/>
    </row>
    <row r="107" spans="1:17" s="20" customFormat="1" ht="36">
      <c r="A107" s="84" t="str">
        <f t="shared" si="6"/>
        <v>MIXP231</v>
      </c>
      <c r="B107" s="85" t="str">
        <f t="shared" si="7"/>
        <v>MIXP232</v>
      </c>
      <c r="C107" s="22">
        <v>99</v>
      </c>
      <c r="D107" s="22" t="str">
        <f>VLOOKUP('zoznam zapasov'!A107,'KO KODY SPOLU'!$A$3:$B$189,2,0)</f>
        <v>PETRÍK / PAPCUNOVÁ</v>
      </c>
      <c r="E107" s="22" t="str">
        <f>VLOOKUP('zoznam zapasov'!B107,'KO KODY SPOLU'!$A$3:$B$189,2,0)</f>
        <v>MAKÚCH / GALČÍKOVÁ</v>
      </c>
      <c r="F107" s="22" t="s">
        <v>316</v>
      </c>
      <c r="G107" s="22" t="s">
        <v>128</v>
      </c>
      <c r="H107" s="28" t="s">
        <v>370</v>
      </c>
      <c r="I107" s="28" t="s">
        <v>383</v>
      </c>
      <c r="J107" s="424" t="s">
        <v>654</v>
      </c>
      <c r="K107" s="23">
        <v>7</v>
      </c>
      <c r="L107" s="21"/>
      <c r="P107" s="38"/>
      <c r="Q107" s="38"/>
    </row>
    <row r="108" spans="1:17" s="20" customFormat="1" ht="36">
      <c r="A108" s="84" t="str">
        <f t="shared" si="6"/>
        <v>MIXP241</v>
      </c>
      <c r="B108" s="85" t="str">
        <f t="shared" si="7"/>
        <v>MIXP242</v>
      </c>
      <c r="C108" s="22">
        <v>100</v>
      </c>
      <c r="D108" s="22" t="str">
        <f>VLOOKUP('zoznam zapasov'!A108,'KO KODY SPOLU'!$A$3:$B$189,2,0)</f>
        <v>MIKLUŠČÁK / LACENOVÁ</v>
      </c>
      <c r="E108" s="22" t="str">
        <f>VLOOKUP('zoznam zapasov'!B108,'KO KODY SPOLU'!$A$3:$B$189,2,0)</f>
        <v>DIKO / PEKOVÁ</v>
      </c>
      <c r="F108" s="22" t="s">
        <v>316</v>
      </c>
      <c r="G108" s="22" t="s">
        <v>128</v>
      </c>
      <c r="H108" s="28" t="s">
        <v>371</v>
      </c>
      <c r="I108" s="28" t="s">
        <v>383</v>
      </c>
      <c r="J108" s="424" t="s">
        <v>654</v>
      </c>
      <c r="K108" s="23">
        <v>8</v>
      </c>
      <c r="L108" s="21"/>
      <c r="P108" s="38"/>
      <c r="Q108" s="38"/>
    </row>
    <row r="109" spans="1:17" s="20" customFormat="1" ht="36">
      <c r="A109" s="84" t="str">
        <f t="shared" ref="A109:A126" si="8">CONCATENATE(F109,G109,H109,1)</f>
        <v>DP11</v>
      </c>
      <c r="B109" s="85" t="str">
        <f t="shared" ref="B109:B126" si="9">CONCATENATE(F109,G109,H109,2)</f>
        <v>DP12</v>
      </c>
      <c r="C109" s="22">
        <v>101</v>
      </c>
      <c r="D109" s="22" t="str">
        <f>VLOOKUP('zoznam zapasov'!A109,'KO KODY SPOLU'!$A$3:$B$189,2,0)</f>
        <v>LABOŠOVÁ Ema</v>
      </c>
      <c r="E109" s="22" t="str">
        <f>VLOOKUP('zoznam zapasov'!B109,'KO KODY SPOLU'!$A$3:$B$189,2,0)</f>
        <v>MIKULOVÁ Terézia</v>
      </c>
      <c r="F109" s="22" t="s">
        <v>39</v>
      </c>
      <c r="G109" s="22" t="s">
        <v>128</v>
      </c>
      <c r="H109" s="28" t="s">
        <v>129</v>
      </c>
      <c r="I109" s="28" t="s">
        <v>383</v>
      </c>
      <c r="J109" s="422" t="s">
        <v>355</v>
      </c>
      <c r="K109" s="23">
        <v>1</v>
      </c>
      <c r="L109" s="21"/>
      <c r="P109" s="38"/>
      <c r="Q109" s="38"/>
    </row>
    <row r="110" spans="1:17" s="20" customFormat="1" ht="36">
      <c r="A110" s="84" t="str">
        <f t="shared" si="8"/>
        <v>DP21</v>
      </c>
      <c r="B110" s="85" t="str">
        <f t="shared" si="9"/>
        <v>DP22</v>
      </c>
      <c r="C110" s="22">
        <v>102</v>
      </c>
      <c r="D110" s="22" t="str">
        <f>VLOOKUP('zoznam zapasov'!A110,'KO KODY SPOLU'!$A$3:$B$189,2,0)</f>
        <v>DZUROVÁ Lenka</v>
      </c>
      <c r="E110" s="22" t="str">
        <f>VLOOKUP('zoznam zapasov'!B110,'KO KODY SPOLU'!$A$3:$B$189,2,0)</f>
        <v>TEREZKOVÁ Jana</v>
      </c>
      <c r="F110" s="22" t="s">
        <v>39</v>
      </c>
      <c r="G110" s="22" t="s">
        <v>128</v>
      </c>
      <c r="H110" s="28" t="s">
        <v>162</v>
      </c>
      <c r="I110" s="28" t="s">
        <v>383</v>
      </c>
      <c r="J110" s="422" t="s">
        <v>355</v>
      </c>
      <c r="K110" s="23">
        <v>2</v>
      </c>
      <c r="L110" s="21"/>
      <c r="P110" s="38"/>
      <c r="Q110" s="38"/>
    </row>
    <row r="111" spans="1:17" s="20" customFormat="1" ht="36">
      <c r="A111" s="84" t="str">
        <f t="shared" si="8"/>
        <v>DP31</v>
      </c>
      <c r="B111" s="85" t="str">
        <f t="shared" si="9"/>
        <v>DP32</v>
      </c>
      <c r="C111" s="22">
        <v>103</v>
      </c>
      <c r="D111" s="22" t="str">
        <f>VLOOKUP('zoznam zapasov'!A111,'KO KODY SPOLU'!$A$3:$B$189,2,0)</f>
        <v>MAJERSKÁ Alena</v>
      </c>
      <c r="E111" s="22" t="str">
        <f>VLOOKUP('zoznam zapasov'!B111,'KO KODY SPOLU'!$A$3:$B$189,2,0)</f>
        <v>PAPCUNOVÁ Viktória</v>
      </c>
      <c r="F111" s="22" t="s">
        <v>39</v>
      </c>
      <c r="G111" s="22" t="s">
        <v>128</v>
      </c>
      <c r="H111" s="28" t="s">
        <v>163</v>
      </c>
      <c r="I111" s="28" t="s">
        <v>383</v>
      </c>
      <c r="J111" s="422" t="s">
        <v>355</v>
      </c>
      <c r="K111" s="23">
        <v>3</v>
      </c>
      <c r="L111" s="21"/>
      <c r="P111" s="38"/>
      <c r="Q111" s="38"/>
    </row>
    <row r="112" spans="1:17" s="20" customFormat="1" ht="36">
      <c r="A112" s="84" t="str">
        <f t="shared" si="8"/>
        <v>DP41</v>
      </c>
      <c r="B112" s="85" t="str">
        <f t="shared" si="9"/>
        <v>DP42</v>
      </c>
      <c r="C112" s="22">
        <v>104</v>
      </c>
      <c r="D112" s="22" t="str">
        <f>VLOOKUP('zoznam zapasov'!A112,'KO KODY SPOLU'!$A$3:$B$189,2,0)</f>
        <v>SLOBODNÍKOVÁ Hana</v>
      </c>
      <c r="E112" s="22" t="str">
        <f>VLOOKUP('zoznam zapasov'!B112,'KO KODY SPOLU'!$A$3:$B$189,2,0)</f>
        <v>DZELINSKA Júlia</v>
      </c>
      <c r="F112" s="22" t="s">
        <v>39</v>
      </c>
      <c r="G112" s="22" t="s">
        <v>128</v>
      </c>
      <c r="H112" s="28" t="s">
        <v>164</v>
      </c>
      <c r="I112" s="28" t="s">
        <v>383</v>
      </c>
      <c r="J112" s="422" t="s">
        <v>355</v>
      </c>
      <c r="K112" s="23">
        <v>4</v>
      </c>
      <c r="L112" s="21"/>
      <c r="P112" s="38"/>
      <c r="Q112" s="38"/>
    </row>
    <row r="113" spans="1:17" s="20" customFormat="1" ht="36">
      <c r="A113" s="84" t="str">
        <f t="shared" si="8"/>
        <v>DP51</v>
      </c>
      <c r="B113" s="85" t="str">
        <f t="shared" si="9"/>
        <v>DP52</v>
      </c>
      <c r="C113" s="22">
        <v>105</v>
      </c>
      <c r="D113" s="22" t="str">
        <f>VLOOKUP('zoznam zapasov'!A113,'KO KODY SPOLU'!$A$3:$B$189,2,0)</f>
        <v>ŠINKAROVÁ Dáša</v>
      </c>
      <c r="E113" s="22" t="str">
        <f>VLOOKUP('zoznam zapasov'!B113,'KO KODY SPOLU'!$A$3:$B$189,2,0)</f>
        <v>CHYLOVÁ Sabína</v>
      </c>
      <c r="F113" s="22" t="s">
        <v>39</v>
      </c>
      <c r="G113" s="22" t="s">
        <v>128</v>
      </c>
      <c r="H113" s="28" t="s">
        <v>310</v>
      </c>
      <c r="I113" s="28" t="s">
        <v>383</v>
      </c>
      <c r="J113" s="422" t="s">
        <v>355</v>
      </c>
      <c r="K113" s="23">
        <v>5</v>
      </c>
      <c r="L113" s="21"/>
      <c r="P113" s="38"/>
      <c r="Q113" s="38"/>
    </row>
    <row r="114" spans="1:17" s="20" customFormat="1" ht="36">
      <c r="A114" s="84" t="str">
        <f t="shared" si="8"/>
        <v>DP61</v>
      </c>
      <c r="B114" s="85" t="str">
        <f t="shared" si="9"/>
        <v>DP62</v>
      </c>
      <c r="C114" s="22">
        <v>106</v>
      </c>
      <c r="D114" s="22" t="str">
        <f>VLOOKUP('zoznam zapasov'!A114,'KO KODY SPOLU'!$A$3:$B$189,2,0)</f>
        <v>GORFOLOVÁ Viktória</v>
      </c>
      <c r="E114" s="22" t="str">
        <f>VLOOKUP('zoznam zapasov'!B114,'KO KODY SPOLU'!$A$3:$B$189,2,0)</f>
        <v>DIVINSKÁ Natália</v>
      </c>
      <c r="F114" s="22" t="s">
        <v>39</v>
      </c>
      <c r="G114" s="22" t="s">
        <v>128</v>
      </c>
      <c r="H114" s="28" t="s">
        <v>311</v>
      </c>
      <c r="I114" s="28" t="s">
        <v>383</v>
      </c>
      <c r="J114" s="422" t="s">
        <v>355</v>
      </c>
      <c r="K114" s="23">
        <v>6</v>
      </c>
      <c r="L114" s="21"/>
      <c r="P114" s="38"/>
      <c r="Q114" s="38"/>
    </row>
    <row r="115" spans="1:17" s="20" customFormat="1" ht="36">
      <c r="A115" s="84" t="str">
        <f t="shared" si="8"/>
        <v>DP71</v>
      </c>
      <c r="B115" s="85" t="str">
        <f t="shared" si="9"/>
        <v>DP72</v>
      </c>
      <c r="C115" s="22">
        <v>107</v>
      </c>
      <c r="D115" s="22" t="str">
        <f>VLOOKUP('zoznam zapasov'!A115,'KO KODY SPOLU'!$A$3:$B$189,2,0)</f>
        <v>ŠVAJDLENKOVÁ Laura</v>
      </c>
      <c r="E115" s="22" t="str">
        <f>VLOOKUP('zoznam zapasov'!B115,'KO KODY SPOLU'!$A$3:$B$189,2,0)</f>
        <v>VOJTASOVA Patrícia</v>
      </c>
      <c r="F115" s="22" t="s">
        <v>39</v>
      </c>
      <c r="G115" s="22" t="s">
        <v>128</v>
      </c>
      <c r="H115" s="28" t="s">
        <v>312</v>
      </c>
      <c r="I115" s="28" t="s">
        <v>383</v>
      </c>
      <c r="J115" s="422" t="s">
        <v>355</v>
      </c>
      <c r="K115" s="23">
        <v>7</v>
      </c>
      <c r="L115" s="21"/>
      <c r="P115" s="38"/>
      <c r="Q115" s="38"/>
    </row>
    <row r="116" spans="1:17" s="20" customFormat="1" ht="36">
      <c r="A116" s="84" t="str">
        <f t="shared" si="8"/>
        <v>DP81</v>
      </c>
      <c r="B116" s="85" t="str">
        <f t="shared" si="9"/>
        <v>DP82</v>
      </c>
      <c r="C116" s="22">
        <v>108</v>
      </c>
      <c r="D116" s="22" t="str">
        <f>VLOOKUP('zoznam zapasov'!A116,'KO KODY SPOLU'!$A$3:$B$189,2,0)</f>
        <v>HUDÁKOVÁ Ivana</v>
      </c>
      <c r="E116" s="22" t="str">
        <f>VLOOKUP('zoznam zapasov'!B116,'KO KODY SPOLU'!$A$3:$B$189,2,0)</f>
        <v>PEKOVÁ Zuzana</v>
      </c>
      <c r="F116" s="22" t="s">
        <v>39</v>
      </c>
      <c r="G116" s="22" t="s">
        <v>128</v>
      </c>
      <c r="H116" s="28" t="s">
        <v>313</v>
      </c>
      <c r="I116" s="28" t="s">
        <v>383</v>
      </c>
      <c r="J116" s="422" t="s">
        <v>355</v>
      </c>
      <c r="K116" s="23">
        <v>8</v>
      </c>
      <c r="L116" s="21"/>
      <c r="P116" s="38"/>
      <c r="Q116" s="38"/>
    </row>
    <row r="117" spans="1:17" s="20" customFormat="1" ht="36">
      <c r="A117" s="84" t="str">
        <f t="shared" si="8"/>
        <v>CHP11</v>
      </c>
      <c r="B117" s="85" t="str">
        <f t="shared" si="9"/>
        <v>CHP12</v>
      </c>
      <c r="C117" s="22">
        <v>109</v>
      </c>
      <c r="D117" s="22" t="str">
        <f>VLOOKUP('zoznam zapasov'!A117,'KO KODY SPOLU'!$A$3:$B$189,2,0)</f>
        <v>DIKO Dalibor</v>
      </c>
      <c r="E117" s="22" t="str">
        <f>VLOOKUP('zoznam zapasov'!B117,'KO KODY SPOLU'!$A$3:$B$189,2,0)</f>
        <v>ĎANOVSKÝ Martin</v>
      </c>
      <c r="F117" s="22" t="s">
        <v>65</v>
      </c>
      <c r="G117" s="22" t="s">
        <v>128</v>
      </c>
      <c r="H117" s="28" t="s">
        <v>129</v>
      </c>
      <c r="I117" s="28" t="s">
        <v>383</v>
      </c>
      <c r="J117" s="424" t="s">
        <v>356</v>
      </c>
      <c r="K117" s="23">
        <v>1</v>
      </c>
      <c r="L117" s="21"/>
      <c r="P117" s="38"/>
      <c r="Q117" s="38"/>
    </row>
    <row r="118" spans="1:17" s="20" customFormat="1" ht="36">
      <c r="A118" s="84" t="str">
        <f t="shared" si="8"/>
        <v>CHP21</v>
      </c>
      <c r="B118" s="85" t="str">
        <f t="shared" si="9"/>
        <v>CHP22</v>
      </c>
      <c r="C118" s="22">
        <v>110</v>
      </c>
      <c r="D118" s="22" t="str">
        <f>VLOOKUP('zoznam zapasov'!A118,'KO KODY SPOLU'!$A$3:$B$189,2,0)</f>
        <v>SUCHA Tomáš</v>
      </c>
      <c r="E118" s="22" t="str">
        <f>VLOOKUP('zoznam zapasov'!B118,'KO KODY SPOLU'!$A$3:$B$189,2,0)</f>
        <v>CYPRICH Samuel</v>
      </c>
      <c r="F118" s="22" t="s">
        <v>65</v>
      </c>
      <c r="G118" s="22" t="s">
        <v>128</v>
      </c>
      <c r="H118" s="28" t="s">
        <v>162</v>
      </c>
      <c r="I118" s="28" t="s">
        <v>383</v>
      </c>
      <c r="J118" s="424" t="s">
        <v>356</v>
      </c>
      <c r="K118" s="23">
        <v>2</v>
      </c>
      <c r="L118" s="21"/>
      <c r="P118" s="38"/>
      <c r="Q118" s="38"/>
    </row>
    <row r="119" spans="1:17" s="20" customFormat="1" ht="36">
      <c r="A119" s="84" t="str">
        <f t="shared" si="8"/>
        <v>CHP31</v>
      </c>
      <c r="B119" s="85" t="str">
        <f t="shared" si="9"/>
        <v>CHP32</v>
      </c>
      <c r="C119" s="22">
        <v>111</v>
      </c>
      <c r="D119" s="22" t="str">
        <f>VLOOKUP('zoznam zapasov'!A119,'KO KODY SPOLU'!$A$3:$B$189,2,0)</f>
        <v>PAPÁNEK Martin</v>
      </c>
      <c r="E119" s="22" t="str">
        <f>VLOOKUP('zoznam zapasov'!B119,'KO KODY SPOLU'!$A$3:$B$189,2,0)</f>
        <v>HURKA Rastislav</v>
      </c>
      <c r="F119" s="22" t="s">
        <v>65</v>
      </c>
      <c r="G119" s="22" t="s">
        <v>128</v>
      </c>
      <c r="H119" s="28" t="s">
        <v>163</v>
      </c>
      <c r="I119" s="28" t="s">
        <v>383</v>
      </c>
      <c r="J119" s="424" t="s">
        <v>356</v>
      </c>
      <c r="K119" s="23">
        <v>3</v>
      </c>
      <c r="L119" s="21"/>
      <c r="P119" s="38"/>
      <c r="Q119" s="38"/>
    </row>
    <row r="120" spans="1:17" s="20" customFormat="1" ht="36">
      <c r="A120" s="84" t="str">
        <f t="shared" si="8"/>
        <v>CHP41</v>
      </c>
      <c r="B120" s="85" t="str">
        <f t="shared" si="9"/>
        <v>CHP42</v>
      </c>
      <c r="C120" s="22">
        <v>112</v>
      </c>
      <c r="D120" s="22" t="str">
        <f>VLOOKUP('zoznam zapasov'!A120,'KO KODY SPOLU'!$A$3:$B$189,2,0)</f>
        <v>GREGOR Jakub</v>
      </c>
      <c r="E120" s="22" t="str">
        <f>VLOOKUP('zoznam zapasov'!B120,'KO KODY SPOLU'!$A$3:$B$189,2,0)</f>
        <v>FEČO Samuel</v>
      </c>
      <c r="F120" s="22" t="s">
        <v>65</v>
      </c>
      <c r="G120" s="22" t="s">
        <v>128</v>
      </c>
      <c r="H120" s="28" t="s">
        <v>164</v>
      </c>
      <c r="I120" s="28" t="s">
        <v>383</v>
      </c>
      <c r="J120" s="424" t="s">
        <v>356</v>
      </c>
      <c r="K120" s="23">
        <v>4</v>
      </c>
      <c r="L120" s="21"/>
      <c r="P120" s="38"/>
      <c r="Q120" s="38"/>
    </row>
    <row r="121" spans="1:17" s="20" customFormat="1" ht="36">
      <c r="A121" s="84" t="str">
        <f t="shared" si="8"/>
        <v>CHP51</v>
      </c>
      <c r="B121" s="85" t="str">
        <f t="shared" si="9"/>
        <v>CHP52</v>
      </c>
      <c r="C121" s="22">
        <v>113</v>
      </c>
      <c r="D121" s="22" t="str">
        <f>VLOOKUP('zoznam zapasov'!A121,'KO KODY SPOLU'!$A$3:$B$189,2,0)</f>
        <v>PINDURA Tobiáš</v>
      </c>
      <c r="E121" s="22" t="str">
        <f>VLOOKUP('zoznam zapasov'!B121,'KO KODY SPOLU'!$A$3:$B$189,2,0)</f>
        <v>MILAN Martin</v>
      </c>
      <c r="F121" s="22" t="s">
        <v>65</v>
      </c>
      <c r="G121" s="22" t="s">
        <v>128</v>
      </c>
      <c r="H121" s="28" t="s">
        <v>310</v>
      </c>
      <c r="I121" s="28" t="s">
        <v>383</v>
      </c>
      <c r="J121" s="424" t="s">
        <v>356</v>
      </c>
      <c r="K121" s="23">
        <v>5</v>
      </c>
      <c r="L121" s="21"/>
      <c r="P121" s="38"/>
      <c r="Q121" s="38"/>
    </row>
    <row r="122" spans="1:17" s="20" customFormat="1" ht="36">
      <c r="A122" s="84" t="str">
        <f t="shared" si="8"/>
        <v>CHP61</v>
      </c>
      <c r="B122" s="85" t="str">
        <f t="shared" si="9"/>
        <v>CHP62</v>
      </c>
      <c r="C122" s="22">
        <v>114</v>
      </c>
      <c r="D122" s="22" t="str">
        <f>VLOOKUP('zoznam zapasov'!A122,'KO KODY SPOLU'!$A$3:$B$189,2,0)</f>
        <v>FUSEK Patrik</v>
      </c>
      <c r="E122" s="22" t="str">
        <f>VLOOKUP('zoznam zapasov'!B122,'KO KODY SPOLU'!$A$3:$B$189,2,0)</f>
        <v>PETRÍK Filip</v>
      </c>
      <c r="F122" s="22" t="s">
        <v>65</v>
      </c>
      <c r="G122" s="22" t="s">
        <v>128</v>
      </c>
      <c r="H122" s="28" t="s">
        <v>311</v>
      </c>
      <c r="I122" s="28" t="s">
        <v>383</v>
      </c>
      <c r="J122" s="424" t="s">
        <v>356</v>
      </c>
      <c r="K122" s="23">
        <v>6</v>
      </c>
      <c r="L122" s="21"/>
      <c r="P122" s="38"/>
      <c r="Q122" s="38"/>
    </row>
    <row r="123" spans="1:17" s="20" customFormat="1" ht="36">
      <c r="A123" s="84" t="str">
        <f t="shared" si="8"/>
        <v>CHP71</v>
      </c>
      <c r="B123" s="85" t="str">
        <f t="shared" si="9"/>
        <v>CHP72</v>
      </c>
      <c r="C123" s="22">
        <v>115</v>
      </c>
      <c r="D123" s="22" t="str">
        <f>VLOOKUP('zoznam zapasov'!A123,'KO KODY SPOLU'!$A$3:$B$189,2,0)</f>
        <v>FEČO Michal</v>
      </c>
      <c r="E123" s="22" t="str">
        <f>VLOOKUP('zoznam zapasov'!B123,'KO KODY SPOLU'!$A$3:$B$189,2,0)</f>
        <v>KLAJBER Adam</v>
      </c>
      <c r="F123" s="22" t="s">
        <v>65</v>
      </c>
      <c r="G123" s="22" t="s">
        <v>128</v>
      </c>
      <c r="H123" s="28" t="s">
        <v>312</v>
      </c>
      <c r="I123" s="28" t="s">
        <v>383</v>
      </c>
      <c r="J123" s="424" t="s">
        <v>356</v>
      </c>
      <c r="K123" s="23">
        <v>7</v>
      </c>
      <c r="L123" s="21"/>
      <c r="P123" s="38"/>
      <c r="Q123" s="38"/>
    </row>
    <row r="124" spans="1:17" s="20" customFormat="1" ht="36">
      <c r="A124" s="84" t="str">
        <f t="shared" si="8"/>
        <v>CHP81</v>
      </c>
      <c r="B124" s="85" t="str">
        <f t="shared" si="9"/>
        <v>CHP82</v>
      </c>
      <c r="C124" s="22">
        <v>116</v>
      </c>
      <c r="D124" s="22" t="str">
        <f>VLOOKUP('zoznam zapasov'!A124,'KO KODY SPOLU'!$A$3:$B$189,2,0)</f>
        <v>IVANČO Félix</v>
      </c>
      <c r="E124" s="22" t="str">
        <f>VLOOKUP('zoznam zapasov'!B124,'KO KODY SPOLU'!$A$3:$B$189,2,0)</f>
        <v>KYSEL Martin</v>
      </c>
      <c r="F124" s="22" t="s">
        <v>65</v>
      </c>
      <c r="G124" s="22" t="s">
        <v>128</v>
      </c>
      <c r="H124" s="28" t="s">
        <v>313</v>
      </c>
      <c r="I124" s="28" t="s">
        <v>383</v>
      </c>
      <c r="J124" s="424" t="s">
        <v>356</v>
      </c>
      <c r="K124" s="23">
        <v>8</v>
      </c>
      <c r="L124" s="21"/>
      <c r="P124" s="38"/>
      <c r="Q124" s="38"/>
    </row>
    <row r="125" spans="1:17" s="20" customFormat="1" ht="36">
      <c r="A125" s="84" t="str">
        <f t="shared" si="8"/>
        <v>CHP91</v>
      </c>
      <c r="B125" s="85" t="str">
        <f t="shared" si="9"/>
        <v>CHP92</v>
      </c>
      <c r="C125" s="22">
        <v>117</v>
      </c>
      <c r="D125" s="22" t="str">
        <f>VLOOKUP('zoznam zapasov'!A125,'KO KODY SPOLU'!$A$3:$B$189,2,0)</f>
        <v>DIKO Dalibor</v>
      </c>
      <c r="E125" s="22" t="str">
        <f>VLOOKUP('zoznam zapasov'!B125,'KO KODY SPOLU'!$A$3:$B$189,2,0)</f>
        <v>CYPRICH Samuel</v>
      </c>
      <c r="F125" s="22" t="s">
        <v>65</v>
      </c>
      <c r="G125" s="22" t="s">
        <v>128</v>
      </c>
      <c r="H125" s="28" t="s">
        <v>348</v>
      </c>
      <c r="I125" s="28" t="s">
        <v>383</v>
      </c>
      <c r="J125" s="422" t="s">
        <v>357</v>
      </c>
      <c r="K125" s="23">
        <v>1</v>
      </c>
      <c r="L125" s="21"/>
      <c r="P125" s="38"/>
      <c r="Q125" s="38"/>
    </row>
    <row r="126" spans="1:17" s="20" customFormat="1" ht="36">
      <c r="A126" s="84" t="str">
        <f t="shared" si="8"/>
        <v>CHP101</v>
      </c>
      <c r="B126" s="85" t="str">
        <f t="shared" si="9"/>
        <v>CHP102</v>
      </c>
      <c r="C126" s="22">
        <v>118</v>
      </c>
      <c r="D126" s="22" t="str">
        <f>VLOOKUP('zoznam zapasov'!A126,'KO KODY SPOLU'!$A$3:$B$189,2,0)</f>
        <v>HURKA Rastislav</v>
      </c>
      <c r="E126" s="22" t="str">
        <f>VLOOKUP('zoznam zapasov'!B126,'KO KODY SPOLU'!$A$3:$B$189,2,0)</f>
        <v>FEČO Samuel</v>
      </c>
      <c r="F126" s="22" t="s">
        <v>65</v>
      </c>
      <c r="G126" s="22" t="s">
        <v>128</v>
      </c>
      <c r="H126" s="28" t="s">
        <v>349</v>
      </c>
      <c r="I126" s="28" t="s">
        <v>383</v>
      </c>
      <c r="J126" s="422" t="s">
        <v>357</v>
      </c>
      <c r="K126" s="23">
        <v>2</v>
      </c>
      <c r="L126" s="21"/>
      <c r="P126" s="38"/>
      <c r="Q126" s="38"/>
    </row>
    <row r="127" spans="1:17" ht="36">
      <c r="A127" s="84" t="str">
        <f t="shared" ref="A127:A150" si="10">CONCATENATE(F127,G127,H127,1)</f>
        <v>CHP111</v>
      </c>
      <c r="B127" s="85" t="str">
        <f t="shared" ref="B127:B150" si="11">CONCATENATE(F127,G127,H127,2)</f>
        <v>CHP112</v>
      </c>
      <c r="C127" s="22">
        <v>119</v>
      </c>
      <c r="D127" s="22" t="str">
        <f>VLOOKUP('zoznam zapasov'!A127,'KO KODY SPOLU'!$A$3:$B$189,2,0)</f>
        <v>PINDURA Tobiáš</v>
      </c>
      <c r="E127" s="22" t="str">
        <f>VLOOKUP('zoznam zapasov'!B127,'KO KODY SPOLU'!$A$3:$B$189,2,0)</f>
        <v>PETRÍK Filip</v>
      </c>
      <c r="F127" s="22" t="s">
        <v>65</v>
      </c>
      <c r="G127" s="22" t="s">
        <v>128</v>
      </c>
      <c r="H127" s="28" t="s">
        <v>350</v>
      </c>
      <c r="I127" s="28" t="s">
        <v>383</v>
      </c>
      <c r="J127" s="422" t="s">
        <v>357</v>
      </c>
      <c r="K127" s="23">
        <v>3</v>
      </c>
    </row>
    <row r="128" spans="1:17" ht="36">
      <c r="A128" s="84" t="str">
        <f t="shared" si="10"/>
        <v>CHP121</v>
      </c>
      <c r="B128" s="85" t="str">
        <f t="shared" si="11"/>
        <v>CHP122</v>
      </c>
      <c r="C128" s="22">
        <v>120</v>
      </c>
      <c r="D128" s="22" t="str">
        <f>VLOOKUP('zoznam zapasov'!A128,'KO KODY SPOLU'!$A$3:$B$189,2,0)</f>
        <v>KLAJBER Adam</v>
      </c>
      <c r="E128" s="22" t="str">
        <f>VLOOKUP('zoznam zapasov'!B128,'KO KODY SPOLU'!$A$3:$B$189,2,0)</f>
        <v>KYSEL Martin</v>
      </c>
      <c r="F128" s="22" t="s">
        <v>65</v>
      </c>
      <c r="G128" s="22" t="s">
        <v>128</v>
      </c>
      <c r="H128" s="28" t="s">
        <v>351</v>
      </c>
      <c r="I128" s="28" t="s">
        <v>383</v>
      </c>
      <c r="J128" s="422" t="s">
        <v>357</v>
      </c>
      <c r="K128" s="23">
        <v>4</v>
      </c>
    </row>
    <row r="129" spans="1:11" ht="36">
      <c r="A129" s="84" t="str">
        <f t="shared" si="10"/>
        <v>DP91</v>
      </c>
      <c r="B129" s="85" t="str">
        <f t="shared" si="11"/>
        <v>DP92</v>
      </c>
      <c r="C129" s="22">
        <v>121</v>
      </c>
      <c r="D129" s="22" t="str">
        <f>VLOOKUP('zoznam zapasov'!A129,'KO KODY SPOLU'!$A$3:$B$189,2,0)</f>
        <v>LABOŠOVÁ Ema</v>
      </c>
      <c r="E129" s="22" t="str">
        <f>VLOOKUP('zoznam zapasov'!B129,'KO KODY SPOLU'!$A$3:$B$189,2,0)</f>
        <v>TEREZKOVÁ Jana</v>
      </c>
      <c r="F129" s="22" t="s">
        <v>39</v>
      </c>
      <c r="G129" s="22" t="s">
        <v>128</v>
      </c>
      <c r="H129" s="28" t="s">
        <v>348</v>
      </c>
      <c r="I129" s="28" t="s">
        <v>383</v>
      </c>
      <c r="J129" s="422" t="s">
        <v>357</v>
      </c>
      <c r="K129" s="23">
        <v>5</v>
      </c>
    </row>
    <row r="130" spans="1:11" ht="36">
      <c r="A130" s="84" t="str">
        <f t="shared" si="10"/>
        <v>DP101</v>
      </c>
      <c r="B130" s="85" t="str">
        <f t="shared" si="11"/>
        <v>DP102</v>
      </c>
      <c r="C130" s="22">
        <v>122</v>
      </c>
      <c r="D130" s="22" t="str">
        <f>VLOOKUP('zoznam zapasov'!A130,'KO KODY SPOLU'!$A$3:$B$189,2,0)</f>
        <v>MAJERSKÁ Alena</v>
      </c>
      <c r="E130" s="22" t="str">
        <f>VLOOKUP('zoznam zapasov'!B130,'KO KODY SPOLU'!$A$3:$B$189,2,0)</f>
        <v>SLOBODNÍKOVÁ Hana</v>
      </c>
      <c r="F130" s="22" t="s">
        <v>39</v>
      </c>
      <c r="G130" s="22" t="s">
        <v>128</v>
      </c>
      <c r="H130" s="28" t="s">
        <v>349</v>
      </c>
      <c r="I130" s="28" t="s">
        <v>383</v>
      </c>
      <c r="J130" s="422" t="s">
        <v>357</v>
      </c>
      <c r="K130" s="23">
        <v>6</v>
      </c>
    </row>
    <row r="131" spans="1:11" ht="36">
      <c r="A131" s="84" t="str">
        <f t="shared" si="10"/>
        <v>DP111</v>
      </c>
      <c r="B131" s="85" t="str">
        <f t="shared" si="11"/>
        <v>DP112</v>
      </c>
      <c r="C131" s="22">
        <v>123</v>
      </c>
      <c r="D131" s="22" t="str">
        <f>VLOOKUP('zoznam zapasov'!A131,'KO KODY SPOLU'!$A$3:$B$189,2,0)</f>
        <v>ŠINKAROVÁ Dáša</v>
      </c>
      <c r="E131" s="22" t="str">
        <f>VLOOKUP('zoznam zapasov'!B131,'KO KODY SPOLU'!$A$3:$B$189,2,0)</f>
        <v>DIVINSKÁ Natália</v>
      </c>
      <c r="F131" s="22" t="s">
        <v>39</v>
      </c>
      <c r="G131" s="22" t="s">
        <v>128</v>
      </c>
      <c r="H131" s="28" t="s">
        <v>350</v>
      </c>
      <c r="I131" s="28" t="s">
        <v>383</v>
      </c>
      <c r="J131" s="422" t="s">
        <v>357</v>
      </c>
      <c r="K131" s="23">
        <v>7</v>
      </c>
    </row>
    <row r="132" spans="1:11" ht="36">
      <c r="A132" s="84" t="str">
        <f t="shared" si="10"/>
        <v>DP121</v>
      </c>
      <c r="B132" s="85" t="str">
        <f t="shared" si="11"/>
        <v>DP122</v>
      </c>
      <c r="C132" s="22">
        <v>124</v>
      </c>
      <c r="D132" s="22" t="str">
        <f>VLOOKUP('zoznam zapasov'!A132,'KO KODY SPOLU'!$A$3:$B$189,2,0)</f>
        <v>ŠVAJDLENKOVÁ Laura</v>
      </c>
      <c r="E132" s="22" t="str">
        <f>VLOOKUP('zoznam zapasov'!B132,'KO KODY SPOLU'!$A$3:$B$189,2,0)</f>
        <v>PEKOVÁ Zuzana</v>
      </c>
      <c r="F132" s="22" t="s">
        <v>39</v>
      </c>
      <c r="G132" s="22" t="s">
        <v>128</v>
      </c>
      <c r="H132" s="28" t="s">
        <v>351</v>
      </c>
      <c r="I132" s="28" t="s">
        <v>383</v>
      </c>
      <c r="J132" s="422" t="s">
        <v>357</v>
      </c>
      <c r="K132" s="23">
        <v>8</v>
      </c>
    </row>
    <row r="133" spans="1:11" ht="36">
      <c r="A133" s="84" t="str">
        <f t="shared" si="10"/>
        <v>CH4P91</v>
      </c>
      <c r="B133" s="85" t="str">
        <f t="shared" si="11"/>
        <v>CH4P92</v>
      </c>
      <c r="C133" s="22">
        <v>125</v>
      </c>
      <c r="D133" s="22" t="str">
        <f>VLOOKUP('zoznam zapasov'!A133,'KO KODY SPOLU'!$A$3:$B$189,2,0)</f>
        <v>DIKO / KYSEL</v>
      </c>
      <c r="E133" s="22" t="str">
        <f>VLOOKUP('zoznam zapasov'!B133,'KO KODY SPOLU'!$A$3:$B$189,2,0)</f>
        <v>PACH / DELINČAK</v>
      </c>
      <c r="F133" s="22" t="s">
        <v>309</v>
      </c>
      <c r="G133" s="22" t="s">
        <v>128</v>
      </c>
      <c r="H133" s="28" t="s">
        <v>348</v>
      </c>
      <c r="I133" s="28" t="s">
        <v>383</v>
      </c>
      <c r="J133" s="424" t="s">
        <v>358</v>
      </c>
      <c r="K133" s="23">
        <v>1</v>
      </c>
    </row>
    <row r="134" spans="1:11" ht="36">
      <c r="A134" s="84" t="str">
        <f t="shared" si="10"/>
        <v>CH4P101</v>
      </c>
      <c r="B134" s="85" t="str">
        <f t="shared" si="11"/>
        <v>CH4P102</v>
      </c>
      <c r="C134" s="22">
        <v>126</v>
      </c>
      <c r="D134" s="22" t="str">
        <f>VLOOKUP('zoznam zapasov'!A134,'KO KODY SPOLU'!$A$3:$B$189,2,0)</f>
        <v>FUSEK / FREUND</v>
      </c>
      <c r="E134" s="22" t="str">
        <f>VLOOKUP('zoznam zapasov'!B134,'KO KODY SPOLU'!$A$3:$B$189,2,0)</f>
        <v>FEČO / PAPÁNEK</v>
      </c>
      <c r="F134" s="22" t="s">
        <v>309</v>
      </c>
      <c r="G134" s="22" t="s">
        <v>128</v>
      </c>
      <c r="H134" s="28" t="s">
        <v>349</v>
      </c>
      <c r="I134" s="28" t="s">
        <v>383</v>
      </c>
      <c r="J134" s="424" t="s">
        <v>358</v>
      </c>
      <c r="K134" s="23">
        <v>2</v>
      </c>
    </row>
    <row r="135" spans="1:11" ht="36">
      <c r="A135" s="84" t="str">
        <f t="shared" si="10"/>
        <v>CH4P111</v>
      </c>
      <c r="B135" s="85" t="str">
        <f t="shared" si="11"/>
        <v>CH4P112</v>
      </c>
      <c r="C135" s="22">
        <v>127</v>
      </c>
      <c r="D135" s="22" t="str">
        <f>VLOOKUP('zoznam zapasov'!A135,'KO KODY SPOLU'!$A$3:$B$189,2,0)</f>
        <v>PETRÍK / TUREK</v>
      </c>
      <c r="E135" s="22" t="str">
        <f>VLOOKUP('zoznam zapasov'!B135,'KO KODY SPOLU'!$A$3:$B$189,2,0)</f>
        <v>ĎANOVSKÝ / MILAN</v>
      </c>
      <c r="F135" s="22" t="s">
        <v>309</v>
      </c>
      <c r="G135" s="22" t="s">
        <v>128</v>
      </c>
      <c r="H135" s="28" t="s">
        <v>350</v>
      </c>
      <c r="I135" s="28" t="s">
        <v>383</v>
      </c>
      <c r="J135" s="424" t="s">
        <v>358</v>
      </c>
      <c r="K135" s="23">
        <v>3</v>
      </c>
    </row>
    <row r="136" spans="1:11" ht="36">
      <c r="A136" s="84" t="str">
        <f t="shared" si="10"/>
        <v>CH4P121</v>
      </c>
      <c r="B136" s="85" t="str">
        <f t="shared" si="11"/>
        <v>CH4P122</v>
      </c>
      <c r="C136" s="22">
        <v>128</v>
      </c>
      <c r="D136" s="22" t="str">
        <f>VLOOKUP('zoznam zapasov'!A136,'KO KODY SPOLU'!$A$3:$B$189,2,0)</f>
        <v>HURKA / JALOVECKÝ</v>
      </c>
      <c r="E136" s="22" t="str">
        <f>VLOOKUP('zoznam zapasov'!B136,'KO KODY SPOLU'!$A$3:$B$189,2,0)</f>
        <v>PINDURA / CYPRICH</v>
      </c>
      <c r="F136" s="22" t="s">
        <v>309</v>
      </c>
      <c r="G136" s="22" t="s">
        <v>128</v>
      </c>
      <c r="H136" s="28" t="s">
        <v>351</v>
      </c>
      <c r="I136" s="28" t="s">
        <v>383</v>
      </c>
      <c r="J136" s="424" t="s">
        <v>358</v>
      </c>
      <c r="K136" s="23">
        <v>4</v>
      </c>
    </row>
    <row r="137" spans="1:11" ht="36">
      <c r="A137" s="84" t="str">
        <f t="shared" si="10"/>
        <v>D4P91</v>
      </c>
      <c r="B137" s="85" t="str">
        <f t="shared" si="11"/>
        <v>D4P92</v>
      </c>
      <c r="C137" s="22">
        <v>129</v>
      </c>
      <c r="D137" s="22" t="str">
        <f>VLOOKUP('zoznam zapasov'!A137,'KO KODY SPOLU'!$A$3:$B$189,2,0)</f>
        <v>LABOŠOVÁ / ŠINKAROVÁ</v>
      </c>
      <c r="E137" s="22" t="str">
        <f>VLOOKUP('zoznam zapasov'!B137,'KO KODY SPOLU'!$A$3:$B$189,2,0)</f>
        <v>PISARČIKOVÁ / HUDÁKOVÁ</v>
      </c>
      <c r="F137" s="22" t="s">
        <v>95</v>
      </c>
      <c r="G137" s="22" t="s">
        <v>128</v>
      </c>
      <c r="H137" s="28" t="s">
        <v>348</v>
      </c>
      <c r="I137" s="28" t="s">
        <v>383</v>
      </c>
      <c r="J137" s="424" t="s">
        <v>358</v>
      </c>
      <c r="K137" s="23">
        <v>5</v>
      </c>
    </row>
    <row r="138" spans="1:11" ht="36">
      <c r="A138" s="84" t="str">
        <f t="shared" si="10"/>
        <v>D4P101</v>
      </c>
      <c r="B138" s="85" t="str">
        <f t="shared" si="11"/>
        <v>D4P102</v>
      </c>
      <c r="C138" s="22">
        <v>130</v>
      </c>
      <c r="D138" s="22" t="str">
        <f>VLOOKUP('zoznam zapasov'!A138,'KO KODY SPOLU'!$A$3:$B$189,2,0)</f>
        <v>ŠVAJDLENKOVÁ / HURBANOVÁ</v>
      </c>
      <c r="E138" s="22" t="str">
        <f>VLOOKUP('zoznam zapasov'!B138,'KO KODY SPOLU'!$A$3:$B$189,2,0)</f>
        <v>MAJERSKÁ / GAŠPARÍKOVÁ</v>
      </c>
      <c r="F138" s="22" t="s">
        <v>95</v>
      </c>
      <c r="G138" s="22" t="s">
        <v>128</v>
      </c>
      <c r="H138" s="28" t="s">
        <v>349</v>
      </c>
      <c r="I138" s="28" t="s">
        <v>383</v>
      </c>
      <c r="J138" s="424" t="s">
        <v>358</v>
      </c>
      <c r="K138" s="23">
        <v>6</v>
      </c>
    </row>
    <row r="139" spans="1:11" ht="36">
      <c r="A139" s="84" t="str">
        <f t="shared" si="10"/>
        <v>D4P111</v>
      </c>
      <c r="B139" s="85" t="str">
        <f t="shared" si="11"/>
        <v>D4P112</v>
      </c>
      <c r="C139" s="22">
        <v>131</v>
      </c>
      <c r="D139" s="22" t="str">
        <f>VLOOKUP('zoznam zapasov'!A139,'KO KODY SPOLU'!$A$3:$B$189,2,0)</f>
        <v>DZELINSKA / TEREZKOVÁ</v>
      </c>
      <c r="E139" s="22" t="str">
        <f>VLOOKUP('zoznam zapasov'!B139,'KO KODY SPOLU'!$A$3:$B$189,2,0)</f>
        <v>VIŠŇOVSKÁ / LEDAJOVÁ</v>
      </c>
      <c r="F139" s="22" t="s">
        <v>95</v>
      </c>
      <c r="G139" s="22" t="s">
        <v>128</v>
      </c>
      <c r="H139" s="28" t="s">
        <v>350</v>
      </c>
      <c r="I139" s="28" t="s">
        <v>383</v>
      </c>
      <c r="J139" s="424" t="s">
        <v>358</v>
      </c>
      <c r="K139" s="23">
        <v>7</v>
      </c>
    </row>
    <row r="140" spans="1:11" ht="36">
      <c r="A140" s="84" t="str">
        <f t="shared" si="10"/>
        <v>D4P121</v>
      </c>
      <c r="B140" s="85" t="str">
        <f t="shared" si="11"/>
        <v>D4P122</v>
      </c>
      <c r="C140" s="22">
        <v>132</v>
      </c>
      <c r="D140" s="22" t="str">
        <f>VLOOKUP('zoznam zapasov'!A140,'KO KODY SPOLU'!$A$3:$B$189,2,0)</f>
        <v>SLOBODNÍKOVÁ / LACENOVÁ</v>
      </c>
      <c r="E140" s="22" t="str">
        <f>VLOOKUP('zoznam zapasov'!B140,'KO KODY SPOLU'!$A$3:$B$189,2,0)</f>
        <v>PEKOVÁ / DIVINSKÁ</v>
      </c>
      <c r="F140" s="22" t="s">
        <v>95</v>
      </c>
      <c r="G140" s="22" t="s">
        <v>128</v>
      </c>
      <c r="H140" s="28" t="s">
        <v>351</v>
      </c>
      <c r="I140" s="28" t="s">
        <v>383</v>
      </c>
      <c r="J140" s="424" t="s">
        <v>358</v>
      </c>
      <c r="K140" s="23">
        <v>8</v>
      </c>
    </row>
    <row r="141" spans="1:11" ht="36">
      <c r="A141" s="84" t="str">
        <f t="shared" si="10"/>
        <v>MIXP251</v>
      </c>
      <c r="B141" s="85" t="str">
        <f t="shared" si="11"/>
        <v>MIXP252</v>
      </c>
      <c r="C141" s="22">
        <v>133</v>
      </c>
      <c r="D141" s="22" t="str">
        <f>VLOOKUP('zoznam zapasov'!A141,'KO KODY SPOLU'!$A$3:$B$189,2,0)</f>
        <v>KYSEL / LABOŠOVÁ</v>
      </c>
      <c r="E141" s="22" t="str">
        <f>VLOOKUP('zoznam zapasov'!B141,'KO KODY SPOLU'!$A$3:$B$189,2,0)</f>
        <v>HURKA / MAJERSKÁ</v>
      </c>
      <c r="F141" s="22" t="s">
        <v>316</v>
      </c>
      <c r="G141" s="22" t="s">
        <v>128</v>
      </c>
      <c r="H141" s="28" t="s">
        <v>372</v>
      </c>
      <c r="I141" s="28" t="s">
        <v>383</v>
      </c>
      <c r="J141" s="422" t="s">
        <v>655</v>
      </c>
      <c r="K141" s="23">
        <v>1</v>
      </c>
    </row>
    <row r="142" spans="1:11" ht="36">
      <c r="A142" s="84" t="str">
        <f t="shared" si="10"/>
        <v>MIXP261</v>
      </c>
      <c r="B142" s="85" t="str">
        <f t="shared" si="11"/>
        <v>MIXP262</v>
      </c>
      <c r="C142" s="22">
        <v>134</v>
      </c>
      <c r="D142" s="22" t="str">
        <f>VLOOKUP('zoznam zapasov'!A142,'KO KODY SPOLU'!$A$3:$B$189,2,0)</f>
        <v>ĎANOVSKÝ / DIVINSKÁ</v>
      </c>
      <c r="E142" s="22" t="str">
        <f>VLOOKUP('zoznam zapasov'!B142,'KO KODY SPOLU'!$A$3:$B$189,2,0)</f>
        <v>FEČO / DZELINSKA</v>
      </c>
      <c r="F142" s="22" t="s">
        <v>316</v>
      </c>
      <c r="G142" s="22" t="s">
        <v>128</v>
      </c>
      <c r="H142" s="28" t="s">
        <v>373</v>
      </c>
      <c r="I142" s="28" t="s">
        <v>383</v>
      </c>
      <c r="J142" s="422" t="s">
        <v>655</v>
      </c>
      <c r="K142" s="23">
        <v>3</v>
      </c>
    </row>
    <row r="143" spans="1:11" ht="36">
      <c r="A143" s="84" t="str">
        <f t="shared" si="10"/>
        <v>MIXP271</v>
      </c>
      <c r="B143" s="85" t="str">
        <f t="shared" si="11"/>
        <v>MIXP272</v>
      </c>
      <c r="C143" s="22">
        <v>135</v>
      </c>
      <c r="D143" s="22" t="str">
        <f>VLOOKUP('zoznam zapasov'!A143,'KO KODY SPOLU'!$A$3:$B$189,2,0)</f>
        <v>PINDURA / ŠINKAROVÁ</v>
      </c>
      <c r="E143" s="22" t="str">
        <f>VLOOKUP('zoznam zapasov'!B143,'KO KODY SPOLU'!$A$3:$B$189,2,0)</f>
        <v>TUREK / DZUROVÁ</v>
      </c>
      <c r="F143" s="22" t="s">
        <v>316</v>
      </c>
      <c r="G143" s="22" t="s">
        <v>128</v>
      </c>
      <c r="H143" s="28" t="s">
        <v>374</v>
      </c>
      <c r="I143" s="28" t="s">
        <v>383</v>
      </c>
      <c r="J143" s="422" t="s">
        <v>655</v>
      </c>
      <c r="K143" s="23">
        <v>6</v>
      </c>
    </row>
    <row r="144" spans="1:11" ht="36">
      <c r="A144" s="84" t="str">
        <f t="shared" si="10"/>
        <v>MIXP281</v>
      </c>
      <c r="B144" s="85" t="str">
        <f t="shared" si="11"/>
        <v>MIXP282</v>
      </c>
      <c r="C144" s="22">
        <v>136</v>
      </c>
      <c r="D144" s="22" t="str">
        <f>VLOOKUP('zoznam zapasov'!A144,'KO KODY SPOLU'!$A$3:$B$189,2,0)</f>
        <v>PETRÍK / PAPCUNOVÁ</v>
      </c>
      <c r="E144" s="22" t="str">
        <f>VLOOKUP('zoznam zapasov'!B144,'KO KODY SPOLU'!$A$3:$B$189,2,0)</f>
        <v>DIKO / PEKOVÁ</v>
      </c>
      <c r="F144" s="22" t="s">
        <v>316</v>
      </c>
      <c r="G144" s="22" t="s">
        <v>128</v>
      </c>
      <c r="H144" s="28" t="s">
        <v>375</v>
      </c>
      <c r="I144" s="28" t="s">
        <v>383</v>
      </c>
      <c r="J144" s="422" t="s">
        <v>655</v>
      </c>
      <c r="K144" s="23">
        <v>8</v>
      </c>
    </row>
    <row r="145" spans="1:11" ht="36">
      <c r="A145" s="84" t="str">
        <f t="shared" si="10"/>
        <v>CH4P131</v>
      </c>
      <c r="B145" s="85" t="str">
        <f t="shared" si="11"/>
        <v>CH4P132</v>
      </c>
      <c r="C145" s="22">
        <v>137</v>
      </c>
      <c r="D145" s="22" t="str">
        <f>VLOOKUP('zoznam zapasov'!A145,'KO KODY SPOLU'!$A$3:$B$189,2,0)</f>
        <v>DIKO / KYSEL</v>
      </c>
      <c r="E145" s="22" t="str">
        <f>VLOOKUP('zoznam zapasov'!B145,'KO KODY SPOLU'!$A$3:$B$189,2,0)</f>
        <v>FEČO / PAPÁNEK</v>
      </c>
      <c r="F145" s="22" t="s">
        <v>309</v>
      </c>
      <c r="G145" s="22" t="s">
        <v>128</v>
      </c>
      <c r="H145" s="28" t="s">
        <v>352</v>
      </c>
      <c r="I145" s="28" t="s">
        <v>384</v>
      </c>
      <c r="J145" s="425" t="s">
        <v>69</v>
      </c>
      <c r="K145" s="23">
        <v>1</v>
      </c>
    </row>
    <row r="146" spans="1:11" ht="36">
      <c r="A146" s="84" t="str">
        <f t="shared" si="10"/>
        <v>CH4P141</v>
      </c>
      <c r="B146" s="85" t="str">
        <f t="shared" si="11"/>
        <v>CH4P142</v>
      </c>
      <c r="C146" s="22">
        <v>138</v>
      </c>
      <c r="D146" s="22" t="str">
        <f>VLOOKUP('zoznam zapasov'!A146,'KO KODY SPOLU'!$A$3:$B$189,2,0)</f>
        <v>ĎANOVSKÝ / MILAN</v>
      </c>
      <c r="E146" s="22" t="str">
        <f>VLOOKUP('zoznam zapasov'!B146,'KO KODY SPOLU'!$A$3:$B$189,2,0)</f>
        <v>HURKA / JALOVECKÝ</v>
      </c>
      <c r="F146" s="22" t="s">
        <v>309</v>
      </c>
      <c r="G146" s="22" t="s">
        <v>128</v>
      </c>
      <c r="H146" s="28" t="s">
        <v>353</v>
      </c>
      <c r="I146" s="28" t="s">
        <v>384</v>
      </c>
      <c r="J146" s="425" t="s">
        <v>69</v>
      </c>
      <c r="K146" s="23">
        <v>2</v>
      </c>
    </row>
    <row r="147" spans="1:11" ht="36">
      <c r="A147" s="84" t="str">
        <f t="shared" si="10"/>
        <v>D4P131</v>
      </c>
      <c r="B147" s="85" t="str">
        <f t="shared" si="11"/>
        <v>D4P132</v>
      </c>
      <c r="C147" s="22">
        <v>139</v>
      </c>
      <c r="D147" s="22" t="str">
        <f>VLOOKUP('zoznam zapasov'!A147,'KO KODY SPOLU'!$A$3:$B$189,2,0)</f>
        <v>LABOŠOVÁ / ŠINKAROVÁ</v>
      </c>
      <c r="E147" s="22" t="str">
        <f>VLOOKUP('zoznam zapasov'!B147,'KO KODY SPOLU'!$A$3:$B$189,2,0)</f>
        <v>ŠVAJDLENKOVÁ / HURBANOVÁ</v>
      </c>
      <c r="F147" s="22" t="s">
        <v>95</v>
      </c>
      <c r="G147" s="22" t="s">
        <v>128</v>
      </c>
      <c r="H147" s="28" t="s">
        <v>352</v>
      </c>
      <c r="I147" s="28" t="s">
        <v>384</v>
      </c>
      <c r="J147" s="425" t="s">
        <v>69</v>
      </c>
      <c r="K147" s="23">
        <v>3</v>
      </c>
    </row>
    <row r="148" spans="1:11" ht="36">
      <c r="A148" s="84" t="str">
        <f t="shared" si="10"/>
        <v>D4P141</v>
      </c>
      <c r="B148" s="85" t="str">
        <f t="shared" si="11"/>
        <v>D4P142</v>
      </c>
      <c r="C148" s="22">
        <v>140</v>
      </c>
      <c r="D148" s="22" t="str">
        <f>VLOOKUP('zoznam zapasov'!A148,'KO KODY SPOLU'!$A$3:$B$189,2,0)</f>
        <v>DZELINSKA / TEREZKOVÁ</v>
      </c>
      <c r="E148" s="22" t="str">
        <f>VLOOKUP('zoznam zapasov'!B148,'KO KODY SPOLU'!$A$3:$B$189,2,0)</f>
        <v>PEKOVÁ / DIVINSKÁ</v>
      </c>
      <c r="F148" s="22" t="s">
        <v>95</v>
      </c>
      <c r="G148" s="22" t="s">
        <v>128</v>
      </c>
      <c r="H148" s="28" t="s">
        <v>353</v>
      </c>
      <c r="I148" s="28" t="s">
        <v>384</v>
      </c>
      <c r="J148" s="425" t="s">
        <v>69</v>
      </c>
      <c r="K148" s="23">
        <v>4</v>
      </c>
    </row>
    <row r="149" spans="1:11" ht="36">
      <c r="A149" s="84" t="str">
        <f t="shared" si="10"/>
        <v>CHP131</v>
      </c>
      <c r="B149" s="85" t="str">
        <f t="shared" si="11"/>
        <v>CHP132</v>
      </c>
      <c r="C149" s="22">
        <v>141</v>
      </c>
      <c r="D149" s="22" t="str">
        <f>VLOOKUP('zoznam zapasov'!A149,'KO KODY SPOLU'!$A$3:$B$189,2,0)</f>
        <v>DIKO Dalibor</v>
      </c>
      <c r="E149" s="22" t="str">
        <f>VLOOKUP('zoznam zapasov'!B149,'KO KODY SPOLU'!$A$3:$B$189,2,0)</f>
        <v>FEČO Samuel</v>
      </c>
      <c r="F149" s="22" t="s">
        <v>65</v>
      </c>
      <c r="G149" s="22" t="s">
        <v>128</v>
      </c>
      <c r="H149" s="28" t="s">
        <v>352</v>
      </c>
      <c r="I149" s="28" t="s">
        <v>384</v>
      </c>
      <c r="J149" s="423" t="s">
        <v>656</v>
      </c>
      <c r="K149" s="23">
        <v>1</v>
      </c>
    </row>
    <row r="150" spans="1:11" ht="36">
      <c r="A150" s="84" t="str">
        <f t="shared" si="10"/>
        <v>CHP141</v>
      </c>
      <c r="B150" s="85" t="str">
        <f t="shared" si="11"/>
        <v>CHP142</v>
      </c>
      <c r="C150" s="22">
        <v>142</v>
      </c>
      <c r="D150" s="22" t="str">
        <f>VLOOKUP('zoznam zapasov'!A150,'KO KODY SPOLU'!$A$3:$B$189,2,0)</f>
        <v>PINDURA Tobiáš</v>
      </c>
      <c r="E150" s="22" t="str">
        <f>VLOOKUP('zoznam zapasov'!B150,'KO KODY SPOLU'!$A$3:$B$189,2,0)</f>
        <v>KYSEL Martin</v>
      </c>
      <c r="F150" s="22" t="s">
        <v>65</v>
      </c>
      <c r="G150" s="22" t="s">
        <v>128</v>
      </c>
      <c r="H150" s="28" t="s">
        <v>353</v>
      </c>
      <c r="I150" s="28" t="s">
        <v>384</v>
      </c>
      <c r="J150" s="423" t="s">
        <v>656</v>
      </c>
      <c r="K150" s="23">
        <v>2</v>
      </c>
    </row>
    <row r="151" spans="1:11" ht="36">
      <c r="A151" s="84" t="str">
        <f t="shared" ref="A151:A159" si="12">CONCATENATE(F151,G151,H151,1)</f>
        <v>DP131</v>
      </c>
      <c r="B151" s="85" t="str">
        <f t="shared" ref="B151:B159" si="13">CONCATENATE(F151,G151,H151,2)</f>
        <v>DP132</v>
      </c>
      <c r="C151" s="22">
        <v>143</v>
      </c>
      <c r="D151" s="22" t="str">
        <f>VLOOKUP('zoznam zapasov'!A151,'KO KODY SPOLU'!$A$3:$B$189,2,0)</f>
        <v>LABOŠOVÁ Ema</v>
      </c>
      <c r="E151" s="22" t="str">
        <f>VLOOKUP('zoznam zapasov'!B151,'KO KODY SPOLU'!$A$3:$B$189,2,0)</f>
        <v>MAJERSKÁ Alena</v>
      </c>
      <c r="F151" s="22" t="s">
        <v>39</v>
      </c>
      <c r="G151" s="22" t="s">
        <v>128</v>
      </c>
      <c r="H151" s="28" t="s">
        <v>352</v>
      </c>
      <c r="I151" s="28" t="s">
        <v>384</v>
      </c>
      <c r="J151" s="423" t="s">
        <v>656</v>
      </c>
      <c r="K151" s="23">
        <v>3</v>
      </c>
    </row>
    <row r="152" spans="1:11" ht="36">
      <c r="A152" s="84" t="str">
        <f t="shared" si="12"/>
        <v>DP141</v>
      </c>
      <c r="B152" s="85" t="str">
        <f t="shared" si="13"/>
        <v>DP142</v>
      </c>
      <c r="C152" s="22">
        <v>144</v>
      </c>
      <c r="D152" s="22" t="str">
        <f>VLOOKUP('zoznam zapasov'!A152,'KO KODY SPOLU'!$A$3:$B$189,2,0)</f>
        <v>ŠINKAROVÁ Dáša</v>
      </c>
      <c r="E152" s="22" t="str">
        <f>VLOOKUP('zoznam zapasov'!B152,'KO KODY SPOLU'!$A$3:$B$189,2,0)</f>
        <v>PEKOVÁ Zuzana</v>
      </c>
      <c r="F152" s="22" t="s">
        <v>39</v>
      </c>
      <c r="G152" s="22" t="s">
        <v>128</v>
      </c>
      <c r="H152" s="28" t="s">
        <v>353</v>
      </c>
      <c r="I152" s="28" t="s">
        <v>384</v>
      </c>
      <c r="J152" s="423" t="s">
        <v>656</v>
      </c>
      <c r="K152" s="23">
        <v>4</v>
      </c>
    </row>
    <row r="153" spans="1:11" ht="36">
      <c r="A153" s="84" t="str">
        <f t="shared" si="12"/>
        <v>MIXP291</v>
      </c>
      <c r="B153" s="85" t="str">
        <f t="shared" si="13"/>
        <v>MIXP292</v>
      </c>
      <c r="C153" s="22">
        <v>145</v>
      </c>
      <c r="D153" s="22" t="str">
        <f>VLOOKUP('zoznam zapasov'!A153,'KO KODY SPOLU'!$A$3:$B$189,2,0)</f>
        <v>KYSEL / LABOŠOVÁ</v>
      </c>
      <c r="E153" s="22" t="str">
        <f>VLOOKUP('zoznam zapasov'!B153,'KO KODY SPOLU'!$A$3:$B$189,2,0)</f>
        <v>FEČO / DZELINSKA</v>
      </c>
      <c r="F153" s="22" t="s">
        <v>316</v>
      </c>
      <c r="G153" s="22" t="s">
        <v>128</v>
      </c>
      <c r="H153" s="28" t="s">
        <v>363</v>
      </c>
      <c r="I153" s="28" t="s">
        <v>384</v>
      </c>
      <c r="J153" s="425" t="s">
        <v>657</v>
      </c>
      <c r="K153" s="23">
        <v>1</v>
      </c>
    </row>
    <row r="154" spans="1:11" ht="36">
      <c r="A154" s="84" t="str">
        <f t="shared" si="12"/>
        <v>MIXP301</v>
      </c>
      <c r="B154" s="85" t="str">
        <f t="shared" si="13"/>
        <v>MIXP302</v>
      </c>
      <c r="C154" s="22">
        <v>146</v>
      </c>
      <c r="D154" s="22" t="str">
        <f>VLOOKUP('zoznam zapasov'!A154,'KO KODY SPOLU'!$A$3:$B$189,2,0)</f>
        <v>PINDURA / ŠINKAROVÁ</v>
      </c>
      <c r="E154" s="22" t="str">
        <f>VLOOKUP('zoznam zapasov'!B154,'KO KODY SPOLU'!$A$3:$B$189,2,0)</f>
        <v>DIKO / PEKOVÁ</v>
      </c>
      <c r="F154" s="22" t="s">
        <v>316</v>
      </c>
      <c r="G154" s="22" t="s">
        <v>128</v>
      </c>
      <c r="H154" s="28" t="s">
        <v>364</v>
      </c>
      <c r="I154" s="28" t="s">
        <v>384</v>
      </c>
      <c r="J154" s="425" t="s">
        <v>657</v>
      </c>
      <c r="K154" s="23">
        <v>2</v>
      </c>
    </row>
    <row r="155" spans="1:11" ht="36">
      <c r="A155" s="84" t="str">
        <f t="shared" si="12"/>
        <v>CHP151</v>
      </c>
      <c r="B155" s="85" t="str">
        <f t="shared" si="13"/>
        <v>CHP152</v>
      </c>
      <c r="C155" s="22">
        <v>147</v>
      </c>
      <c r="D155" s="22" t="str">
        <f>VLOOKUP('zoznam zapasov'!A155,'KO KODY SPOLU'!$A$3:$B$189,2,0)</f>
        <v>DIKO Dalibor</v>
      </c>
      <c r="E155" s="22" t="str">
        <f>VLOOKUP('zoznam zapasov'!B155,'KO KODY SPOLU'!$A$3:$B$189,2,0)</f>
        <v>PINDURA Tobiáš</v>
      </c>
      <c r="F155" s="22" t="s">
        <v>65</v>
      </c>
      <c r="G155" s="22" t="s">
        <v>128</v>
      </c>
      <c r="H155" s="28" t="s">
        <v>354</v>
      </c>
      <c r="I155" s="28" t="s">
        <v>384</v>
      </c>
      <c r="J155" s="423" t="s">
        <v>365</v>
      </c>
      <c r="K155" s="23">
        <v>1</v>
      </c>
    </row>
    <row r="156" spans="1:11" ht="36">
      <c r="A156" s="84" t="str">
        <f t="shared" si="12"/>
        <v>DP151</v>
      </c>
      <c r="B156" s="85" t="str">
        <f t="shared" si="13"/>
        <v>DP152</v>
      </c>
      <c r="C156" s="22">
        <v>148</v>
      </c>
      <c r="D156" s="22" t="str">
        <f>VLOOKUP('zoznam zapasov'!A156,'KO KODY SPOLU'!$A$3:$B$189,2,0)</f>
        <v>LABOŠOVÁ Ema</v>
      </c>
      <c r="E156" s="22" t="str">
        <f>VLOOKUP('zoznam zapasov'!B156,'KO KODY SPOLU'!$A$3:$B$189,2,0)</f>
        <v>ŠINKAROVÁ Dáša</v>
      </c>
      <c r="F156" s="22" t="s">
        <v>39</v>
      </c>
      <c r="G156" s="22" t="s">
        <v>128</v>
      </c>
      <c r="H156" s="28" t="s">
        <v>354</v>
      </c>
      <c r="I156" s="28" t="s">
        <v>384</v>
      </c>
      <c r="J156" s="423" t="s">
        <v>365</v>
      </c>
      <c r="K156" s="23">
        <v>2</v>
      </c>
    </row>
    <row r="157" spans="1:11" ht="36">
      <c r="A157" s="84" t="str">
        <f t="shared" si="12"/>
        <v>CH4P151</v>
      </c>
      <c r="B157" s="85" t="str">
        <f t="shared" si="13"/>
        <v>CH4P152</v>
      </c>
      <c r="C157" s="22">
        <v>149</v>
      </c>
      <c r="D157" s="22" t="str">
        <f>VLOOKUP('zoznam zapasov'!A157,'KO KODY SPOLU'!$A$3:$B$189,2,0)</f>
        <v>DIKO / KYSEL</v>
      </c>
      <c r="E157" s="22" t="str">
        <f>VLOOKUP('zoznam zapasov'!B157,'KO KODY SPOLU'!$A$3:$B$189,2,0)</f>
        <v>ĎANOVSKÝ / MILAN</v>
      </c>
      <c r="F157" s="22" t="s">
        <v>309</v>
      </c>
      <c r="G157" s="22" t="s">
        <v>128</v>
      </c>
      <c r="H157" s="28" t="s">
        <v>354</v>
      </c>
      <c r="I157" s="28" t="s">
        <v>384</v>
      </c>
      <c r="J157" s="425" t="s">
        <v>366</v>
      </c>
      <c r="K157" s="23">
        <v>1</v>
      </c>
    </row>
    <row r="158" spans="1:11" ht="36">
      <c r="A158" s="84" t="str">
        <f t="shared" si="12"/>
        <v>D4P151</v>
      </c>
      <c r="B158" s="85" t="str">
        <f t="shared" si="13"/>
        <v>D4P152</v>
      </c>
      <c r="C158" s="22">
        <v>150</v>
      </c>
      <c r="D158" s="22" t="str">
        <f>VLOOKUP('zoznam zapasov'!A158,'KO KODY SPOLU'!$A$3:$B$189,2,0)</f>
        <v>LABOŠOVÁ / ŠINKAROVÁ</v>
      </c>
      <c r="E158" s="22" t="str">
        <f>VLOOKUP('zoznam zapasov'!B158,'KO KODY SPOLU'!$A$3:$B$189,2,0)</f>
        <v>PEKOVÁ / DIVINSKÁ</v>
      </c>
      <c r="F158" s="22" t="s">
        <v>95</v>
      </c>
      <c r="G158" s="22" t="s">
        <v>128</v>
      </c>
      <c r="H158" s="28" t="s">
        <v>354</v>
      </c>
      <c r="I158" s="28" t="s">
        <v>384</v>
      </c>
      <c r="J158" s="425" t="s">
        <v>366</v>
      </c>
      <c r="K158" s="23">
        <v>2</v>
      </c>
    </row>
    <row r="159" spans="1:11" ht="36">
      <c r="A159" s="84" t="str">
        <f t="shared" si="12"/>
        <v>MIXP311</v>
      </c>
      <c r="B159" s="85" t="str">
        <f t="shared" si="13"/>
        <v>MIXP312</v>
      </c>
      <c r="C159" s="22">
        <v>151</v>
      </c>
      <c r="D159" s="22" t="str">
        <f>VLOOKUP('zoznam zapasov'!A159,'KO KODY SPOLU'!$A$3:$B$189,2,0)</f>
        <v>KYSEL / LABOŠOVÁ</v>
      </c>
      <c r="E159" s="22" t="str">
        <f>VLOOKUP('zoznam zapasov'!B159,'KO KODY SPOLU'!$A$3:$B$189,2,0)</f>
        <v>PINDURA / ŠINKAROVÁ</v>
      </c>
      <c r="F159" s="22" t="s">
        <v>316</v>
      </c>
      <c r="G159" s="22" t="s">
        <v>128</v>
      </c>
      <c r="H159" s="28" t="s">
        <v>367</v>
      </c>
      <c r="I159" s="28" t="s">
        <v>384</v>
      </c>
      <c r="J159" s="423" t="s">
        <v>73</v>
      </c>
      <c r="K159" s="23">
        <v>1</v>
      </c>
    </row>
    <row r="160" spans="1:11" ht="36">
      <c r="J160" s="416"/>
    </row>
    <row r="161" spans="10:10" ht="36">
      <c r="J161" s="416"/>
    </row>
    <row r="162" spans="10:10" ht="36">
      <c r="J162" s="416"/>
    </row>
    <row r="163" spans="10:10" ht="36">
      <c r="J163" s="416"/>
    </row>
    <row r="164" spans="10:10" ht="36">
      <c r="J164" s="416"/>
    </row>
    <row r="165" spans="10:10" ht="36">
      <c r="J165" s="416"/>
    </row>
    <row r="166" spans="10:10" ht="36">
      <c r="J166" s="416"/>
    </row>
  </sheetData>
  <pageMargins left="0.35433070866141736" right="0.19685039370078741" top="0.31496062992125984" bottom="0.27559055118110237" header="0.15748031496062992" footer="0.15748031496062992"/>
  <pageSetup paperSize="9" scale="42" fitToHeight="2" orientation="portrait" horizontalDpi="300" verticalDpi="300" r:id="rId1"/>
  <rowBreaks count="2" manualBreakCount="2">
    <brk id="42" min="1" max="10" man="1"/>
    <brk id="78" min="1" max="10" man="1"/>
  </rowBreaks>
  <colBreaks count="1" manualBreakCount="1">
    <brk id="11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>
  <dimension ref="A1:BA3072"/>
  <sheetViews>
    <sheetView view="pageBreakPreview" topLeftCell="A3045" zoomScale="30" zoomScaleNormal="40" zoomScaleSheetLayoutView="30" workbookViewId="0">
      <selection activeCell="M3058" sqref="M3058"/>
    </sheetView>
  </sheetViews>
  <sheetFormatPr defaultRowHeight="61.5"/>
  <cols>
    <col min="1" max="2" width="22.85546875" style="252" customWidth="1"/>
    <col min="3" max="3" width="12.85546875" style="253" customWidth="1"/>
    <col min="4" max="4" width="16.7109375" style="253" customWidth="1"/>
    <col min="5" max="5" width="32.85546875" style="253" customWidth="1"/>
    <col min="6" max="6" width="31.140625" style="254" customWidth="1"/>
    <col min="7" max="7" width="18.5703125" style="253" customWidth="1"/>
    <col min="8" max="8" width="20" style="253" customWidth="1"/>
    <col min="9" max="11" width="9.140625" style="253"/>
    <col min="12" max="12" width="69.5703125" style="253" customWidth="1"/>
    <col min="13" max="13" width="8.42578125" style="253" customWidth="1"/>
    <col min="14" max="20" width="12.7109375" style="253" customWidth="1"/>
    <col min="21" max="21" width="30.42578125" style="253" customWidth="1"/>
    <col min="22" max="22" width="21.42578125" style="253" customWidth="1"/>
    <col min="23" max="23" width="5" style="253" customWidth="1"/>
    <col min="24" max="24" width="7.85546875" style="253" customWidth="1"/>
    <col min="25" max="25" width="9.140625" style="253"/>
    <col min="26" max="26" width="22.7109375" style="258" customWidth="1"/>
    <col min="27" max="27" width="27.42578125" style="255" customWidth="1"/>
    <col min="28" max="28" width="44.140625" style="255" customWidth="1"/>
    <col min="29" max="29" width="43.28515625" style="255" customWidth="1"/>
    <col min="30" max="30" width="9.140625" style="253"/>
    <col min="31" max="31" width="16" style="253" customWidth="1"/>
    <col min="32" max="47" width="9.140625" style="253"/>
    <col min="48" max="48" width="32.28515625" style="256" customWidth="1"/>
    <col min="49" max="51" width="9.140625" style="253"/>
    <col min="52" max="53" width="9.140625" style="257"/>
    <col min="54" max="16384" width="9.140625" style="253"/>
  </cols>
  <sheetData>
    <row r="1" spans="1:53" ht="46.5">
      <c r="E1" s="223" t="s">
        <v>503</v>
      </c>
      <c r="Z1" s="255" t="s">
        <v>376</v>
      </c>
      <c r="AA1" s="255" t="s">
        <v>377</v>
      </c>
      <c r="AB1" s="255" t="s">
        <v>378</v>
      </c>
      <c r="AC1" s="255" t="s">
        <v>379</v>
      </c>
    </row>
    <row r="2" spans="1:53">
      <c r="E2" s="223"/>
    </row>
    <row r="3" spans="1:53">
      <c r="E3" s="223"/>
    </row>
    <row r="4" spans="1:53" ht="62.25" thickBot="1">
      <c r="A4" s="252" t="s">
        <v>62</v>
      </c>
    </row>
    <row r="5" spans="1:53" ht="39.950000000000003" customHeight="1">
      <c r="A5" s="252" t="str">
        <f>CONCATENATE(F12,F14,F16)</f>
        <v>DA1-3</v>
      </c>
      <c r="E5" s="259" t="s">
        <v>70</v>
      </c>
      <c r="F5" s="260">
        <f>VLOOKUP(A5,'zoznam zapasov'!$A$6:$K$77,3,0)</f>
        <v>1</v>
      </c>
      <c r="G5" s="261"/>
      <c r="H5" s="322" t="s">
        <v>501</v>
      </c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 t="s">
        <v>30</v>
      </c>
      <c r="W5" s="262"/>
      <c r="X5" s="263"/>
      <c r="Z5" s="258" t="str">
        <f>CONCATENATE(V7,":",V10)</f>
        <v>3:0</v>
      </c>
      <c r="AC5" s="255" t="str">
        <f>CONCATENATE("Tbl.: ",F7,"   H: ",F10,"   D: ",F9)</f>
        <v>Tbl.: 1   H: 9.30   D: So</v>
      </c>
      <c r="AE5" s="253" t="s">
        <v>11</v>
      </c>
      <c r="AV5" s="256" t="str">
        <f>CONCATENATE(AN7,",",AO7,",",AP7,",",AQ7,",",AR7,",",AS7,",",AT7)</f>
        <v>4,8,3,,,,</v>
      </c>
    </row>
    <row r="6" spans="1:53" ht="39.950000000000003" customHeight="1">
      <c r="E6" s="264"/>
      <c r="F6" s="265"/>
      <c r="G6" s="321" t="s">
        <v>500</v>
      </c>
      <c r="H6" s="323" t="s">
        <v>502</v>
      </c>
      <c r="I6" s="263"/>
      <c r="J6" s="263"/>
      <c r="K6" s="263"/>
      <c r="L6" s="263"/>
      <c r="M6" s="321"/>
      <c r="N6" s="266">
        <v>1</v>
      </c>
      <c r="O6" s="266">
        <v>2</v>
      </c>
      <c r="P6" s="266">
        <v>3</v>
      </c>
      <c r="Q6" s="266">
        <v>4</v>
      </c>
      <c r="R6" s="266">
        <v>5</v>
      </c>
      <c r="S6" s="266">
        <v>6</v>
      </c>
      <c r="T6" s="266">
        <v>7</v>
      </c>
      <c r="U6" s="263"/>
      <c r="V6" s="266" t="s">
        <v>31</v>
      </c>
      <c r="W6" s="267"/>
      <c r="X6" s="263"/>
      <c r="AE6" s="253" t="s">
        <v>68</v>
      </c>
      <c r="AV6" s="256" t="str">
        <f>CONCATENATE(AN8,",",AO8,",",AP8,",",AQ8,",",AR8,",",AS8,",",AT8)</f>
        <v>-4,-8,-3,,,,</v>
      </c>
    </row>
    <row r="7" spans="1:53" ht="39.950000000000003" customHeight="1">
      <c r="A7" s="252" t="str">
        <f>CONCATENATE(F12,VLOOKUP(F14,$AZ$7:$BA$14,2,0),LEFT(F16,1))</f>
        <v>D11</v>
      </c>
      <c r="E7" s="264" t="s">
        <v>29</v>
      </c>
      <c r="F7" s="265">
        <f>VLOOKUP(A5,'zoznam zapasov'!$A$6:$K$77,11,0)</f>
        <v>1</v>
      </c>
      <c r="G7" s="508"/>
      <c r="H7" s="495"/>
      <c r="I7" s="498" t="str">
        <f>IF(ISERROR(VLOOKUP(A7,vylosovanie!$A$8:$J$68,6,0))=TRUE,"",VLOOKUP(A7,vylosovanie!$A$8:$J$68,6,0))</f>
        <v>LABOŠOVÁ Ema</v>
      </c>
      <c r="J7" s="499"/>
      <c r="K7" s="499"/>
      <c r="L7" s="500"/>
      <c r="M7" s="507"/>
      <c r="N7" s="489">
        <v>11</v>
      </c>
      <c r="O7" s="489">
        <v>11</v>
      </c>
      <c r="P7" s="489">
        <v>11</v>
      </c>
      <c r="Q7" s="489"/>
      <c r="R7" s="489"/>
      <c r="S7" s="489"/>
      <c r="T7" s="489"/>
      <c r="U7" s="263"/>
      <c r="V7" s="493">
        <f>IF(SUM(AF7:AL8)=0,"",SUM(AF7:AL7))</f>
        <v>3</v>
      </c>
      <c r="W7" s="267"/>
      <c r="X7" s="263"/>
      <c r="AE7" s="253" t="str">
        <f>VLOOKUP(I7,vylosovanie!$F$8:$L$190,7,0)</f>
        <v>D11</v>
      </c>
      <c r="AF7" s="268">
        <f>IF(N7&gt;N10,1,0)</f>
        <v>1</v>
      </c>
      <c r="AG7" s="268">
        <f t="shared" ref="AG7:AL7" si="0">IF(O7&gt;O10,1,0)</f>
        <v>1</v>
      </c>
      <c r="AH7" s="268">
        <f t="shared" si="0"/>
        <v>1</v>
      </c>
      <c r="AI7" s="268">
        <f t="shared" si="0"/>
        <v>0</v>
      </c>
      <c r="AJ7" s="268">
        <f t="shared" si="0"/>
        <v>0</v>
      </c>
      <c r="AK7" s="268">
        <f t="shared" si="0"/>
        <v>0</v>
      </c>
      <c r="AL7" s="268">
        <f t="shared" si="0"/>
        <v>0</v>
      </c>
      <c r="AN7" s="268">
        <f t="shared" ref="AN7:AT7" si="1">IF(ISBLANK(N7)=TRUE,"",IF(AF7=1,N10,-N7))</f>
        <v>4</v>
      </c>
      <c r="AO7" s="268">
        <f t="shared" si="1"/>
        <v>8</v>
      </c>
      <c r="AP7" s="268">
        <f t="shared" si="1"/>
        <v>3</v>
      </c>
      <c r="AQ7" s="268" t="str">
        <f t="shared" si="1"/>
        <v/>
      </c>
      <c r="AR7" s="268" t="str">
        <f t="shared" si="1"/>
        <v/>
      </c>
      <c r="AS7" s="268" t="str">
        <f t="shared" si="1"/>
        <v/>
      </c>
      <c r="AT7" s="268" t="str">
        <f t="shared" si="1"/>
        <v/>
      </c>
      <c r="AZ7" s="269" t="s">
        <v>12</v>
      </c>
      <c r="BA7" s="269">
        <v>1</v>
      </c>
    </row>
    <row r="8" spans="1:53" ht="39.950000000000003" customHeight="1">
      <c r="E8" s="264"/>
      <c r="F8" s="265"/>
      <c r="G8" s="509"/>
      <c r="H8" s="495"/>
      <c r="I8" s="501"/>
      <c r="J8" s="502"/>
      <c r="K8" s="502"/>
      <c r="L8" s="503"/>
      <c r="M8" s="507"/>
      <c r="N8" s="490"/>
      <c r="O8" s="490"/>
      <c r="P8" s="490"/>
      <c r="Q8" s="490"/>
      <c r="R8" s="490"/>
      <c r="S8" s="490"/>
      <c r="T8" s="490"/>
      <c r="U8" s="263"/>
      <c r="V8" s="493"/>
      <c r="W8" s="267"/>
      <c r="X8" s="263"/>
      <c r="AE8" s="253" t="str">
        <f>VLOOKUP(I10,vylosovanie!$F$8:$L$190,7,0)</f>
        <v>D13</v>
      </c>
      <c r="AF8" s="268">
        <f>IF(N10&gt;N7,1,0)</f>
        <v>0</v>
      </c>
      <c r="AG8" s="268">
        <f t="shared" ref="AG8:AL8" si="2">IF(O10&gt;O7,1,0)</f>
        <v>0</v>
      </c>
      <c r="AH8" s="268">
        <f t="shared" si="2"/>
        <v>0</v>
      </c>
      <c r="AI8" s="268">
        <f t="shared" si="2"/>
        <v>0</v>
      </c>
      <c r="AJ8" s="268">
        <f t="shared" si="2"/>
        <v>0</v>
      </c>
      <c r="AK8" s="268">
        <f t="shared" si="2"/>
        <v>0</v>
      </c>
      <c r="AL8" s="268">
        <f t="shared" si="2"/>
        <v>0</v>
      </c>
      <c r="AN8" s="268">
        <f t="shared" ref="AN8:AT8" si="3">IF(ISBLANK(N10)=TRUE,"",IF(AF8=1,N7,-N10))</f>
        <v>-4</v>
      </c>
      <c r="AO8" s="268">
        <f t="shared" si="3"/>
        <v>-8</v>
      </c>
      <c r="AP8" s="268">
        <f t="shared" si="3"/>
        <v>-3</v>
      </c>
      <c r="AQ8" s="268" t="str">
        <f t="shared" si="3"/>
        <v/>
      </c>
      <c r="AR8" s="268" t="str">
        <f t="shared" si="3"/>
        <v/>
      </c>
      <c r="AS8" s="268" t="str">
        <f t="shared" si="3"/>
        <v/>
      </c>
      <c r="AT8" s="268" t="str">
        <f t="shared" si="3"/>
        <v/>
      </c>
      <c r="AZ8" s="269" t="s">
        <v>18</v>
      </c>
      <c r="BA8" s="269">
        <v>2</v>
      </c>
    </row>
    <row r="9" spans="1:53" ht="39.950000000000003" customHeight="1">
      <c r="E9" s="264" t="s">
        <v>35</v>
      </c>
      <c r="F9" s="265" t="str">
        <f>VLOOKUP(A5,'zoznam zapasov'!$A$6:$K$77,9,0)</f>
        <v>So</v>
      </c>
      <c r="G9" s="263"/>
      <c r="H9" s="263"/>
      <c r="I9" s="263"/>
      <c r="J9" s="263"/>
      <c r="K9" s="263"/>
      <c r="L9" s="263"/>
      <c r="M9" s="263"/>
      <c r="N9" s="263"/>
      <c r="O9" s="263"/>
      <c r="P9" s="263"/>
      <c r="Q9" s="263"/>
      <c r="R9" s="263"/>
      <c r="S9" s="263"/>
      <c r="T9" s="263"/>
      <c r="U9" s="263"/>
      <c r="V9" s="263"/>
      <c r="W9" s="267"/>
      <c r="X9" s="263"/>
      <c r="AZ9" s="269" t="s">
        <v>38</v>
      </c>
      <c r="BA9" s="269">
        <v>3</v>
      </c>
    </row>
    <row r="10" spans="1:53" ht="39.950000000000003" customHeight="1">
      <c r="A10" s="252" t="str">
        <f>CONCATENATE(F12,VLOOKUP(F14,$AZ$7:$BA$14,2,0),RIGHT(F16,1))</f>
        <v>D13</v>
      </c>
      <c r="E10" s="264" t="s">
        <v>28</v>
      </c>
      <c r="F10" s="270" t="str">
        <f>VLOOKUP(A5,'zoznam zapasov'!$A$6:$K$77,10,0)</f>
        <v>9.30</v>
      </c>
      <c r="G10" s="508"/>
      <c r="H10" s="486"/>
      <c r="I10" s="487" t="str">
        <f>IF(ISERROR(VLOOKUP(A10,vylosovanie!$A$8:$J$68,6,0))=TRUE,"",VLOOKUP(A10,vylosovanie!$A$8:$J$68,6,0))</f>
        <v>LEDAJOVÁ Martina</v>
      </c>
      <c r="J10" s="487"/>
      <c r="K10" s="487"/>
      <c r="L10" s="487"/>
      <c r="M10" s="263"/>
      <c r="N10" s="489">
        <v>4</v>
      </c>
      <c r="O10" s="489">
        <v>8</v>
      </c>
      <c r="P10" s="489">
        <v>3</v>
      </c>
      <c r="Q10" s="489"/>
      <c r="R10" s="489"/>
      <c r="S10" s="489"/>
      <c r="T10" s="489"/>
      <c r="U10" s="263"/>
      <c r="V10" s="493">
        <f>IF(SUM(AF7:AL8)=0,"",SUM(AF8:AL8))</f>
        <v>0</v>
      </c>
      <c r="W10" s="267"/>
      <c r="X10" s="263"/>
      <c r="AZ10" s="269" t="s">
        <v>39</v>
      </c>
      <c r="BA10" s="269">
        <v>4</v>
      </c>
    </row>
    <row r="11" spans="1:53" ht="39.950000000000003" customHeight="1">
      <c r="E11" s="271"/>
      <c r="F11" s="272"/>
      <c r="G11" s="509"/>
      <c r="H11" s="486"/>
      <c r="I11" s="487"/>
      <c r="J11" s="487"/>
      <c r="K11" s="487"/>
      <c r="L11" s="487"/>
      <c r="M11" s="263"/>
      <c r="N11" s="490"/>
      <c r="O11" s="490"/>
      <c r="P11" s="490"/>
      <c r="Q11" s="490"/>
      <c r="R11" s="490"/>
      <c r="S11" s="490"/>
      <c r="T11" s="490"/>
      <c r="U11" s="263"/>
      <c r="V11" s="493"/>
      <c r="W11" s="267"/>
      <c r="X11" s="263"/>
      <c r="AZ11" s="269" t="s">
        <v>40</v>
      </c>
      <c r="BA11" s="269">
        <v>5</v>
      </c>
    </row>
    <row r="12" spans="1:53" ht="39.950000000000003" customHeight="1">
      <c r="E12" s="264" t="s">
        <v>66</v>
      </c>
      <c r="F12" s="265" t="s">
        <v>39</v>
      </c>
      <c r="G12" s="263"/>
      <c r="H12" s="263"/>
      <c r="I12" s="263"/>
      <c r="J12" s="263"/>
      <c r="K12" s="263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7"/>
      <c r="X12" s="263"/>
      <c r="AZ12" s="269" t="s">
        <v>41</v>
      </c>
      <c r="BA12" s="269">
        <v>6</v>
      </c>
    </row>
    <row r="13" spans="1:53" ht="39.950000000000003" customHeight="1">
      <c r="E13" s="271"/>
      <c r="F13" s="272"/>
      <c r="G13" s="263"/>
      <c r="H13" s="263"/>
      <c r="I13" s="263" t="s">
        <v>32</v>
      </c>
      <c r="J13" s="263"/>
      <c r="K13" s="263"/>
      <c r="L13" s="263"/>
      <c r="M13" s="263"/>
      <c r="N13" s="273"/>
      <c r="O13" s="266"/>
      <c r="P13" s="266" t="s">
        <v>34</v>
      </c>
      <c r="Q13" s="266"/>
      <c r="R13" s="266"/>
      <c r="S13" s="266"/>
      <c r="T13" s="266"/>
      <c r="U13" s="263"/>
      <c r="V13" s="263"/>
      <c r="W13" s="267"/>
      <c r="X13" s="263"/>
      <c r="AZ13" s="269" t="s">
        <v>42</v>
      </c>
      <c r="BA13" s="269">
        <v>7</v>
      </c>
    </row>
    <row r="14" spans="1:53" ht="39.950000000000003" customHeight="1">
      <c r="E14" s="264" t="s">
        <v>26</v>
      </c>
      <c r="F14" s="265" t="str">
        <f>'skupiny CH'!K3</f>
        <v>A</v>
      </c>
      <c r="G14" s="263"/>
      <c r="H14" s="263"/>
      <c r="I14" s="486"/>
      <c r="J14" s="486"/>
      <c r="K14" s="486"/>
      <c r="L14" s="486"/>
      <c r="M14" s="263"/>
      <c r="N14" s="486" t="str">
        <f>IF(V7&gt;V10,I7,IF(V10&gt;V7,I10,""))</f>
        <v>LABOŠOVÁ Ema</v>
      </c>
      <c r="O14" s="486"/>
      <c r="P14" s="486"/>
      <c r="Q14" s="486"/>
      <c r="R14" s="486"/>
      <c r="S14" s="486"/>
      <c r="T14" s="263"/>
      <c r="U14" s="263"/>
      <c r="V14" s="263"/>
      <c r="W14" s="267"/>
      <c r="X14" s="263"/>
      <c r="AZ14" s="269" t="s">
        <v>43</v>
      </c>
      <c r="BA14" s="269">
        <v>8</v>
      </c>
    </row>
    <row r="15" spans="1:53" ht="39.950000000000003" customHeight="1">
      <c r="E15" s="271"/>
      <c r="F15" s="272"/>
      <c r="G15" s="263"/>
      <c r="H15" s="263"/>
      <c r="I15" s="486"/>
      <c r="J15" s="486"/>
      <c r="K15" s="486"/>
      <c r="L15" s="486"/>
      <c r="M15" s="263"/>
      <c r="N15" s="486"/>
      <c r="O15" s="486"/>
      <c r="P15" s="486"/>
      <c r="Q15" s="486"/>
      <c r="R15" s="486"/>
      <c r="S15" s="486"/>
      <c r="T15" s="263"/>
      <c r="U15" s="263"/>
      <c r="V15" s="263"/>
      <c r="W15" s="267"/>
      <c r="X15" s="263"/>
    </row>
    <row r="16" spans="1:53" ht="39.950000000000003" customHeight="1">
      <c r="E16" s="264" t="s">
        <v>27</v>
      </c>
      <c r="F16" s="274" t="s">
        <v>20</v>
      </c>
      <c r="G16" s="263"/>
      <c r="H16" s="263"/>
      <c r="I16" s="263"/>
      <c r="J16" s="263"/>
      <c r="K16" s="263"/>
      <c r="L16" s="263"/>
      <c r="M16" s="263"/>
      <c r="N16" s="263"/>
      <c r="O16" s="263"/>
      <c r="P16" s="263"/>
      <c r="Q16" s="263"/>
      <c r="R16" s="263"/>
      <c r="S16" s="263"/>
      <c r="T16" s="263"/>
      <c r="U16" s="263"/>
      <c r="V16" s="263"/>
      <c r="W16" s="267"/>
      <c r="X16" s="263"/>
    </row>
    <row r="17" spans="1:53" ht="39.950000000000003" customHeight="1">
      <c r="E17" s="271"/>
      <c r="F17" s="272"/>
      <c r="G17" s="263"/>
      <c r="H17" s="263" t="s">
        <v>33</v>
      </c>
      <c r="I17" s="263"/>
      <c r="J17" s="263"/>
      <c r="K17" s="263"/>
      <c r="L17" s="263"/>
      <c r="M17" s="263"/>
      <c r="N17" s="263"/>
      <c r="O17" s="263"/>
      <c r="P17" s="263"/>
      <c r="Q17" s="263"/>
      <c r="R17" s="263"/>
      <c r="S17" s="263"/>
      <c r="T17" s="263"/>
      <c r="U17" s="263"/>
      <c r="V17" s="263"/>
      <c r="W17" s="267"/>
      <c r="X17" s="263"/>
    </row>
    <row r="18" spans="1:53" ht="39.950000000000003" customHeight="1">
      <c r="E18" s="271"/>
      <c r="F18" s="272"/>
      <c r="G18" s="263"/>
      <c r="H18" s="263"/>
      <c r="I18" s="263"/>
      <c r="J18" s="263"/>
      <c r="K18" s="263"/>
      <c r="L18" s="263"/>
      <c r="M18" s="263"/>
      <c r="N18" s="263"/>
      <c r="O18" s="263"/>
      <c r="P18" s="263"/>
      <c r="Q18" s="263"/>
      <c r="R18" s="263"/>
      <c r="S18" s="263"/>
      <c r="T18" s="263"/>
      <c r="U18" s="263"/>
      <c r="V18" s="263"/>
      <c r="W18" s="267"/>
      <c r="X18" s="263"/>
    </row>
    <row r="19" spans="1:53" ht="39.950000000000003" customHeight="1">
      <c r="E19" s="271"/>
      <c r="F19" s="272"/>
      <c r="G19" s="263"/>
      <c r="H19" s="263"/>
      <c r="I19" s="496" t="str">
        <f>I7</f>
        <v>LABOŠOVÁ Ema</v>
      </c>
      <c r="J19" s="496"/>
      <c r="K19" s="496"/>
      <c r="L19" s="496"/>
      <c r="M19" s="263"/>
      <c r="N19" s="263"/>
      <c r="O19" s="263"/>
      <c r="P19" s="496" t="str">
        <f>I10</f>
        <v>LEDAJOVÁ Martina</v>
      </c>
      <c r="Q19" s="496"/>
      <c r="R19" s="496"/>
      <c r="S19" s="496"/>
      <c r="T19" s="496"/>
      <c r="U19" s="496"/>
      <c r="V19" s="263"/>
      <c r="W19" s="267"/>
      <c r="X19" s="263"/>
    </row>
    <row r="20" spans="1:53" ht="69.95" customHeight="1">
      <c r="E20" s="264"/>
      <c r="F20" s="265"/>
      <c r="G20" s="263"/>
      <c r="H20" s="275" t="s">
        <v>36</v>
      </c>
      <c r="I20" s="483"/>
      <c r="J20" s="494"/>
      <c r="K20" s="494"/>
      <c r="L20" s="495"/>
      <c r="M20" s="263"/>
      <c r="N20" s="263"/>
      <c r="O20" s="275" t="s">
        <v>36</v>
      </c>
      <c r="P20" s="486"/>
      <c r="Q20" s="486"/>
      <c r="R20" s="486"/>
      <c r="S20" s="486"/>
      <c r="T20" s="486"/>
      <c r="U20" s="486"/>
      <c r="V20" s="263"/>
      <c r="W20" s="267"/>
      <c r="X20" s="263"/>
    </row>
    <row r="21" spans="1:53" ht="69.95" customHeight="1">
      <c r="E21" s="264"/>
      <c r="F21" s="265"/>
      <c r="G21" s="263"/>
      <c r="H21" s="275" t="s">
        <v>37</v>
      </c>
      <c r="I21" s="486"/>
      <c r="J21" s="486"/>
      <c r="K21" s="486"/>
      <c r="L21" s="486"/>
      <c r="M21" s="263"/>
      <c r="N21" s="263"/>
      <c r="O21" s="275" t="s">
        <v>37</v>
      </c>
      <c r="P21" s="486"/>
      <c r="Q21" s="486"/>
      <c r="R21" s="486"/>
      <c r="S21" s="486"/>
      <c r="T21" s="486"/>
      <c r="U21" s="486"/>
      <c r="V21" s="263"/>
      <c r="W21" s="267"/>
      <c r="X21" s="263"/>
    </row>
    <row r="22" spans="1:53" ht="69.95" customHeight="1">
      <c r="E22" s="264"/>
      <c r="F22" s="265"/>
      <c r="G22" s="263"/>
      <c r="H22" s="275" t="s">
        <v>37</v>
      </c>
      <c r="I22" s="486"/>
      <c r="J22" s="486"/>
      <c r="K22" s="486"/>
      <c r="L22" s="486"/>
      <c r="M22" s="263"/>
      <c r="N22" s="263"/>
      <c r="O22" s="275" t="s">
        <v>37</v>
      </c>
      <c r="P22" s="486"/>
      <c r="Q22" s="486"/>
      <c r="R22" s="486"/>
      <c r="S22" s="486"/>
      <c r="T22" s="486"/>
      <c r="U22" s="486"/>
      <c r="V22" s="263"/>
      <c r="W22" s="267"/>
      <c r="X22" s="263"/>
    </row>
    <row r="23" spans="1:53" ht="39.950000000000003" customHeight="1" thickBot="1">
      <c r="E23" s="276"/>
      <c r="F23" s="277"/>
      <c r="G23" s="278"/>
      <c r="H23" s="278"/>
      <c r="I23" s="278"/>
      <c r="J23" s="278"/>
      <c r="K23" s="278"/>
      <c r="L23" s="278"/>
      <c r="M23" s="278"/>
      <c r="N23" s="278"/>
      <c r="O23" s="278"/>
      <c r="P23" s="278"/>
      <c r="Q23" s="278"/>
      <c r="R23" s="278"/>
      <c r="S23" s="278"/>
      <c r="T23" s="279"/>
      <c r="U23" s="279"/>
      <c r="V23" s="279"/>
      <c r="W23" s="280"/>
      <c r="X23" s="263"/>
    </row>
    <row r="24" spans="1:53" ht="62.25" thickBot="1">
      <c r="A24" s="252" t="s">
        <v>62</v>
      </c>
    </row>
    <row r="25" spans="1:53" ht="39.950000000000003" customHeight="1">
      <c r="A25" s="252" t="str">
        <f>CONCATENATE(F32,F34,F36)</f>
        <v>DB1-3</v>
      </c>
      <c r="E25" s="259" t="s">
        <v>70</v>
      </c>
      <c r="F25" s="260">
        <f>VLOOKUP(A25,'zoznam zapasov'!$A$6:$K$77,3,0)</f>
        <v>2</v>
      </c>
      <c r="G25" s="261"/>
      <c r="H25" s="322" t="s">
        <v>501</v>
      </c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 t="s">
        <v>30</v>
      </c>
      <c r="W25" s="262"/>
      <c r="X25" s="263"/>
      <c r="Z25" s="258" t="str">
        <f>CONCATENATE(V27,":",V30)</f>
        <v>3:0</v>
      </c>
      <c r="AC25" s="255" t="str">
        <f>CONCATENATE("Tbl.: ",F27,"   H: ",F30,"   D: ",F29)</f>
        <v>Tbl.: 2   H: 9.30   D: So</v>
      </c>
      <c r="AE25" s="253" t="s">
        <v>11</v>
      </c>
      <c r="AV25" s="256" t="str">
        <f>CONCATENATE(AN27,",",AO27,",",AP27,",",AQ27,",",AR27,",",AS27,",",AT27)</f>
        <v>8,5,4,,,,</v>
      </c>
    </row>
    <row r="26" spans="1:53" ht="39.950000000000003" customHeight="1">
      <c r="E26" s="264"/>
      <c r="F26" s="265"/>
      <c r="G26" s="321" t="s">
        <v>500</v>
      </c>
      <c r="H26" s="323" t="s">
        <v>502</v>
      </c>
      <c r="I26" s="263"/>
      <c r="J26" s="263"/>
      <c r="K26" s="263"/>
      <c r="L26" s="263"/>
      <c r="M26" s="263"/>
      <c r="N26" s="266">
        <v>1</v>
      </c>
      <c r="O26" s="266">
        <v>2</v>
      </c>
      <c r="P26" s="266">
        <v>3</v>
      </c>
      <c r="Q26" s="266">
        <v>4</v>
      </c>
      <c r="R26" s="266">
        <v>5</v>
      </c>
      <c r="S26" s="266">
        <v>6</v>
      </c>
      <c r="T26" s="266">
        <v>7</v>
      </c>
      <c r="U26" s="263"/>
      <c r="V26" s="266" t="s">
        <v>31</v>
      </c>
      <c r="W26" s="267"/>
      <c r="X26" s="263"/>
      <c r="AE26" s="253" t="s">
        <v>68</v>
      </c>
      <c r="AV26" s="256" t="str">
        <f>CONCATENATE(AN28,",",AO28,",",AP28,",",AQ28,",",AR28,",",AS28,",",AT28)</f>
        <v>-8,-5,-4,,,,</v>
      </c>
    </row>
    <row r="27" spans="1:53" ht="39.950000000000003" customHeight="1">
      <c r="A27" s="252" t="str">
        <f>CONCATENATE(F32,VLOOKUP(F34,$AZ$7:$BA$14,2,0),LEFT(F36,1))</f>
        <v>D21</v>
      </c>
      <c r="E27" s="264" t="s">
        <v>29</v>
      </c>
      <c r="F27" s="265">
        <f>VLOOKUP(A25,'zoznam zapasov'!$A$6:$K$77,11,0)</f>
        <v>2</v>
      </c>
      <c r="G27" s="508"/>
      <c r="H27" s="495"/>
      <c r="I27" s="487" t="str">
        <f>IF(ISERROR(VLOOKUP(A27,vylosovanie!$A$8:$J$68,6,0))=TRUE,"",VLOOKUP(A27,vylosovanie!$A$8:$J$68,6,0))</f>
        <v>PEKOVÁ Zuzana</v>
      </c>
      <c r="J27" s="487"/>
      <c r="K27" s="487"/>
      <c r="L27" s="487"/>
      <c r="M27" s="263"/>
      <c r="N27" s="489">
        <v>11</v>
      </c>
      <c r="O27" s="489">
        <v>11</v>
      </c>
      <c r="P27" s="489">
        <v>11</v>
      </c>
      <c r="Q27" s="489"/>
      <c r="R27" s="489"/>
      <c r="S27" s="489"/>
      <c r="T27" s="489"/>
      <c r="U27" s="263"/>
      <c r="V27" s="493">
        <f>IF(SUM(AF27:AL28)=0,"",SUM(AF27:AL27))</f>
        <v>3</v>
      </c>
      <c r="W27" s="267"/>
      <c r="X27" s="263"/>
      <c r="AE27" s="253" t="str">
        <f>VLOOKUP(I27,vylosovanie!$F$8:$L$190,7,0)</f>
        <v>D21</v>
      </c>
      <c r="AF27" s="268">
        <f>IF(N27&gt;N30,1,0)</f>
        <v>1</v>
      </c>
      <c r="AG27" s="268">
        <f t="shared" ref="AG27" si="4">IF(O27&gt;O30,1,0)</f>
        <v>1</v>
      </c>
      <c r="AH27" s="268">
        <f t="shared" ref="AH27" si="5">IF(P27&gt;P30,1,0)</f>
        <v>1</v>
      </c>
      <c r="AI27" s="268">
        <f t="shared" ref="AI27" si="6">IF(Q27&gt;Q30,1,0)</f>
        <v>0</v>
      </c>
      <c r="AJ27" s="268">
        <f t="shared" ref="AJ27" si="7">IF(R27&gt;R30,1,0)</f>
        <v>0</v>
      </c>
      <c r="AK27" s="268">
        <f t="shared" ref="AK27" si="8">IF(S27&gt;S30,1,0)</f>
        <v>0</v>
      </c>
      <c r="AL27" s="268">
        <f t="shared" ref="AL27" si="9">IF(T27&gt;T30,1,0)</f>
        <v>0</v>
      </c>
      <c r="AN27" s="268">
        <f t="shared" ref="AN27:AT27" si="10">IF(ISBLANK(N27)=TRUE,"",IF(AF27=1,N30,-N27))</f>
        <v>8</v>
      </c>
      <c r="AO27" s="268">
        <f t="shared" si="10"/>
        <v>5</v>
      </c>
      <c r="AP27" s="268">
        <f t="shared" si="10"/>
        <v>4</v>
      </c>
      <c r="AQ27" s="268" t="str">
        <f t="shared" si="10"/>
        <v/>
      </c>
      <c r="AR27" s="268" t="str">
        <f t="shared" si="10"/>
        <v/>
      </c>
      <c r="AS27" s="268" t="str">
        <f t="shared" si="10"/>
        <v/>
      </c>
      <c r="AT27" s="268" t="str">
        <f t="shared" si="10"/>
        <v/>
      </c>
      <c r="AZ27" s="269" t="s">
        <v>12</v>
      </c>
      <c r="BA27" s="269">
        <v>1</v>
      </c>
    </row>
    <row r="28" spans="1:53" ht="39.950000000000003" customHeight="1">
      <c r="E28" s="264"/>
      <c r="F28" s="265"/>
      <c r="G28" s="509"/>
      <c r="H28" s="495"/>
      <c r="I28" s="487"/>
      <c r="J28" s="487"/>
      <c r="K28" s="487"/>
      <c r="L28" s="487"/>
      <c r="M28" s="263"/>
      <c r="N28" s="490"/>
      <c r="O28" s="490"/>
      <c r="P28" s="490"/>
      <c r="Q28" s="490"/>
      <c r="R28" s="490"/>
      <c r="S28" s="490"/>
      <c r="T28" s="490"/>
      <c r="U28" s="263"/>
      <c r="V28" s="493"/>
      <c r="W28" s="267"/>
      <c r="X28" s="263"/>
      <c r="AE28" s="253" t="str">
        <f>VLOOKUP(I30,vylosovanie!$F$8:$L$190,7,0)</f>
        <v>D23</v>
      </c>
      <c r="AF28" s="268">
        <f>IF(N30&gt;N27,1,0)</f>
        <v>0</v>
      </c>
      <c r="AG28" s="268">
        <f t="shared" ref="AG28" si="11">IF(O30&gt;O27,1,0)</f>
        <v>0</v>
      </c>
      <c r="AH28" s="268">
        <f t="shared" ref="AH28" si="12">IF(P30&gt;P27,1,0)</f>
        <v>0</v>
      </c>
      <c r="AI28" s="268">
        <f t="shared" ref="AI28" si="13">IF(Q30&gt;Q27,1,0)</f>
        <v>0</v>
      </c>
      <c r="AJ28" s="268">
        <f t="shared" ref="AJ28" si="14">IF(R30&gt;R27,1,0)</f>
        <v>0</v>
      </c>
      <c r="AK28" s="268">
        <f t="shared" ref="AK28" si="15">IF(S30&gt;S27,1,0)</f>
        <v>0</v>
      </c>
      <c r="AL28" s="268">
        <f t="shared" ref="AL28" si="16">IF(T30&gt;T27,1,0)</f>
        <v>0</v>
      </c>
      <c r="AN28" s="268">
        <f t="shared" ref="AN28:AT28" si="17">IF(ISBLANK(N30)=TRUE,"",IF(AF28=1,N27,-N30))</f>
        <v>-8</v>
      </c>
      <c r="AO28" s="268">
        <f t="shared" si="17"/>
        <v>-5</v>
      </c>
      <c r="AP28" s="268">
        <f t="shared" si="17"/>
        <v>-4</v>
      </c>
      <c r="AQ28" s="268" t="str">
        <f t="shared" si="17"/>
        <v/>
      </c>
      <c r="AR28" s="268" t="str">
        <f t="shared" si="17"/>
        <v/>
      </c>
      <c r="AS28" s="268" t="str">
        <f t="shared" si="17"/>
        <v/>
      </c>
      <c r="AT28" s="268" t="str">
        <f t="shared" si="17"/>
        <v/>
      </c>
      <c r="AZ28" s="269" t="s">
        <v>18</v>
      </c>
      <c r="BA28" s="269">
        <v>2</v>
      </c>
    </row>
    <row r="29" spans="1:53" ht="39.950000000000003" customHeight="1">
      <c r="E29" s="264" t="s">
        <v>35</v>
      </c>
      <c r="F29" s="265" t="str">
        <f>VLOOKUP(A25,'zoznam zapasov'!$A$6:$K$77,9,0)</f>
        <v>So</v>
      </c>
      <c r="G29" s="263"/>
      <c r="H29" s="263"/>
      <c r="I29" s="263"/>
      <c r="J29" s="263"/>
      <c r="K29" s="263"/>
      <c r="L29" s="263"/>
      <c r="M29" s="263"/>
      <c r="N29" s="263"/>
      <c r="O29" s="263"/>
      <c r="P29" s="263"/>
      <c r="Q29" s="263"/>
      <c r="R29" s="263"/>
      <c r="S29" s="263"/>
      <c r="T29" s="263"/>
      <c r="U29" s="263"/>
      <c r="V29" s="263"/>
      <c r="W29" s="267"/>
      <c r="X29" s="263"/>
      <c r="AZ29" s="269" t="s">
        <v>38</v>
      </c>
      <c r="BA29" s="269">
        <v>3</v>
      </c>
    </row>
    <row r="30" spans="1:53" ht="39.950000000000003" customHeight="1">
      <c r="A30" s="252" t="str">
        <f>CONCATENATE(F32,VLOOKUP(F34,$AZ$7:$BA$14,2,0),RIGHT(F36,1))</f>
        <v>D23</v>
      </c>
      <c r="E30" s="264" t="s">
        <v>28</v>
      </c>
      <c r="F30" s="270" t="str">
        <f>VLOOKUP(A25,'zoznam zapasov'!$A$6:$K$77,10,0)</f>
        <v>9.30</v>
      </c>
      <c r="G30" s="508"/>
      <c r="H30" s="486"/>
      <c r="I30" s="487" t="str">
        <f>IF(ISERROR(VLOOKUP(A30,vylosovanie!$A$8:$J$68,6,0))=TRUE,"",VLOOKUP(A30,vylosovanie!$A$8:$J$68,6,0))</f>
        <v>GALČÍKOVÁ Sára</v>
      </c>
      <c r="J30" s="487"/>
      <c r="K30" s="487"/>
      <c r="L30" s="487"/>
      <c r="M30" s="263"/>
      <c r="N30" s="489">
        <v>8</v>
      </c>
      <c r="O30" s="489">
        <v>5</v>
      </c>
      <c r="P30" s="489">
        <v>4</v>
      </c>
      <c r="Q30" s="489"/>
      <c r="R30" s="489"/>
      <c r="S30" s="489"/>
      <c r="T30" s="489"/>
      <c r="U30" s="263"/>
      <c r="V30" s="493">
        <f>IF(SUM(AF27:AL28)=0,"",SUM(AF28:AL28))</f>
        <v>0</v>
      </c>
      <c r="W30" s="267"/>
      <c r="X30" s="263"/>
      <c r="AZ30" s="269" t="s">
        <v>39</v>
      </c>
      <c r="BA30" s="269">
        <v>4</v>
      </c>
    </row>
    <row r="31" spans="1:53" ht="39.950000000000003" customHeight="1">
      <c r="E31" s="271"/>
      <c r="F31" s="272"/>
      <c r="G31" s="509"/>
      <c r="H31" s="486"/>
      <c r="I31" s="487"/>
      <c r="J31" s="487"/>
      <c r="K31" s="487"/>
      <c r="L31" s="487"/>
      <c r="M31" s="263"/>
      <c r="N31" s="490"/>
      <c r="O31" s="490"/>
      <c r="P31" s="490"/>
      <c r="Q31" s="490"/>
      <c r="R31" s="490"/>
      <c r="S31" s="490"/>
      <c r="T31" s="490"/>
      <c r="U31" s="263"/>
      <c r="V31" s="493"/>
      <c r="W31" s="267"/>
      <c r="X31" s="263"/>
      <c r="AZ31" s="269" t="s">
        <v>40</v>
      </c>
      <c r="BA31" s="269">
        <v>5</v>
      </c>
    </row>
    <row r="32" spans="1:53" ht="39.950000000000003" customHeight="1">
      <c r="E32" s="264" t="s">
        <v>66</v>
      </c>
      <c r="F32" s="265" t="s">
        <v>39</v>
      </c>
      <c r="G32" s="263"/>
      <c r="H32" s="263"/>
      <c r="I32" s="263"/>
      <c r="J32" s="263"/>
      <c r="K32" s="263"/>
      <c r="L32" s="263"/>
      <c r="M32" s="263"/>
      <c r="N32" s="263"/>
      <c r="O32" s="263"/>
      <c r="P32" s="263"/>
      <c r="Q32" s="263"/>
      <c r="R32" s="263"/>
      <c r="S32" s="263"/>
      <c r="T32" s="263"/>
      <c r="U32" s="263"/>
      <c r="V32" s="263"/>
      <c r="W32" s="267"/>
      <c r="X32" s="263"/>
      <c r="AZ32" s="269" t="s">
        <v>41</v>
      </c>
      <c r="BA32" s="269">
        <v>6</v>
      </c>
    </row>
    <row r="33" spans="1:53" ht="39.950000000000003" customHeight="1">
      <c r="E33" s="271"/>
      <c r="F33" s="272"/>
      <c r="G33" s="263"/>
      <c r="H33" s="263"/>
      <c r="I33" s="263" t="s">
        <v>32</v>
      </c>
      <c r="J33" s="263"/>
      <c r="K33" s="263"/>
      <c r="L33" s="263"/>
      <c r="M33" s="263"/>
      <c r="N33" s="273"/>
      <c r="O33" s="266"/>
      <c r="P33" s="266" t="s">
        <v>34</v>
      </c>
      <c r="Q33" s="266"/>
      <c r="R33" s="266"/>
      <c r="S33" s="266"/>
      <c r="T33" s="266"/>
      <c r="U33" s="263"/>
      <c r="V33" s="263"/>
      <c r="W33" s="267"/>
      <c r="X33" s="263"/>
      <c r="AZ33" s="269" t="s">
        <v>42</v>
      </c>
      <c r="BA33" s="269">
        <v>7</v>
      </c>
    </row>
    <row r="34" spans="1:53" ht="39.950000000000003" customHeight="1">
      <c r="E34" s="264" t="s">
        <v>26</v>
      </c>
      <c r="F34" s="265" t="s">
        <v>18</v>
      </c>
      <c r="G34" s="263"/>
      <c r="H34" s="263"/>
      <c r="I34" s="486"/>
      <c r="J34" s="486"/>
      <c r="K34" s="486"/>
      <c r="L34" s="486"/>
      <c r="M34" s="263"/>
      <c r="N34" s="486" t="str">
        <f>IF(V27&gt;V30,I27,IF(V30&gt;V27,I30,""))</f>
        <v>PEKOVÁ Zuzana</v>
      </c>
      <c r="O34" s="486"/>
      <c r="P34" s="486"/>
      <c r="Q34" s="486"/>
      <c r="R34" s="486"/>
      <c r="S34" s="486"/>
      <c r="T34" s="263"/>
      <c r="U34" s="263"/>
      <c r="V34" s="263"/>
      <c r="W34" s="267"/>
      <c r="X34" s="263"/>
      <c r="AZ34" s="269" t="s">
        <v>43</v>
      </c>
      <c r="BA34" s="269">
        <v>8</v>
      </c>
    </row>
    <row r="35" spans="1:53" ht="39.950000000000003" customHeight="1">
      <c r="E35" s="271"/>
      <c r="F35" s="272"/>
      <c r="G35" s="263"/>
      <c r="H35" s="263"/>
      <c r="I35" s="486"/>
      <c r="J35" s="486"/>
      <c r="K35" s="486"/>
      <c r="L35" s="486"/>
      <c r="M35" s="263"/>
      <c r="N35" s="486"/>
      <c r="O35" s="486"/>
      <c r="P35" s="486"/>
      <c r="Q35" s="486"/>
      <c r="R35" s="486"/>
      <c r="S35" s="486"/>
      <c r="T35" s="263"/>
      <c r="U35" s="263"/>
      <c r="V35" s="263"/>
      <c r="W35" s="267"/>
      <c r="X35" s="263"/>
    </row>
    <row r="36" spans="1:53" ht="39.950000000000003" customHeight="1">
      <c r="E36" s="264" t="s">
        <v>27</v>
      </c>
      <c r="F36" s="274" t="s">
        <v>20</v>
      </c>
      <c r="G36" s="263"/>
      <c r="H36" s="263"/>
      <c r="I36" s="263"/>
      <c r="J36" s="263"/>
      <c r="K36" s="263"/>
      <c r="L36" s="263"/>
      <c r="M36" s="263"/>
      <c r="N36" s="263"/>
      <c r="O36" s="263"/>
      <c r="P36" s="263"/>
      <c r="Q36" s="263"/>
      <c r="R36" s="263"/>
      <c r="S36" s="263"/>
      <c r="T36" s="263"/>
      <c r="U36" s="263"/>
      <c r="V36" s="263"/>
      <c r="W36" s="267"/>
      <c r="X36" s="263"/>
    </row>
    <row r="37" spans="1:53" ht="39.950000000000003" customHeight="1">
      <c r="E37" s="271"/>
      <c r="F37" s="272"/>
      <c r="G37" s="263"/>
      <c r="H37" s="263" t="s">
        <v>33</v>
      </c>
      <c r="I37" s="263"/>
      <c r="J37" s="263"/>
      <c r="K37" s="263"/>
      <c r="L37" s="263"/>
      <c r="M37" s="263"/>
      <c r="N37" s="263"/>
      <c r="O37" s="263"/>
      <c r="P37" s="263"/>
      <c r="Q37" s="263"/>
      <c r="R37" s="263"/>
      <c r="S37" s="263"/>
      <c r="T37" s="263"/>
      <c r="U37" s="263"/>
      <c r="V37" s="263"/>
      <c r="W37" s="267"/>
      <c r="X37" s="263"/>
    </row>
    <row r="38" spans="1:53" ht="39.950000000000003" customHeight="1">
      <c r="E38" s="271"/>
      <c r="F38" s="272"/>
      <c r="G38" s="263"/>
      <c r="H38" s="263"/>
      <c r="I38" s="263"/>
      <c r="J38" s="263"/>
      <c r="K38" s="263"/>
      <c r="L38" s="263"/>
      <c r="M38" s="263"/>
      <c r="N38" s="263"/>
      <c r="O38" s="263"/>
      <c r="P38" s="263"/>
      <c r="Q38" s="263"/>
      <c r="R38" s="263"/>
      <c r="S38" s="263"/>
      <c r="T38" s="263"/>
      <c r="U38" s="263"/>
      <c r="V38" s="263"/>
      <c r="W38" s="267"/>
      <c r="X38" s="263"/>
    </row>
    <row r="39" spans="1:53" ht="39.950000000000003" customHeight="1">
      <c r="E39" s="271"/>
      <c r="F39" s="272"/>
      <c r="G39" s="263"/>
      <c r="H39" s="263"/>
      <c r="I39" s="496" t="str">
        <f>I27</f>
        <v>PEKOVÁ Zuzana</v>
      </c>
      <c r="J39" s="496"/>
      <c r="K39" s="496"/>
      <c r="L39" s="496"/>
      <c r="M39" s="263"/>
      <c r="N39" s="263"/>
      <c r="O39" s="263"/>
      <c r="P39" s="496" t="str">
        <f>I30</f>
        <v>GALČÍKOVÁ Sára</v>
      </c>
      <c r="Q39" s="496"/>
      <c r="R39" s="496"/>
      <c r="S39" s="496"/>
      <c r="T39" s="496"/>
      <c r="U39" s="496"/>
      <c r="V39" s="263"/>
      <c r="W39" s="267"/>
      <c r="X39" s="263"/>
    </row>
    <row r="40" spans="1:53" ht="69.95" customHeight="1">
      <c r="E40" s="264"/>
      <c r="F40" s="265"/>
      <c r="G40" s="263"/>
      <c r="H40" s="275" t="s">
        <v>36</v>
      </c>
      <c r="I40" s="483"/>
      <c r="J40" s="494"/>
      <c r="K40" s="494"/>
      <c r="L40" s="495"/>
      <c r="M40" s="263"/>
      <c r="N40" s="263"/>
      <c r="O40" s="275" t="s">
        <v>36</v>
      </c>
      <c r="P40" s="486"/>
      <c r="Q40" s="486"/>
      <c r="R40" s="486"/>
      <c r="S40" s="486"/>
      <c r="T40" s="486"/>
      <c r="U40" s="486"/>
      <c r="V40" s="263"/>
      <c r="W40" s="267"/>
      <c r="X40" s="263"/>
    </row>
    <row r="41" spans="1:53" ht="69.95" customHeight="1">
      <c r="E41" s="264"/>
      <c r="F41" s="265"/>
      <c r="G41" s="263"/>
      <c r="H41" s="275" t="s">
        <v>37</v>
      </c>
      <c r="I41" s="486"/>
      <c r="J41" s="486"/>
      <c r="K41" s="486"/>
      <c r="L41" s="486"/>
      <c r="M41" s="263"/>
      <c r="N41" s="263"/>
      <c r="O41" s="275" t="s">
        <v>37</v>
      </c>
      <c r="P41" s="486"/>
      <c r="Q41" s="486"/>
      <c r="R41" s="486"/>
      <c r="S41" s="486"/>
      <c r="T41" s="486"/>
      <c r="U41" s="486"/>
      <c r="V41" s="263"/>
      <c r="W41" s="267"/>
      <c r="X41" s="263"/>
    </row>
    <row r="42" spans="1:53" ht="69.95" customHeight="1">
      <c r="E42" s="264"/>
      <c r="F42" s="265"/>
      <c r="G42" s="263"/>
      <c r="H42" s="275" t="s">
        <v>37</v>
      </c>
      <c r="I42" s="486"/>
      <c r="J42" s="486"/>
      <c r="K42" s="486"/>
      <c r="L42" s="486"/>
      <c r="M42" s="263"/>
      <c r="N42" s="263"/>
      <c r="O42" s="275" t="s">
        <v>37</v>
      </c>
      <c r="P42" s="486"/>
      <c r="Q42" s="486"/>
      <c r="R42" s="486"/>
      <c r="S42" s="486"/>
      <c r="T42" s="486"/>
      <c r="U42" s="486"/>
      <c r="V42" s="263"/>
      <c r="W42" s="267"/>
      <c r="X42" s="263"/>
    </row>
    <row r="43" spans="1:53" ht="39.950000000000003" customHeight="1" thickBot="1">
      <c r="E43" s="276"/>
      <c r="F43" s="277"/>
      <c r="G43" s="278"/>
      <c r="H43" s="278"/>
      <c r="I43" s="278"/>
      <c r="J43" s="278"/>
      <c r="K43" s="278"/>
      <c r="L43" s="278"/>
      <c r="M43" s="278"/>
      <c r="N43" s="278"/>
      <c r="O43" s="278"/>
      <c r="P43" s="278"/>
      <c r="Q43" s="278"/>
      <c r="R43" s="278"/>
      <c r="S43" s="278"/>
      <c r="T43" s="279"/>
      <c r="U43" s="279"/>
      <c r="V43" s="279"/>
      <c r="W43" s="280"/>
      <c r="X43" s="263"/>
    </row>
    <row r="44" spans="1:53" ht="62.25" thickBot="1">
      <c r="A44" s="252" t="s">
        <v>62</v>
      </c>
    </row>
    <row r="45" spans="1:53" ht="39.950000000000003" customHeight="1">
      <c r="A45" s="252" t="str">
        <f>CONCATENATE(F52,F54,F56)</f>
        <v>DC1-3</v>
      </c>
      <c r="E45" s="259" t="s">
        <v>70</v>
      </c>
      <c r="F45" s="260">
        <f>VLOOKUP(A45,'zoznam zapasov'!$A$6:$K$77,3,0)</f>
        <v>3</v>
      </c>
      <c r="G45" s="261"/>
      <c r="H45" s="322" t="s">
        <v>501</v>
      </c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 t="s">
        <v>30</v>
      </c>
      <c r="W45" s="262"/>
      <c r="X45" s="263"/>
      <c r="Z45" s="258" t="str">
        <f>CONCATENATE(V47,":",V50)</f>
        <v>3:0</v>
      </c>
      <c r="AE45" s="253" t="s">
        <v>11</v>
      </c>
      <c r="AV45" s="256" t="str">
        <f>CONCATENATE(AN47,",",AO47,",",AP47,",",AQ47,",",AR47,",",AS47,",",AT47)</f>
        <v>2,3,3,,,,</v>
      </c>
    </row>
    <row r="46" spans="1:53" ht="39.950000000000003" customHeight="1">
      <c r="E46" s="264"/>
      <c r="F46" s="265"/>
      <c r="G46" s="321" t="s">
        <v>500</v>
      </c>
      <c r="H46" s="323" t="s">
        <v>502</v>
      </c>
      <c r="I46" s="263"/>
      <c r="J46" s="263"/>
      <c r="K46" s="263"/>
      <c r="L46" s="263"/>
      <c r="M46" s="263"/>
      <c r="N46" s="266">
        <v>1</v>
      </c>
      <c r="O46" s="266">
        <v>2</v>
      </c>
      <c r="P46" s="266">
        <v>3</v>
      </c>
      <c r="Q46" s="266">
        <v>4</v>
      </c>
      <c r="R46" s="266">
        <v>5</v>
      </c>
      <c r="S46" s="266">
        <v>6</v>
      </c>
      <c r="T46" s="266">
        <v>7</v>
      </c>
      <c r="U46" s="263"/>
      <c r="V46" s="266" t="s">
        <v>31</v>
      </c>
      <c r="W46" s="267"/>
      <c r="X46" s="263"/>
      <c r="AE46" s="253" t="s">
        <v>68</v>
      </c>
      <c r="AV46" s="256" t="str">
        <f>CONCATENATE(AN48,",",AO48,",",AP48,",",AQ48,",",AR48,",",AS48,",",AT48)</f>
        <v>-2,-3,-3,,,,</v>
      </c>
    </row>
    <row r="47" spans="1:53" ht="39.950000000000003" customHeight="1">
      <c r="A47" s="252" t="str">
        <f>CONCATENATE(F52,VLOOKUP(F54,$AZ$7:$BA$14,2,0),LEFT(F56,1))</f>
        <v>D31</v>
      </c>
      <c r="E47" s="264" t="s">
        <v>29</v>
      </c>
      <c r="F47" s="265">
        <f>VLOOKUP(A45,'zoznam zapasov'!$A$6:$K$77,11,0)</f>
        <v>3</v>
      </c>
      <c r="G47" s="508"/>
      <c r="H47" s="495"/>
      <c r="I47" s="487" t="str">
        <f>IF(ISERROR(VLOOKUP(A47,vylosovanie!$A$8:$J$68,6,0))=TRUE,"",VLOOKUP(A47,vylosovanie!$A$8:$J$68,6,0))</f>
        <v>ŠINKAROVÁ Dáša</v>
      </c>
      <c r="J47" s="487"/>
      <c r="K47" s="487"/>
      <c r="L47" s="487"/>
      <c r="M47" s="263"/>
      <c r="N47" s="489">
        <v>11</v>
      </c>
      <c r="O47" s="489">
        <v>11</v>
      </c>
      <c r="P47" s="489">
        <v>11</v>
      </c>
      <c r="Q47" s="489"/>
      <c r="R47" s="489"/>
      <c r="S47" s="489"/>
      <c r="T47" s="489"/>
      <c r="U47" s="263"/>
      <c r="V47" s="493">
        <f>IF(SUM(AF47:AL48)=0,"",SUM(AF47:AL47))</f>
        <v>3</v>
      </c>
      <c r="W47" s="267"/>
      <c r="X47" s="263"/>
      <c r="AE47" s="253" t="str">
        <f>VLOOKUP(I47,vylosovanie!$F$8:$L$190,7,0)</f>
        <v>D31</v>
      </c>
      <c r="AF47" s="268">
        <f>IF(N47&gt;N50,1,0)</f>
        <v>1</v>
      </c>
      <c r="AG47" s="268">
        <f t="shared" ref="AG47" si="18">IF(O47&gt;O50,1,0)</f>
        <v>1</v>
      </c>
      <c r="AH47" s="268">
        <f t="shared" ref="AH47" si="19">IF(P47&gt;P50,1,0)</f>
        <v>1</v>
      </c>
      <c r="AI47" s="268">
        <f t="shared" ref="AI47" si="20">IF(Q47&gt;Q50,1,0)</f>
        <v>0</v>
      </c>
      <c r="AJ47" s="268">
        <f t="shared" ref="AJ47" si="21">IF(R47&gt;R50,1,0)</f>
        <v>0</v>
      </c>
      <c r="AK47" s="268">
        <f t="shared" ref="AK47" si="22">IF(S47&gt;S50,1,0)</f>
        <v>0</v>
      </c>
      <c r="AL47" s="268">
        <f t="shared" ref="AL47" si="23">IF(T47&gt;T50,1,0)</f>
        <v>0</v>
      </c>
      <c r="AN47" s="268">
        <f t="shared" ref="AN47:AT47" si="24">IF(ISBLANK(N47)=TRUE,"",IF(AF47=1,N50,-N47))</f>
        <v>2</v>
      </c>
      <c r="AO47" s="268">
        <f t="shared" si="24"/>
        <v>3</v>
      </c>
      <c r="AP47" s="268">
        <f t="shared" si="24"/>
        <v>3</v>
      </c>
      <c r="AQ47" s="268" t="str">
        <f t="shared" si="24"/>
        <v/>
      </c>
      <c r="AR47" s="268" t="str">
        <f t="shared" si="24"/>
        <v/>
      </c>
      <c r="AS47" s="268" t="str">
        <f t="shared" si="24"/>
        <v/>
      </c>
      <c r="AT47" s="268" t="str">
        <f t="shared" si="24"/>
        <v/>
      </c>
      <c r="AZ47" s="269" t="s">
        <v>12</v>
      </c>
      <c r="BA47" s="269">
        <v>1</v>
      </c>
    </row>
    <row r="48" spans="1:53" ht="39.950000000000003" customHeight="1">
      <c r="E48" s="264"/>
      <c r="F48" s="265"/>
      <c r="G48" s="509"/>
      <c r="H48" s="495"/>
      <c r="I48" s="487"/>
      <c r="J48" s="487"/>
      <c r="K48" s="487"/>
      <c r="L48" s="487"/>
      <c r="M48" s="263"/>
      <c r="N48" s="490"/>
      <c r="O48" s="490"/>
      <c r="P48" s="490"/>
      <c r="Q48" s="490"/>
      <c r="R48" s="490"/>
      <c r="S48" s="490"/>
      <c r="T48" s="490"/>
      <c r="U48" s="263"/>
      <c r="V48" s="493"/>
      <c r="W48" s="267"/>
      <c r="X48" s="263"/>
      <c r="AE48" s="253" t="str">
        <f>VLOOKUP(I50,vylosovanie!$F$8:$L$190,7,0)</f>
        <v>D33</v>
      </c>
      <c r="AF48" s="268">
        <f>IF(N50&gt;N47,1,0)</f>
        <v>0</v>
      </c>
      <c r="AG48" s="268">
        <f t="shared" ref="AG48" si="25">IF(O50&gt;O47,1,0)</f>
        <v>0</v>
      </c>
      <c r="AH48" s="268">
        <f t="shared" ref="AH48" si="26">IF(P50&gt;P47,1,0)</f>
        <v>0</v>
      </c>
      <c r="AI48" s="268">
        <f t="shared" ref="AI48" si="27">IF(Q50&gt;Q47,1,0)</f>
        <v>0</v>
      </c>
      <c r="AJ48" s="268">
        <f t="shared" ref="AJ48" si="28">IF(R50&gt;R47,1,0)</f>
        <v>0</v>
      </c>
      <c r="AK48" s="268">
        <f t="shared" ref="AK48" si="29">IF(S50&gt;S47,1,0)</f>
        <v>0</v>
      </c>
      <c r="AL48" s="268">
        <f t="shared" ref="AL48" si="30">IF(T50&gt;T47,1,0)</f>
        <v>0</v>
      </c>
      <c r="AN48" s="268">
        <f t="shared" ref="AN48:AT48" si="31">IF(ISBLANK(N50)=TRUE,"",IF(AF48=1,N47,-N50))</f>
        <v>-2</v>
      </c>
      <c r="AO48" s="268">
        <f t="shared" si="31"/>
        <v>-3</v>
      </c>
      <c r="AP48" s="268">
        <f t="shared" si="31"/>
        <v>-3</v>
      </c>
      <c r="AQ48" s="268" t="str">
        <f t="shared" si="31"/>
        <v/>
      </c>
      <c r="AR48" s="268" t="str">
        <f t="shared" si="31"/>
        <v/>
      </c>
      <c r="AS48" s="268" t="str">
        <f t="shared" si="31"/>
        <v/>
      </c>
      <c r="AT48" s="268" t="str">
        <f t="shared" si="31"/>
        <v/>
      </c>
      <c r="AZ48" s="269" t="s">
        <v>18</v>
      </c>
      <c r="BA48" s="269">
        <v>2</v>
      </c>
    </row>
    <row r="49" spans="1:53" ht="39.950000000000003" customHeight="1">
      <c r="E49" s="264" t="s">
        <v>35</v>
      </c>
      <c r="F49" s="265" t="str">
        <f>VLOOKUP(A45,'zoznam zapasov'!$A$6:$K$77,9,0)</f>
        <v>So</v>
      </c>
      <c r="G49" s="263"/>
      <c r="H49" s="263"/>
      <c r="I49" s="263"/>
      <c r="J49" s="263"/>
      <c r="K49" s="263"/>
      <c r="L49" s="263"/>
      <c r="M49" s="263"/>
      <c r="N49" s="263"/>
      <c r="O49" s="263"/>
      <c r="P49" s="263"/>
      <c r="Q49" s="263"/>
      <c r="R49" s="263"/>
      <c r="S49" s="263"/>
      <c r="T49" s="263"/>
      <c r="U49" s="263"/>
      <c r="V49" s="263"/>
      <c r="W49" s="267"/>
      <c r="X49" s="263"/>
      <c r="AZ49" s="269" t="s">
        <v>38</v>
      </c>
      <c r="BA49" s="269">
        <v>3</v>
      </c>
    </row>
    <row r="50" spans="1:53" ht="39.950000000000003" customHeight="1">
      <c r="A50" s="252" t="str">
        <f>CONCATENATE(F52,VLOOKUP(F54,$AZ$7:$BA$14,2,0),RIGHT(F56,1))</f>
        <v>D33</v>
      </c>
      <c r="E50" s="264" t="s">
        <v>28</v>
      </c>
      <c r="F50" s="270" t="str">
        <f>VLOOKUP(A45,'zoznam zapasov'!$A$6:$K$77,10,0)</f>
        <v>9.30</v>
      </c>
      <c r="G50" s="508"/>
      <c r="H50" s="486"/>
      <c r="I50" s="487" t="str">
        <f>IF(ISERROR(VLOOKUP(A50,vylosovanie!$A$8:$J$68,6,0))=TRUE,"",VLOOKUP(A50,vylosovanie!$A$8:$J$68,6,0))</f>
        <v>SISKOVÁ Zuzana</v>
      </c>
      <c r="J50" s="487"/>
      <c r="K50" s="487"/>
      <c r="L50" s="487"/>
      <c r="M50" s="263"/>
      <c r="N50" s="489">
        <v>2</v>
      </c>
      <c r="O50" s="489">
        <v>3</v>
      </c>
      <c r="P50" s="489">
        <v>3</v>
      </c>
      <c r="Q50" s="489"/>
      <c r="R50" s="489"/>
      <c r="S50" s="489"/>
      <c r="T50" s="489"/>
      <c r="U50" s="263"/>
      <c r="V50" s="493">
        <f>IF(SUM(AF47:AL48)=0,"",SUM(AF48:AL48))</f>
        <v>0</v>
      </c>
      <c r="W50" s="267"/>
      <c r="X50" s="263"/>
      <c r="AZ50" s="269" t="s">
        <v>39</v>
      </c>
      <c r="BA50" s="269">
        <v>4</v>
      </c>
    </row>
    <row r="51" spans="1:53" ht="39.950000000000003" customHeight="1">
      <c r="E51" s="271"/>
      <c r="F51" s="272"/>
      <c r="G51" s="509"/>
      <c r="H51" s="486"/>
      <c r="I51" s="487"/>
      <c r="J51" s="487"/>
      <c r="K51" s="487"/>
      <c r="L51" s="487"/>
      <c r="M51" s="263"/>
      <c r="N51" s="490"/>
      <c r="O51" s="490"/>
      <c r="P51" s="490"/>
      <c r="Q51" s="490"/>
      <c r="R51" s="490"/>
      <c r="S51" s="490"/>
      <c r="T51" s="490"/>
      <c r="U51" s="263"/>
      <c r="V51" s="493"/>
      <c r="W51" s="267"/>
      <c r="X51" s="263"/>
      <c r="AZ51" s="269" t="s">
        <v>40</v>
      </c>
      <c r="BA51" s="269">
        <v>5</v>
      </c>
    </row>
    <row r="52" spans="1:53" ht="39.950000000000003" customHeight="1">
      <c r="E52" s="264" t="s">
        <v>66</v>
      </c>
      <c r="F52" s="265" t="s">
        <v>39</v>
      </c>
      <c r="G52" s="263"/>
      <c r="H52" s="263"/>
      <c r="I52" s="263"/>
      <c r="J52" s="263"/>
      <c r="K52" s="263"/>
      <c r="L52" s="263"/>
      <c r="M52" s="263"/>
      <c r="N52" s="263"/>
      <c r="O52" s="263"/>
      <c r="P52" s="263"/>
      <c r="Q52" s="263"/>
      <c r="R52" s="263"/>
      <c r="S52" s="263"/>
      <c r="T52" s="263"/>
      <c r="U52" s="263"/>
      <c r="V52" s="263"/>
      <c r="W52" s="267"/>
      <c r="X52" s="263"/>
      <c r="AZ52" s="269" t="s">
        <v>41</v>
      </c>
      <c r="BA52" s="269">
        <v>6</v>
      </c>
    </row>
    <row r="53" spans="1:53" ht="39.950000000000003" customHeight="1">
      <c r="E53" s="271"/>
      <c r="F53" s="272"/>
      <c r="G53" s="263"/>
      <c r="H53" s="263"/>
      <c r="I53" s="263" t="s">
        <v>32</v>
      </c>
      <c r="J53" s="263"/>
      <c r="K53" s="263"/>
      <c r="L53" s="263"/>
      <c r="M53" s="263"/>
      <c r="N53" s="273"/>
      <c r="O53" s="266"/>
      <c r="P53" s="266" t="s">
        <v>34</v>
      </c>
      <c r="Q53" s="266"/>
      <c r="R53" s="266"/>
      <c r="S53" s="266"/>
      <c r="T53" s="266"/>
      <c r="U53" s="263"/>
      <c r="V53" s="263"/>
      <c r="W53" s="267"/>
      <c r="X53" s="263"/>
      <c r="AZ53" s="269" t="s">
        <v>42</v>
      </c>
      <c r="BA53" s="269">
        <v>7</v>
      </c>
    </row>
    <row r="54" spans="1:53" ht="39.950000000000003" customHeight="1">
      <c r="E54" s="264" t="s">
        <v>26</v>
      </c>
      <c r="F54" s="265" t="s">
        <v>38</v>
      </c>
      <c r="G54" s="263"/>
      <c r="H54" s="263"/>
      <c r="I54" s="486"/>
      <c r="J54" s="486"/>
      <c r="K54" s="486"/>
      <c r="L54" s="486"/>
      <c r="M54" s="263"/>
      <c r="N54" s="486" t="str">
        <f>IF(V47&gt;V50,I47,IF(V50&gt;V47,I50,""))</f>
        <v>ŠINKAROVÁ Dáša</v>
      </c>
      <c r="O54" s="486"/>
      <c r="P54" s="486"/>
      <c r="Q54" s="486"/>
      <c r="R54" s="486"/>
      <c r="S54" s="486"/>
      <c r="T54" s="263"/>
      <c r="U54" s="263"/>
      <c r="V54" s="263"/>
      <c r="W54" s="267"/>
      <c r="X54" s="263"/>
      <c r="AZ54" s="269" t="s">
        <v>43</v>
      </c>
      <c r="BA54" s="269">
        <v>8</v>
      </c>
    </row>
    <row r="55" spans="1:53" ht="39.950000000000003" customHeight="1">
      <c r="E55" s="271"/>
      <c r="F55" s="272"/>
      <c r="G55" s="263"/>
      <c r="H55" s="263"/>
      <c r="I55" s="486"/>
      <c r="J55" s="486"/>
      <c r="K55" s="486"/>
      <c r="L55" s="486"/>
      <c r="M55" s="263"/>
      <c r="N55" s="486"/>
      <c r="O55" s="486"/>
      <c r="P55" s="486"/>
      <c r="Q55" s="486"/>
      <c r="R55" s="486"/>
      <c r="S55" s="486"/>
      <c r="T55" s="263"/>
      <c r="U55" s="263"/>
      <c r="V55" s="263"/>
      <c r="W55" s="267"/>
      <c r="X55" s="263"/>
    </row>
    <row r="56" spans="1:53" ht="39.950000000000003" customHeight="1">
      <c r="E56" s="264" t="s">
        <v>27</v>
      </c>
      <c r="F56" s="274" t="s">
        <v>20</v>
      </c>
      <c r="G56" s="263"/>
      <c r="H56" s="263"/>
      <c r="I56" s="263"/>
      <c r="J56" s="263"/>
      <c r="K56" s="263"/>
      <c r="L56" s="263"/>
      <c r="M56" s="263"/>
      <c r="N56" s="263"/>
      <c r="O56" s="263"/>
      <c r="P56" s="263"/>
      <c r="Q56" s="263"/>
      <c r="R56" s="263"/>
      <c r="S56" s="263"/>
      <c r="T56" s="263"/>
      <c r="U56" s="263"/>
      <c r="V56" s="263"/>
      <c r="W56" s="267"/>
      <c r="X56" s="263"/>
    </row>
    <row r="57" spans="1:53" ht="39.950000000000003" customHeight="1">
      <c r="E57" s="271"/>
      <c r="F57" s="272"/>
      <c r="G57" s="263"/>
      <c r="H57" s="263" t="s">
        <v>33</v>
      </c>
      <c r="I57" s="263"/>
      <c r="J57" s="263"/>
      <c r="K57" s="263"/>
      <c r="L57" s="263"/>
      <c r="M57" s="263"/>
      <c r="N57" s="263"/>
      <c r="O57" s="263"/>
      <c r="P57" s="263"/>
      <c r="Q57" s="263"/>
      <c r="R57" s="263"/>
      <c r="S57" s="263"/>
      <c r="T57" s="263"/>
      <c r="U57" s="263"/>
      <c r="V57" s="263"/>
      <c r="W57" s="267"/>
      <c r="X57" s="263"/>
    </row>
    <row r="58" spans="1:53" ht="39.950000000000003" customHeight="1">
      <c r="E58" s="271"/>
      <c r="F58" s="272"/>
      <c r="G58" s="263"/>
      <c r="H58" s="263"/>
      <c r="I58" s="263"/>
      <c r="J58" s="263"/>
      <c r="K58" s="263"/>
      <c r="L58" s="263"/>
      <c r="M58" s="263"/>
      <c r="N58" s="263"/>
      <c r="O58" s="263"/>
      <c r="P58" s="263"/>
      <c r="Q58" s="263"/>
      <c r="R58" s="263"/>
      <c r="S58" s="263"/>
      <c r="T58" s="263"/>
      <c r="U58" s="263"/>
      <c r="V58" s="263"/>
      <c r="W58" s="267"/>
      <c r="X58" s="263"/>
    </row>
    <row r="59" spans="1:53" ht="39.950000000000003" customHeight="1">
      <c r="E59" s="271"/>
      <c r="F59" s="272"/>
      <c r="G59" s="263"/>
      <c r="H59" s="263"/>
      <c r="I59" s="496" t="str">
        <f>I47</f>
        <v>ŠINKAROVÁ Dáša</v>
      </c>
      <c r="J59" s="496"/>
      <c r="K59" s="496"/>
      <c r="L59" s="496"/>
      <c r="M59" s="263"/>
      <c r="N59" s="263"/>
      <c r="O59" s="263"/>
      <c r="P59" s="496" t="str">
        <f>I50</f>
        <v>SISKOVÁ Zuzana</v>
      </c>
      <c r="Q59" s="496"/>
      <c r="R59" s="496"/>
      <c r="S59" s="496"/>
      <c r="T59" s="496"/>
      <c r="U59" s="496"/>
      <c r="V59" s="263"/>
      <c r="W59" s="267"/>
      <c r="X59" s="263"/>
    </row>
    <row r="60" spans="1:53" ht="69.95" customHeight="1">
      <c r="E60" s="264"/>
      <c r="F60" s="265"/>
      <c r="G60" s="263"/>
      <c r="H60" s="275" t="s">
        <v>36</v>
      </c>
      <c r="I60" s="483"/>
      <c r="J60" s="494"/>
      <c r="K60" s="494"/>
      <c r="L60" s="495"/>
      <c r="M60" s="263"/>
      <c r="N60" s="263"/>
      <c r="O60" s="275" t="s">
        <v>36</v>
      </c>
      <c r="P60" s="486"/>
      <c r="Q60" s="486"/>
      <c r="R60" s="486"/>
      <c r="S60" s="486"/>
      <c r="T60" s="486"/>
      <c r="U60" s="486"/>
      <c r="V60" s="263"/>
      <c r="W60" s="267"/>
      <c r="X60" s="263"/>
    </row>
    <row r="61" spans="1:53" ht="69.95" customHeight="1">
      <c r="E61" s="264"/>
      <c r="F61" s="265"/>
      <c r="G61" s="263"/>
      <c r="H61" s="275" t="s">
        <v>37</v>
      </c>
      <c r="I61" s="486"/>
      <c r="J61" s="486"/>
      <c r="K61" s="486"/>
      <c r="L61" s="486"/>
      <c r="M61" s="263"/>
      <c r="N61" s="263"/>
      <c r="O61" s="275" t="s">
        <v>37</v>
      </c>
      <c r="P61" s="486"/>
      <c r="Q61" s="486"/>
      <c r="R61" s="486"/>
      <c r="S61" s="486"/>
      <c r="T61" s="486"/>
      <c r="U61" s="486"/>
      <c r="V61" s="263"/>
      <c r="W61" s="267"/>
      <c r="X61" s="263"/>
    </row>
    <row r="62" spans="1:53" ht="69.95" customHeight="1">
      <c r="E62" s="264"/>
      <c r="F62" s="265"/>
      <c r="G62" s="263"/>
      <c r="H62" s="275" t="s">
        <v>37</v>
      </c>
      <c r="I62" s="486"/>
      <c r="J62" s="486"/>
      <c r="K62" s="486"/>
      <c r="L62" s="486"/>
      <c r="M62" s="263"/>
      <c r="N62" s="263"/>
      <c r="O62" s="275" t="s">
        <v>37</v>
      </c>
      <c r="P62" s="486"/>
      <c r="Q62" s="486"/>
      <c r="R62" s="486"/>
      <c r="S62" s="486"/>
      <c r="T62" s="486"/>
      <c r="U62" s="486"/>
      <c r="V62" s="263"/>
      <c r="W62" s="267"/>
      <c r="X62" s="263"/>
    </row>
    <row r="63" spans="1:53" ht="39.950000000000003" customHeight="1" thickBot="1">
      <c r="E63" s="276"/>
      <c r="F63" s="277"/>
      <c r="G63" s="278"/>
      <c r="H63" s="278"/>
      <c r="I63" s="278"/>
      <c r="J63" s="278"/>
      <c r="K63" s="278"/>
      <c r="L63" s="278"/>
      <c r="M63" s="278"/>
      <c r="N63" s="278"/>
      <c r="O63" s="278"/>
      <c r="P63" s="278"/>
      <c r="Q63" s="278"/>
      <c r="R63" s="278"/>
      <c r="S63" s="278"/>
      <c r="T63" s="279"/>
      <c r="U63" s="279"/>
      <c r="V63" s="279"/>
      <c r="W63" s="280"/>
      <c r="X63" s="263"/>
    </row>
    <row r="64" spans="1:53" ht="62.25" thickBot="1"/>
    <row r="65" spans="1:53" ht="39.950000000000003" customHeight="1">
      <c r="A65" s="252" t="str">
        <f>CONCATENATE(F72,F74,F76)</f>
        <v>DD1-3</v>
      </c>
      <c r="E65" s="259" t="s">
        <v>70</v>
      </c>
      <c r="F65" s="260">
        <f>VLOOKUP(A65,'zoznam zapasov'!$A$6:$K$77,3,0)</f>
        <v>4</v>
      </c>
      <c r="G65" s="261"/>
      <c r="H65" s="322" t="s">
        <v>501</v>
      </c>
      <c r="I65" s="261"/>
      <c r="J65" s="261"/>
      <c r="K65" s="261"/>
      <c r="L65" s="261"/>
      <c r="M65" s="261"/>
      <c r="N65" s="261"/>
      <c r="O65" s="261"/>
      <c r="P65" s="261"/>
      <c r="Q65" s="261"/>
      <c r="R65" s="261"/>
      <c r="S65" s="261"/>
      <c r="T65" s="261"/>
      <c r="U65" s="261"/>
      <c r="V65" s="261" t="s">
        <v>30</v>
      </c>
      <c r="W65" s="262"/>
      <c r="X65" s="263"/>
      <c r="Z65" s="258" t="str">
        <f>CONCATENATE(V67,":",V70)</f>
        <v>3:0</v>
      </c>
      <c r="AE65" s="253" t="s">
        <v>11</v>
      </c>
      <c r="AV65" s="256" t="str">
        <f>CONCATENATE(AN67,",",AO67,",",AP67,",",AQ67,",",AR67,",",AS67,",",AT67)</f>
        <v>9,7,9,,,,</v>
      </c>
    </row>
    <row r="66" spans="1:53" ht="39.950000000000003" customHeight="1">
      <c r="E66" s="264"/>
      <c r="F66" s="265"/>
      <c r="G66" s="321" t="s">
        <v>500</v>
      </c>
      <c r="H66" s="323" t="s">
        <v>502</v>
      </c>
      <c r="I66" s="263"/>
      <c r="J66" s="263"/>
      <c r="K66" s="263"/>
      <c r="L66" s="263"/>
      <c r="M66" s="263"/>
      <c r="N66" s="266">
        <v>1</v>
      </c>
      <c r="O66" s="266">
        <v>2</v>
      </c>
      <c r="P66" s="266">
        <v>3</v>
      </c>
      <c r="Q66" s="266">
        <v>4</v>
      </c>
      <c r="R66" s="266">
        <v>5</v>
      </c>
      <c r="S66" s="266">
        <v>6</v>
      </c>
      <c r="T66" s="266">
        <v>7</v>
      </c>
      <c r="U66" s="263"/>
      <c r="V66" s="266" t="s">
        <v>31</v>
      </c>
      <c r="W66" s="267"/>
      <c r="X66" s="263"/>
      <c r="AE66" s="253" t="s">
        <v>68</v>
      </c>
      <c r="AV66" s="256" t="str">
        <f>CONCATENATE(AN68,",",AO68,",",AP68,",",AQ68,",",AR68,",",AS68,",",AT68)</f>
        <v>-9,-7,-9,,,,</v>
      </c>
    </row>
    <row r="67" spans="1:53" ht="39.950000000000003" customHeight="1">
      <c r="A67" s="252" t="str">
        <f>CONCATENATE(F72,VLOOKUP(F74,$AZ$7:$BA$14,2,0),LEFT(F76,1))</f>
        <v>D41</v>
      </c>
      <c r="E67" s="264" t="s">
        <v>29</v>
      </c>
      <c r="F67" s="265">
        <f>VLOOKUP(A65,'zoznam zapasov'!$A$6:$K$77,11,0)</f>
        <v>4</v>
      </c>
      <c r="G67" s="508"/>
      <c r="H67" s="495"/>
      <c r="I67" s="487" t="str">
        <f>IF(ISERROR(VLOOKUP(A67,vylosovanie!$A$8:$J$68,6,0))=TRUE,"",VLOOKUP(A67,vylosovanie!$A$8:$J$68,6,0))</f>
        <v>DZELINSKA Júlia</v>
      </c>
      <c r="J67" s="487"/>
      <c r="K67" s="487"/>
      <c r="L67" s="487"/>
      <c r="M67" s="263"/>
      <c r="N67" s="489">
        <v>11</v>
      </c>
      <c r="O67" s="489">
        <v>11</v>
      </c>
      <c r="P67" s="489">
        <v>11</v>
      </c>
      <c r="Q67" s="489"/>
      <c r="R67" s="489"/>
      <c r="S67" s="489"/>
      <c r="T67" s="489"/>
      <c r="U67" s="263"/>
      <c r="V67" s="493">
        <f>IF(SUM(AF67:AL68)=0,"",SUM(AF67:AL67))</f>
        <v>3</v>
      </c>
      <c r="W67" s="267"/>
      <c r="X67" s="263"/>
      <c r="AE67" s="253" t="str">
        <f>VLOOKUP(I67,vylosovanie!$F$8:$L$190,7,0)</f>
        <v>D41</v>
      </c>
      <c r="AF67" s="268">
        <f>IF(N67&gt;N70,1,0)</f>
        <v>1</v>
      </c>
      <c r="AG67" s="268">
        <f t="shared" ref="AG67" si="32">IF(O67&gt;O70,1,0)</f>
        <v>1</v>
      </c>
      <c r="AH67" s="268">
        <f t="shared" ref="AH67" si="33">IF(P67&gt;P70,1,0)</f>
        <v>1</v>
      </c>
      <c r="AI67" s="268">
        <f t="shared" ref="AI67" si="34">IF(Q67&gt;Q70,1,0)</f>
        <v>0</v>
      </c>
      <c r="AJ67" s="268">
        <f t="shared" ref="AJ67" si="35">IF(R67&gt;R70,1,0)</f>
        <v>0</v>
      </c>
      <c r="AK67" s="268">
        <f t="shared" ref="AK67" si="36">IF(S67&gt;S70,1,0)</f>
        <v>0</v>
      </c>
      <c r="AL67" s="268">
        <f t="shared" ref="AL67" si="37">IF(T67&gt;T70,1,0)</f>
        <v>0</v>
      </c>
      <c r="AN67" s="268">
        <f t="shared" ref="AN67:AT67" si="38">IF(ISBLANK(N67)=TRUE,"",IF(AF67=1,N70,-N67))</f>
        <v>9</v>
      </c>
      <c r="AO67" s="268">
        <f t="shared" si="38"/>
        <v>7</v>
      </c>
      <c r="AP67" s="268">
        <f t="shared" si="38"/>
        <v>9</v>
      </c>
      <c r="AQ67" s="268" t="str">
        <f t="shared" si="38"/>
        <v/>
      </c>
      <c r="AR67" s="268" t="str">
        <f t="shared" si="38"/>
        <v/>
      </c>
      <c r="AS67" s="268" t="str">
        <f t="shared" si="38"/>
        <v/>
      </c>
      <c r="AT67" s="268" t="str">
        <f t="shared" si="38"/>
        <v/>
      </c>
      <c r="AZ67" s="269" t="s">
        <v>12</v>
      </c>
      <c r="BA67" s="269">
        <v>1</v>
      </c>
    </row>
    <row r="68" spans="1:53" ht="39.950000000000003" customHeight="1">
      <c r="E68" s="264"/>
      <c r="F68" s="265"/>
      <c r="G68" s="509"/>
      <c r="H68" s="495"/>
      <c r="I68" s="487"/>
      <c r="J68" s="487"/>
      <c r="K68" s="487"/>
      <c r="L68" s="487"/>
      <c r="M68" s="263"/>
      <c r="N68" s="490"/>
      <c r="O68" s="490"/>
      <c r="P68" s="490"/>
      <c r="Q68" s="490"/>
      <c r="R68" s="490"/>
      <c r="S68" s="490"/>
      <c r="T68" s="490"/>
      <c r="U68" s="263"/>
      <c r="V68" s="493"/>
      <c r="W68" s="267"/>
      <c r="X68" s="263"/>
      <c r="AE68" s="253" t="str">
        <f>VLOOKUP(I70,vylosovanie!$F$8:$L$190,7,0)</f>
        <v>D43</v>
      </c>
      <c r="AF68" s="268">
        <f>IF(N70&gt;N67,1,0)</f>
        <v>0</v>
      </c>
      <c r="AG68" s="268">
        <f t="shared" ref="AG68" si="39">IF(O70&gt;O67,1,0)</f>
        <v>0</v>
      </c>
      <c r="AH68" s="268">
        <f t="shared" ref="AH68" si="40">IF(P70&gt;P67,1,0)</f>
        <v>0</v>
      </c>
      <c r="AI68" s="268">
        <f t="shared" ref="AI68" si="41">IF(Q70&gt;Q67,1,0)</f>
        <v>0</v>
      </c>
      <c r="AJ68" s="268">
        <f t="shared" ref="AJ68" si="42">IF(R70&gt;R67,1,0)</f>
        <v>0</v>
      </c>
      <c r="AK68" s="268">
        <f t="shared" ref="AK68" si="43">IF(S70&gt;S67,1,0)</f>
        <v>0</v>
      </c>
      <c r="AL68" s="268">
        <f t="shared" ref="AL68" si="44">IF(T70&gt;T67,1,0)</f>
        <v>0</v>
      </c>
      <c r="AN68" s="268">
        <f t="shared" ref="AN68:AT68" si="45">IF(ISBLANK(N70)=TRUE,"",IF(AF68=1,N67,-N70))</f>
        <v>-9</v>
      </c>
      <c r="AO68" s="268">
        <f t="shared" si="45"/>
        <v>-7</v>
      </c>
      <c r="AP68" s="268">
        <f t="shared" si="45"/>
        <v>-9</v>
      </c>
      <c r="AQ68" s="268" t="str">
        <f t="shared" si="45"/>
        <v/>
      </c>
      <c r="AR68" s="268" t="str">
        <f t="shared" si="45"/>
        <v/>
      </c>
      <c r="AS68" s="268" t="str">
        <f t="shared" si="45"/>
        <v/>
      </c>
      <c r="AT68" s="268" t="str">
        <f t="shared" si="45"/>
        <v/>
      </c>
      <c r="AZ68" s="269" t="s">
        <v>18</v>
      </c>
      <c r="BA68" s="269">
        <v>2</v>
      </c>
    </row>
    <row r="69" spans="1:53" ht="39.950000000000003" customHeight="1">
      <c r="E69" s="264" t="s">
        <v>35</v>
      </c>
      <c r="F69" s="265" t="str">
        <f>VLOOKUP(A65,'zoznam zapasov'!$A$6:$K$77,9,0)</f>
        <v>So</v>
      </c>
      <c r="G69" s="263"/>
      <c r="H69" s="263"/>
      <c r="I69" s="263"/>
      <c r="J69" s="263"/>
      <c r="K69" s="263"/>
      <c r="L69" s="263"/>
      <c r="M69" s="263"/>
      <c r="N69" s="263"/>
      <c r="O69" s="263"/>
      <c r="P69" s="263"/>
      <c r="Q69" s="263"/>
      <c r="R69" s="263"/>
      <c r="S69" s="263"/>
      <c r="T69" s="263"/>
      <c r="U69" s="263"/>
      <c r="V69" s="263"/>
      <c r="W69" s="267"/>
      <c r="X69" s="263"/>
      <c r="AZ69" s="269" t="s">
        <v>38</v>
      </c>
      <c r="BA69" s="269">
        <v>3</v>
      </c>
    </row>
    <row r="70" spans="1:53" ht="39.950000000000003" customHeight="1">
      <c r="A70" s="252" t="str">
        <f>CONCATENATE(F72,VLOOKUP(F74,$AZ$7:$BA$14,2,0),RIGHT(F76,1))</f>
        <v>D43</v>
      </c>
      <c r="E70" s="264" t="s">
        <v>28</v>
      </c>
      <c r="F70" s="270" t="str">
        <f>VLOOKUP(A65,'zoznam zapasov'!$A$6:$K$77,10,0)</f>
        <v>9.30</v>
      </c>
      <c r="G70" s="508"/>
      <c r="H70" s="486"/>
      <c r="I70" s="487" t="str">
        <f>IF(ISERROR(VLOOKUP(A70,vylosovanie!$A$8:$J$68,6,0))=TRUE,"",VLOOKUP(A70,vylosovanie!$A$8:$J$68,6,0))</f>
        <v>HUDÁKOVÁ Ivana</v>
      </c>
      <c r="J70" s="487"/>
      <c r="K70" s="487"/>
      <c r="L70" s="487"/>
      <c r="M70" s="263"/>
      <c r="N70" s="489">
        <v>9</v>
      </c>
      <c r="O70" s="489">
        <v>7</v>
      </c>
      <c r="P70" s="489">
        <v>9</v>
      </c>
      <c r="Q70" s="489"/>
      <c r="R70" s="489"/>
      <c r="S70" s="489"/>
      <c r="T70" s="489"/>
      <c r="U70" s="263"/>
      <c r="V70" s="493">
        <f>IF(SUM(AF67:AL68)=0,"",SUM(AF68:AL68))</f>
        <v>0</v>
      </c>
      <c r="W70" s="267"/>
      <c r="X70" s="263"/>
      <c r="AZ70" s="269" t="s">
        <v>39</v>
      </c>
      <c r="BA70" s="269">
        <v>4</v>
      </c>
    </row>
    <row r="71" spans="1:53" ht="39.950000000000003" customHeight="1">
      <c r="E71" s="271"/>
      <c r="F71" s="272"/>
      <c r="G71" s="509"/>
      <c r="H71" s="486"/>
      <c r="I71" s="487"/>
      <c r="J71" s="487"/>
      <c r="K71" s="487"/>
      <c r="L71" s="487"/>
      <c r="M71" s="263"/>
      <c r="N71" s="490"/>
      <c r="O71" s="490"/>
      <c r="P71" s="490"/>
      <c r="Q71" s="490"/>
      <c r="R71" s="490"/>
      <c r="S71" s="490"/>
      <c r="T71" s="490"/>
      <c r="U71" s="263"/>
      <c r="V71" s="493"/>
      <c r="W71" s="267"/>
      <c r="X71" s="263"/>
      <c r="AZ71" s="269" t="s">
        <v>40</v>
      </c>
      <c r="BA71" s="269">
        <v>5</v>
      </c>
    </row>
    <row r="72" spans="1:53" ht="39.950000000000003" customHeight="1">
      <c r="E72" s="264" t="s">
        <v>66</v>
      </c>
      <c r="F72" s="265" t="s">
        <v>39</v>
      </c>
      <c r="G72" s="263"/>
      <c r="H72" s="263"/>
      <c r="I72" s="263"/>
      <c r="J72" s="263"/>
      <c r="K72" s="263"/>
      <c r="L72" s="263"/>
      <c r="M72" s="263"/>
      <c r="N72" s="263"/>
      <c r="O72" s="263"/>
      <c r="P72" s="263"/>
      <c r="Q72" s="263"/>
      <c r="R72" s="263"/>
      <c r="S72" s="263"/>
      <c r="T72" s="263"/>
      <c r="U72" s="263"/>
      <c r="V72" s="263"/>
      <c r="W72" s="267"/>
      <c r="X72" s="263"/>
      <c r="AZ72" s="269" t="s">
        <v>41</v>
      </c>
      <c r="BA72" s="269">
        <v>6</v>
      </c>
    </row>
    <row r="73" spans="1:53" ht="39.950000000000003" customHeight="1">
      <c r="E73" s="271"/>
      <c r="F73" s="272"/>
      <c r="G73" s="263"/>
      <c r="H73" s="263"/>
      <c r="I73" s="263" t="s">
        <v>32</v>
      </c>
      <c r="J73" s="263"/>
      <c r="K73" s="263"/>
      <c r="L73" s="263"/>
      <c r="M73" s="263"/>
      <c r="N73" s="273"/>
      <c r="O73" s="266"/>
      <c r="P73" s="266" t="s">
        <v>34</v>
      </c>
      <c r="Q73" s="266"/>
      <c r="R73" s="266"/>
      <c r="S73" s="266"/>
      <c r="T73" s="266"/>
      <c r="U73" s="263"/>
      <c r="V73" s="263"/>
      <c r="W73" s="267"/>
      <c r="X73" s="263"/>
      <c r="AZ73" s="269" t="s">
        <v>42</v>
      </c>
      <c r="BA73" s="269">
        <v>7</v>
      </c>
    </row>
    <row r="74" spans="1:53" ht="39.950000000000003" customHeight="1">
      <c r="E74" s="264" t="s">
        <v>26</v>
      </c>
      <c r="F74" s="265" t="s">
        <v>39</v>
      </c>
      <c r="G74" s="263"/>
      <c r="H74" s="263"/>
      <c r="I74" s="486"/>
      <c r="J74" s="486"/>
      <c r="K74" s="486"/>
      <c r="L74" s="486"/>
      <c r="M74" s="263"/>
      <c r="N74" s="486" t="str">
        <f>IF(V67&gt;V70,I67,IF(V70&gt;V67,I70,""))</f>
        <v>DZELINSKA Júlia</v>
      </c>
      <c r="O74" s="486"/>
      <c r="P74" s="486"/>
      <c r="Q74" s="486"/>
      <c r="R74" s="486"/>
      <c r="S74" s="486"/>
      <c r="T74" s="263"/>
      <c r="U74" s="263"/>
      <c r="V74" s="263"/>
      <c r="W74" s="267"/>
      <c r="X74" s="263"/>
      <c r="AZ74" s="269" t="s">
        <v>43</v>
      </c>
      <c r="BA74" s="269">
        <v>8</v>
      </c>
    </row>
    <row r="75" spans="1:53" ht="39.950000000000003" customHeight="1">
      <c r="E75" s="271"/>
      <c r="F75" s="272"/>
      <c r="G75" s="263"/>
      <c r="H75" s="263"/>
      <c r="I75" s="486"/>
      <c r="J75" s="486"/>
      <c r="K75" s="486"/>
      <c r="L75" s="486"/>
      <c r="M75" s="263"/>
      <c r="N75" s="486"/>
      <c r="O75" s="486"/>
      <c r="P75" s="486"/>
      <c r="Q75" s="486"/>
      <c r="R75" s="486"/>
      <c r="S75" s="486"/>
      <c r="T75" s="263"/>
      <c r="U75" s="263"/>
      <c r="V75" s="263"/>
      <c r="W75" s="267"/>
      <c r="X75" s="263"/>
    </row>
    <row r="76" spans="1:53" ht="39.950000000000003" customHeight="1">
      <c r="E76" s="264" t="s">
        <v>27</v>
      </c>
      <c r="F76" s="274" t="s">
        <v>20</v>
      </c>
      <c r="G76" s="263"/>
      <c r="H76" s="263"/>
      <c r="I76" s="263"/>
      <c r="J76" s="263"/>
      <c r="K76" s="263"/>
      <c r="L76" s="263"/>
      <c r="M76" s="263"/>
      <c r="N76" s="263"/>
      <c r="O76" s="263"/>
      <c r="P76" s="263"/>
      <c r="Q76" s="263"/>
      <c r="R76" s="263"/>
      <c r="S76" s="263"/>
      <c r="T76" s="263"/>
      <c r="U76" s="263"/>
      <c r="V76" s="263"/>
      <c r="W76" s="267"/>
      <c r="X76" s="263"/>
    </row>
    <row r="77" spans="1:53" ht="39.950000000000003" customHeight="1">
      <c r="E77" s="271"/>
      <c r="F77" s="272"/>
      <c r="G77" s="263"/>
      <c r="H77" s="263" t="s">
        <v>33</v>
      </c>
      <c r="I77" s="263"/>
      <c r="J77" s="263"/>
      <c r="K77" s="263"/>
      <c r="L77" s="263"/>
      <c r="M77" s="263"/>
      <c r="N77" s="263"/>
      <c r="O77" s="263"/>
      <c r="P77" s="263"/>
      <c r="Q77" s="263"/>
      <c r="R77" s="263"/>
      <c r="S77" s="263"/>
      <c r="T77" s="263"/>
      <c r="U77" s="263"/>
      <c r="V77" s="263"/>
      <c r="W77" s="267"/>
      <c r="X77" s="263"/>
    </row>
    <row r="78" spans="1:53" ht="39.950000000000003" customHeight="1">
      <c r="E78" s="271"/>
      <c r="F78" s="272"/>
      <c r="G78" s="263"/>
      <c r="H78" s="263"/>
      <c r="I78" s="263"/>
      <c r="J78" s="263"/>
      <c r="K78" s="263"/>
      <c r="L78" s="263"/>
      <c r="M78" s="263"/>
      <c r="N78" s="263"/>
      <c r="O78" s="263"/>
      <c r="P78" s="263"/>
      <c r="Q78" s="263"/>
      <c r="R78" s="263"/>
      <c r="S78" s="263"/>
      <c r="T78" s="263"/>
      <c r="U78" s="263"/>
      <c r="V78" s="263"/>
      <c r="W78" s="267"/>
      <c r="X78" s="263"/>
    </row>
    <row r="79" spans="1:53" ht="39.950000000000003" customHeight="1">
      <c r="E79" s="271"/>
      <c r="F79" s="272"/>
      <c r="G79" s="263"/>
      <c r="H79" s="263"/>
      <c r="I79" s="496" t="str">
        <f>I67</f>
        <v>DZELINSKA Júlia</v>
      </c>
      <c r="J79" s="496"/>
      <c r="K79" s="496"/>
      <c r="L79" s="496"/>
      <c r="M79" s="263"/>
      <c r="N79" s="263"/>
      <c r="O79" s="263"/>
      <c r="P79" s="496" t="str">
        <f>I70</f>
        <v>HUDÁKOVÁ Ivana</v>
      </c>
      <c r="Q79" s="496"/>
      <c r="R79" s="496"/>
      <c r="S79" s="496"/>
      <c r="T79" s="496"/>
      <c r="U79" s="496"/>
      <c r="V79" s="263"/>
      <c r="W79" s="267"/>
      <c r="X79" s="263"/>
    </row>
    <row r="80" spans="1:53" ht="69.95" customHeight="1">
      <c r="E80" s="264"/>
      <c r="F80" s="265"/>
      <c r="G80" s="263"/>
      <c r="H80" s="275" t="s">
        <v>36</v>
      </c>
      <c r="I80" s="483"/>
      <c r="J80" s="494"/>
      <c r="K80" s="494"/>
      <c r="L80" s="495"/>
      <c r="M80" s="263"/>
      <c r="N80" s="263"/>
      <c r="O80" s="275" t="s">
        <v>36</v>
      </c>
      <c r="P80" s="486"/>
      <c r="Q80" s="486"/>
      <c r="R80" s="486"/>
      <c r="S80" s="486"/>
      <c r="T80" s="486"/>
      <c r="U80" s="486"/>
      <c r="V80" s="263"/>
      <c r="W80" s="267"/>
      <c r="X80" s="263"/>
    </row>
    <row r="81" spans="1:53" ht="69.95" customHeight="1">
      <c r="E81" s="264"/>
      <c r="F81" s="265"/>
      <c r="G81" s="263"/>
      <c r="H81" s="275" t="s">
        <v>37</v>
      </c>
      <c r="I81" s="486"/>
      <c r="J81" s="486"/>
      <c r="K81" s="486"/>
      <c r="L81" s="486"/>
      <c r="M81" s="263"/>
      <c r="N81" s="263"/>
      <c r="O81" s="275" t="s">
        <v>37</v>
      </c>
      <c r="P81" s="486"/>
      <c r="Q81" s="486"/>
      <c r="R81" s="486"/>
      <c r="S81" s="486"/>
      <c r="T81" s="486"/>
      <c r="U81" s="486"/>
      <c r="V81" s="263"/>
      <c r="W81" s="267"/>
      <c r="X81" s="263"/>
    </row>
    <row r="82" spans="1:53" ht="69.95" customHeight="1">
      <c r="E82" s="264"/>
      <c r="F82" s="265"/>
      <c r="G82" s="263"/>
      <c r="H82" s="275" t="s">
        <v>37</v>
      </c>
      <c r="I82" s="486"/>
      <c r="J82" s="486"/>
      <c r="K82" s="486"/>
      <c r="L82" s="486"/>
      <c r="M82" s="263"/>
      <c r="N82" s="263"/>
      <c r="O82" s="275" t="s">
        <v>37</v>
      </c>
      <c r="P82" s="486"/>
      <c r="Q82" s="486"/>
      <c r="R82" s="486"/>
      <c r="S82" s="486"/>
      <c r="T82" s="486"/>
      <c r="U82" s="486"/>
      <c r="V82" s="263"/>
      <c r="W82" s="267"/>
      <c r="X82" s="263"/>
    </row>
    <row r="83" spans="1:53" ht="39.950000000000003" customHeight="1" thickBot="1">
      <c r="E83" s="276"/>
      <c r="F83" s="277"/>
      <c r="G83" s="278"/>
      <c r="H83" s="278"/>
      <c r="I83" s="278"/>
      <c r="J83" s="278"/>
      <c r="K83" s="278"/>
      <c r="L83" s="278"/>
      <c r="M83" s="278"/>
      <c r="N83" s="278"/>
      <c r="O83" s="278"/>
      <c r="P83" s="278"/>
      <c r="Q83" s="278"/>
      <c r="R83" s="278"/>
      <c r="S83" s="278"/>
      <c r="T83" s="279"/>
      <c r="U83" s="279"/>
      <c r="V83" s="279"/>
      <c r="W83" s="280"/>
      <c r="X83" s="263"/>
    </row>
    <row r="84" spans="1:53" ht="62.25" thickBot="1"/>
    <row r="85" spans="1:53" ht="39.950000000000003" customHeight="1">
      <c r="A85" s="252" t="str">
        <f>CONCATENATE(F92,F94,F96)</f>
        <v>DE1-3</v>
      </c>
      <c r="E85" s="259" t="s">
        <v>70</v>
      </c>
      <c r="F85" s="260">
        <f>VLOOKUP(A85,'zoznam zapasov'!$A$6:$K$77,3,0)</f>
        <v>5</v>
      </c>
      <c r="G85" s="261"/>
      <c r="H85" s="322" t="s">
        <v>501</v>
      </c>
      <c r="I85" s="261"/>
      <c r="J85" s="261"/>
      <c r="K85" s="261"/>
      <c r="L85" s="261"/>
      <c r="M85" s="261"/>
      <c r="N85" s="261"/>
      <c r="O85" s="261"/>
      <c r="P85" s="261"/>
      <c r="Q85" s="261"/>
      <c r="R85" s="261"/>
      <c r="S85" s="261"/>
      <c r="T85" s="261"/>
      <c r="U85" s="261"/>
      <c r="V85" s="261" t="s">
        <v>30</v>
      </c>
      <c r="W85" s="262"/>
      <c r="X85" s="263"/>
      <c r="Z85" s="258" t="str">
        <f>CONCATENATE(V87,":",V90)</f>
        <v>3:0</v>
      </c>
      <c r="AE85" s="253" t="s">
        <v>11</v>
      </c>
      <c r="AV85" s="256" t="str">
        <f>CONCATENATE(AN87,",",AO87,",",AP87,",",AQ87,",",AR87,",",AS87,",",AT87)</f>
        <v>5,3,4,,,,</v>
      </c>
    </row>
    <row r="86" spans="1:53" ht="39.950000000000003" customHeight="1">
      <c r="E86" s="264"/>
      <c r="F86" s="265"/>
      <c r="G86" s="321" t="s">
        <v>500</v>
      </c>
      <c r="H86" s="323" t="s">
        <v>502</v>
      </c>
      <c r="I86" s="263"/>
      <c r="J86" s="263"/>
      <c r="K86" s="263"/>
      <c r="L86" s="263"/>
      <c r="M86" s="263"/>
      <c r="N86" s="266">
        <v>1</v>
      </c>
      <c r="O86" s="266">
        <v>2</v>
      </c>
      <c r="P86" s="266">
        <v>3</v>
      </c>
      <c r="Q86" s="266">
        <v>4</v>
      </c>
      <c r="R86" s="266">
        <v>5</v>
      </c>
      <c r="S86" s="266">
        <v>6</v>
      </c>
      <c r="T86" s="266">
        <v>7</v>
      </c>
      <c r="U86" s="263"/>
      <c r="V86" s="266" t="s">
        <v>31</v>
      </c>
      <c r="W86" s="267"/>
      <c r="X86" s="263"/>
      <c r="AE86" s="253" t="s">
        <v>68</v>
      </c>
      <c r="AV86" s="256" t="str">
        <f>CONCATENATE(AN88,",",AO88,",",AP88,",",AQ88,",",AR88,",",AS88,",",AT88)</f>
        <v>-5,-3,-4,,,,</v>
      </c>
    </row>
    <row r="87" spans="1:53" ht="39.950000000000003" customHeight="1">
      <c r="A87" s="252" t="str">
        <f>CONCATENATE(F92,VLOOKUP(F94,$AZ$7:$BA$14,2,0),LEFT(F96,1))</f>
        <v>D51</v>
      </c>
      <c r="E87" s="264" t="s">
        <v>29</v>
      </c>
      <c r="F87" s="265">
        <f>VLOOKUP(A85,'zoznam zapasov'!$A$6:$K$77,11,0)</f>
        <v>5</v>
      </c>
      <c r="G87" s="508"/>
      <c r="H87" s="495"/>
      <c r="I87" s="487" t="str">
        <f>IF(ISERROR(VLOOKUP(A87,vylosovanie!$A$8:$J$68,6,0))=TRUE,"",VLOOKUP(A87,vylosovanie!$A$8:$J$68,6,0))</f>
        <v>DIVINSKÁ Natália</v>
      </c>
      <c r="J87" s="487"/>
      <c r="K87" s="487"/>
      <c r="L87" s="487"/>
      <c r="M87" s="263"/>
      <c r="N87" s="489">
        <v>11</v>
      </c>
      <c r="O87" s="489">
        <v>11</v>
      </c>
      <c r="P87" s="489">
        <v>11</v>
      </c>
      <c r="Q87" s="489"/>
      <c r="R87" s="489"/>
      <c r="S87" s="489"/>
      <c r="T87" s="489"/>
      <c r="U87" s="263"/>
      <c r="V87" s="493">
        <f>IF(SUM(AF87:AL88)=0,"",SUM(AF87:AL87))</f>
        <v>3</v>
      </c>
      <c r="W87" s="267"/>
      <c r="X87" s="263"/>
      <c r="AE87" s="253" t="str">
        <f>VLOOKUP(I87,vylosovanie!$F$8:$L$190,7,0)</f>
        <v>D51</v>
      </c>
      <c r="AF87" s="268">
        <f>IF(N87&gt;N90,1,0)</f>
        <v>1</v>
      </c>
      <c r="AG87" s="268">
        <f t="shared" ref="AG87" si="46">IF(O87&gt;O90,1,0)</f>
        <v>1</v>
      </c>
      <c r="AH87" s="268">
        <f t="shared" ref="AH87" si="47">IF(P87&gt;P90,1,0)</f>
        <v>1</v>
      </c>
      <c r="AI87" s="268">
        <f t="shared" ref="AI87" si="48">IF(Q87&gt;Q90,1,0)</f>
        <v>0</v>
      </c>
      <c r="AJ87" s="268">
        <f t="shared" ref="AJ87" si="49">IF(R87&gt;R90,1,0)</f>
        <v>0</v>
      </c>
      <c r="AK87" s="268">
        <f t="shared" ref="AK87" si="50">IF(S87&gt;S90,1,0)</f>
        <v>0</v>
      </c>
      <c r="AL87" s="268">
        <f t="shared" ref="AL87" si="51">IF(T87&gt;T90,1,0)</f>
        <v>0</v>
      </c>
      <c r="AN87" s="268">
        <f t="shared" ref="AN87:AT87" si="52">IF(ISBLANK(N87)=TRUE,"",IF(AF87=1,N90,-N87))</f>
        <v>5</v>
      </c>
      <c r="AO87" s="268">
        <f t="shared" si="52"/>
        <v>3</v>
      </c>
      <c r="AP87" s="268">
        <f t="shared" si="52"/>
        <v>4</v>
      </c>
      <c r="AQ87" s="268" t="str">
        <f t="shared" si="52"/>
        <v/>
      </c>
      <c r="AR87" s="268" t="str">
        <f t="shared" si="52"/>
        <v/>
      </c>
      <c r="AS87" s="268" t="str">
        <f t="shared" si="52"/>
        <v/>
      </c>
      <c r="AT87" s="268" t="str">
        <f t="shared" si="52"/>
        <v/>
      </c>
      <c r="AZ87" s="269" t="s">
        <v>12</v>
      </c>
      <c r="BA87" s="269">
        <v>1</v>
      </c>
    </row>
    <row r="88" spans="1:53" ht="39.950000000000003" customHeight="1">
      <c r="E88" s="264"/>
      <c r="F88" s="265"/>
      <c r="G88" s="509"/>
      <c r="H88" s="495"/>
      <c r="I88" s="487"/>
      <c r="J88" s="487"/>
      <c r="K88" s="487"/>
      <c r="L88" s="487"/>
      <c r="M88" s="263"/>
      <c r="N88" s="490"/>
      <c r="O88" s="490"/>
      <c r="P88" s="490"/>
      <c r="Q88" s="490"/>
      <c r="R88" s="490"/>
      <c r="S88" s="490"/>
      <c r="T88" s="490"/>
      <c r="U88" s="263"/>
      <c r="V88" s="493"/>
      <c r="W88" s="267"/>
      <c r="X88" s="263"/>
      <c r="AE88" s="253" t="str">
        <f>VLOOKUP(I90,vylosovanie!$F$8:$L$190,7,0)</f>
        <v>D53</v>
      </c>
      <c r="AF88" s="268">
        <f>IF(N90&gt;N87,1,0)</f>
        <v>0</v>
      </c>
      <c r="AG88" s="268">
        <f t="shared" ref="AG88" si="53">IF(O90&gt;O87,1,0)</f>
        <v>0</v>
      </c>
      <c r="AH88" s="268">
        <f t="shared" ref="AH88" si="54">IF(P90&gt;P87,1,0)</f>
        <v>0</v>
      </c>
      <c r="AI88" s="268">
        <f t="shared" ref="AI88" si="55">IF(Q90&gt;Q87,1,0)</f>
        <v>0</v>
      </c>
      <c r="AJ88" s="268">
        <f t="shared" ref="AJ88" si="56">IF(R90&gt;R87,1,0)</f>
        <v>0</v>
      </c>
      <c r="AK88" s="268">
        <f t="shared" ref="AK88" si="57">IF(S90&gt;S87,1,0)</f>
        <v>0</v>
      </c>
      <c r="AL88" s="268">
        <f t="shared" ref="AL88" si="58">IF(T90&gt;T87,1,0)</f>
        <v>0</v>
      </c>
      <c r="AN88" s="268">
        <f t="shared" ref="AN88:AT88" si="59">IF(ISBLANK(N90)=TRUE,"",IF(AF88=1,N87,-N90))</f>
        <v>-5</v>
      </c>
      <c r="AO88" s="268">
        <f t="shared" si="59"/>
        <v>-3</v>
      </c>
      <c r="AP88" s="268">
        <f t="shared" si="59"/>
        <v>-4</v>
      </c>
      <c r="AQ88" s="268" t="str">
        <f t="shared" si="59"/>
        <v/>
      </c>
      <c r="AR88" s="268" t="str">
        <f t="shared" si="59"/>
        <v/>
      </c>
      <c r="AS88" s="268" t="str">
        <f t="shared" si="59"/>
        <v/>
      </c>
      <c r="AT88" s="268" t="str">
        <f t="shared" si="59"/>
        <v/>
      </c>
      <c r="AZ88" s="269" t="s">
        <v>18</v>
      </c>
      <c r="BA88" s="269">
        <v>2</v>
      </c>
    </row>
    <row r="89" spans="1:53" ht="39.950000000000003" customHeight="1">
      <c r="E89" s="264" t="s">
        <v>35</v>
      </c>
      <c r="F89" s="265" t="str">
        <f>VLOOKUP(A85,'zoznam zapasov'!$A$6:$K$77,9,0)</f>
        <v>So</v>
      </c>
      <c r="G89" s="263"/>
      <c r="H89" s="263"/>
      <c r="I89" s="263"/>
      <c r="J89" s="263"/>
      <c r="K89" s="263"/>
      <c r="L89" s="263"/>
      <c r="M89" s="263"/>
      <c r="N89" s="263"/>
      <c r="O89" s="263"/>
      <c r="P89" s="263"/>
      <c r="Q89" s="263"/>
      <c r="R89" s="263"/>
      <c r="S89" s="263"/>
      <c r="T89" s="263"/>
      <c r="U89" s="263"/>
      <c r="V89" s="263"/>
      <c r="W89" s="267"/>
      <c r="X89" s="263"/>
      <c r="AZ89" s="269" t="s">
        <v>38</v>
      </c>
      <c r="BA89" s="269">
        <v>3</v>
      </c>
    </row>
    <row r="90" spans="1:53" ht="39.950000000000003" customHeight="1">
      <c r="A90" s="252" t="str">
        <f>CONCATENATE(F92,VLOOKUP(F94,$AZ$7:$BA$14,2,0),RIGHT(F96,1))</f>
        <v>D53</v>
      </c>
      <c r="E90" s="264" t="s">
        <v>28</v>
      </c>
      <c r="F90" s="270" t="str">
        <f>VLOOKUP(A85,'zoznam zapasov'!$A$6:$K$77,10,0)</f>
        <v>9.30</v>
      </c>
      <c r="G90" s="508"/>
      <c r="H90" s="486"/>
      <c r="I90" s="487" t="str">
        <f>IF(ISERROR(VLOOKUP(A90,vylosovanie!$A$8:$J$68,6,0))=TRUE,"",VLOOKUP(A90,vylosovanie!$A$8:$J$68,6,0))</f>
        <v>HURBANOVÁ Isabella</v>
      </c>
      <c r="J90" s="487"/>
      <c r="K90" s="487"/>
      <c r="L90" s="487"/>
      <c r="M90" s="263"/>
      <c r="N90" s="489">
        <v>5</v>
      </c>
      <c r="O90" s="489">
        <v>3</v>
      </c>
      <c r="P90" s="489">
        <v>4</v>
      </c>
      <c r="Q90" s="489"/>
      <c r="R90" s="489"/>
      <c r="S90" s="489"/>
      <c r="T90" s="489"/>
      <c r="U90" s="263"/>
      <c r="V90" s="493">
        <f>IF(SUM(AF87:AL88)=0,"",SUM(AF88:AL88))</f>
        <v>0</v>
      </c>
      <c r="W90" s="267"/>
      <c r="X90" s="263"/>
      <c r="AZ90" s="269" t="s">
        <v>39</v>
      </c>
      <c r="BA90" s="269">
        <v>4</v>
      </c>
    </row>
    <row r="91" spans="1:53" ht="39.950000000000003" customHeight="1">
      <c r="E91" s="271"/>
      <c r="F91" s="272"/>
      <c r="G91" s="509"/>
      <c r="H91" s="486"/>
      <c r="I91" s="487"/>
      <c r="J91" s="487"/>
      <c r="K91" s="487"/>
      <c r="L91" s="487"/>
      <c r="M91" s="263"/>
      <c r="N91" s="490"/>
      <c r="O91" s="490"/>
      <c r="P91" s="490"/>
      <c r="Q91" s="490"/>
      <c r="R91" s="490"/>
      <c r="S91" s="490"/>
      <c r="T91" s="490"/>
      <c r="U91" s="263"/>
      <c r="V91" s="493"/>
      <c r="W91" s="267"/>
      <c r="X91" s="263"/>
      <c r="AZ91" s="269" t="s">
        <v>40</v>
      </c>
      <c r="BA91" s="269">
        <v>5</v>
      </c>
    </row>
    <row r="92" spans="1:53" ht="39.950000000000003" customHeight="1">
      <c r="E92" s="264" t="s">
        <v>66</v>
      </c>
      <c r="F92" s="265" t="s">
        <v>39</v>
      </c>
      <c r="G92" s="263"/>
      <c r="H92" s="263"/>
      <c r="I92" s="263"/>
      <c r="J92" s="263"/>
      <c r="K92" s="263"/>
      <c r="L92" s="263"/>
      <c r="M92" s="263"/>
      <c r="N92" s="263"/>
      <c r="O92" s="263"/>
      <c r="P92" s="263"/>
      <c r="Q92" s="263"/>
      <c r="R92" s="263"/>
      <c r="S92" s="263"/>
      <c r="T92" s="263"/>
      <c r="U92" s="263"/>
      <c r="V92" s="263"/>
      <c r="W92" s="267"/>
      <c r="X92" s="263"/>
      <c r="AZ92" s="269" t="s">
        <v>41</v>
      </c>
      <c r="BA92" s="269">
        <v>6</v>
      </c>
    </row>
    <row r="93" spans="1:53" ht="39.950000000000003" customHeight="1">
      <c r="E93" s="271"/>
      <c r="F93" s="272"/>
      <c r="G93" s="263"/>
      <c r="H93" s="263"/>
      <c r="I93" s="263" t="s">
        <v>32</v>
      </c>
      <c r="J93" s="263"/>
      <c r="K93" s="263"/>
      <c r="L93" s="263"/>
      <c r="M93" s="263"/>
      <c r="N93" s="273"/>
      <c r="O93" s="266"/>
      <c r="P93" s="266" t="s">
        <v>34</v>
      </c>
      <c r="Q93" s="266"/>
      <c r="R93" s="266"/>
      <c r="S93" s="266"/>
      <c r="T93" s="266"/>
      <c r="U93" s="263"/>
      <c r="V93" s="263"/>
      <c r="W93" s="267"/>
      <c r="X93" s="263"/>
      <c r="AZ93" s="269" t="s">
        <v>42</v>
      </c>
      <c r="BA93" s="269">
        <v>7</v>
      </c>
    </row>
    <row r="94" spans="1:53" ht="39.950000000000003" customHeight="1">
      <c r="E94" s="264" t="s">
        <v>26</v>
      </c>
      <c r="F94" s="265" t="s">
        <v>40</v>
      </c>
      <c r="G94" s="263"/>
      <c r="H94" s="263"/>
      <c r="I94" s="486"/>
      <c r="J94" s="486"/>
      <c r="K94" s="486"/>
      <c r="L94" s="486"/>
      <c r="M94" s="263"/>
      <c r="N94" s="486" t="str">
        <f>IF(V87&gt;V90,I87,IF(V90&gt;V87,I90,""))</f>
        <v>DIVINSKÁ Natália</v>
      </c>
      <c r="O94" s="486"/>
      <c r="P94" s="486"/>
      <c r="Q94" s="486"/>
      <c r="R94" s="486"/>
      <c r="S94" s="486"/>
      <c r="T94" s="263"/>
      <c r="U94" s="263"/>
      <c r="V94" s="263"/>
      <c r="W94" s="267"/>
      <c r="X94" s="263"/>
      <c r="AZ94" s="269" t="s">
        <v>43</v>
      </c>
      <c r="BA94" s="269">
        <v>8</v>
      </c>
    </row>
    <row r="95" spans="1:53" ht="39.950000000000003" customHeight="1">
      <c r="E95" s="271"/>
      <c r="F95" s="272"/>
      <c r="G95" s="263"/>
      <c r="H95" s="263"/>
      <c r="I95" s="486"/>
      <c r="J95" s="486"/>
      <c r="K95" s="486"/>
      <c r="L95" s="486"/>
      <c r="M95" s="263"/>
      <c r="N95" s="486"/>
      <c r="O95" s="486"/>
      <c r="P95" s="486"/>
      <c r="Q95" s="486"/>
      <c r="R95" s="486"/>
      <c r="S95" s="486"/>
      <c r="T95" s="263"/>
      <c r="U95" s="263"/>
      <c r="V95" s="263"/>
      <c r="W95" s="267"/>
      <c r="X95" s="263"/>
    </row>
    <row r="96" spans="1:53" ht="39.950000000000003" customHeight="1">
      <c r="E96" s="264" t="s">
        <v>27</v>
      </c>
      <c r="F96" s="274" t="s">
        <v>20</v>
      </c>
      <c r="G96" s="263"/>
      <c r="H96" s="263"/>
      <c r="I96" s="263"/>
      <c r="J96" s="263"/>
      <c r="K96" s="263"/>
      <c r="L96" s="263"/>
      <c r="M96" s="263"/>
      <c r="N96" s="263"/>
      <c r="O96" s="263"/>
      <c r="P96" s="263"/>
      <c r="Q96" s="263"/>
      <c r="R96" s="263"/>
      <c r="S96" s="263"/>
      <c r="T96" s="263"/>
      <c r="U96" s="263"/>
      <c r="V96" s="263"/>
      <c r="W96" s="267"/>
      <c r="X96" s="263"/>
    </row>
    <row r="97" spans="1:53" ht="39.950000000000003" customHeight="1">
      <c r="E97" s="271"/>
      <c r="F97" s="272"/>
      <c r="G97" s="263"/>
      <c r="H97" s="263" t="s">
        <v>33</v>
      </c>
      <c r="I97" s="263"/>
      <c r="J97" s="263"/>
      <c r="K97" s="263"/>
      <c r="L97" s="263"/>
      <c r="M97" s="263"/>
      <c r="N97" s="263"/>
      <c r="O97" s="263"/>
      <c r="P97" s="263"/>
      <c r="Q97" s="263"/>
      <c r="R97" s="263"/>
      <c r="S97" s="263"/>
      <c r="T97" s="263"/>
      <c r="U97" s="263"/>
      <c r="V97" s="263"/>
      <c r="W97" s="267"/>
      <c r="X97" s="263"/>
    </row>
    <row r="98" spans="1:53" ht="39.950000000000003" customHeight="1">
      <c r="E98" s="271"/>
      <c r="F98" s="272"/>
      <c r="G98" s="263"/>
      <c r="H98" s="263"/>
      <c r="I98" s="263"/>
      <c r="J98" s="263"/>
      <c r="K98" s="263"/>
      <c r="L98" s="263"/>
      <c r="M98" s="263"/>
      <c r="N98" s="263"/>
      <c r="O98" s="263"/>
      <c r="P98" s="263"/>
      <c r="Q98" s="263"/>
      <c r="R98" s="263"/>
      <c r="S98" s="263"/>
      <c r="T98" s="263"/>
      <c r="U98" s="263"/>
      <c r="V98" s="263"/>
      <c r="W98" s="267"/>
      <c r="X98" s="263"/>
    </row>
    <row r="99" spans="1:53" ht="39.950000000000003" customHeight="1">
      <c r="E99" s="271"/>
      <c r="F99" s="272"/>
      <c r="G99" s="263"/>
      <c r="H99" s="263"/>
      <c r="I99" s="496" t="str">
        <f>I87</f>
        <v>DIVINSKÁ Natália</v>
      </c>
      <c r="J99" s="496"/>
      <c r="K99" s="496"/>
      <c r="L99" s="496"/>
      <c r="M99" s="263"/>
      <c r="N99" s="263"/>
      <c r="O99" s="263"/>
      <c r="P99" s="496" t="str">
        <f>I90</f>
        <v>HURBANOVÁ Isabella</v>
      </c>
      <c r="Q99" s="496"/>
      <c r="R99" s="496"/>
      <c r="S99" s="496"/>
      <c r="T99" s="496"/>
      <c r="U99" s="496"/>
      <c r="V99" s="263"/>
      <c r="W99" s="267"/>
      <c r="X99" s="263"/>
    </row>
    <row r="100" spans="1:53" ht="69.95" customHeight="1">
      <c r="E100" s="264"/>
      <c r="F100" s="265"/>
      <c r="G100" s="263"/>
      <c r="H100" s="275" t="s">
        <v>36</v>
      </c>
      <c r="I100" s="483"/>
      <c r="J100" s="494"/>
      <c r="K100" s="494"/>
      <c r="L100" s="495"/>
      <c r="M100" s="263"/>
      <c r="N100" s="263"/>
      <c r="O100" s="275" t="s">
        <v>36</v>
      </c>
      <c r="P100" s="486"/>
      <c r="Q100" s="486"/>
      <c r="R100" s="486"/>
      <c r="S100" s="486"/>
      <c r="T100" s="486"/>
      <c r="U100" s="486"/>
      <c r="V100" s="263"/>
      <c r="W100" s="267"/>
      <c r="X100" s="263"/>
    </row>
    <row r="101" spans="1:53" ht="69.95" customHeight="1">
      <c r="E101" s="264"/>
      <c r="F101" s="265"/>
      <c r="G101" s="263"/>
      <c r="H101" s="275" t="s">
        <v>37</v>
      </c>
      <c r="I101" s="486"/>
      <c r="J101" s="486"/>
      <c r="K101" s="486"/>
      <c r="L101" s="486"/>
      <c r="M101" s="263"/>
      <c r="N101" s="263"/>
      <c r="O101" s="275" t="s">
        <v>37</v>
      </c>
      <c r="P101" s="486"/>
      <c r="Q101" s="486"/>
      <c r="R101" s="486"/>
      <c r="S101" s="486"/>
      <c r="T101" s="486"/>
      <c r="U101" s="486"/>
      <c r="V101" s="263"/>
      <c r="W101" s="267"/>
      <c r="X101" s="263"/>
    </row>
    <row r="102" spans="1:53" ht="69.95" customHeight="1">
      <c r="E102" s="264"/>
      <c r="F102" s="265"/>
      <c r="G102" s="263"/>
      <c r="H102" s="275" t="s">
        <v>37</v>
      </c>
      <c r="I102" s="486"/>
      <c r="J102" s="486"/>
      <c r="K102" s="486"/>
      <c r="L102" s="486"/>
      <c r="M102" s="263"/>
      <c r="N102" s="263"/>
      <c r="O102" s="275" t="s">
        <v>37</v>
      </c>
      <c r="P102" s="486"/>
      <c r="Q102" s="486"/>
      <c r="R102" s="486"/>
      <c r="S102" s="486"/>
      <c r="T102" s="486"/>
      <c r="U102" s="486"/>
      <c r="V102" s="263"/>
      <c r="W102" s="267"/>
      <c r="X102" s="263"/>
    </row>
    <row r="103" spans="1:53" ht="39.950000000000003" customHeight="1" thickBot="1">
      <c r="E103" s="276"/>
      <c r="F103" s="277"/>
      <c r="G103" s="278"/>
      <c r="H103" s="278"/>
      <c r="I103" s="278"/>
      <c r="J103" s="278"/>
      <c r="K103" s="278"/>
      <c r="L103" s="278"/>
      <c r="M103" s="278"/>
      <c r="N103" s="278"/>
      <c r="O103" s="278"/>
      <c r="P103" s="278"/>
      <c r="Q103" s="278"/>
      <c r="R103" s="278"/>
      <c r="S103" s="278"/>
      <c r="T103" s="279"/>
      <c r="U103" s="279"/>
      <c r="V103" s="279"/>
      <c r="W103" s="280"/>
      <c r="X103" s="263"/>
    </row>
    <row r="104" spans="1:53" ht="62.25" thickBot="1"/>
    <row r="105" spans="1:53" ht="39.950000000000003" customHeight="1">
      <c r="A105" s="252" t="str">
        <f>CONCATENATE(F112,F114,F116)</f>
        <v>DF1-3</v>
      </c>
      <c r="E105" s="259" t="s">
        <v>70</v>
      </c>
      <c r="F105" s="260">
        <f>VLOOKUP(A105,'zoznam zapasov'!$A$6:$K$77,3,0)</f>
        <v>6</v>
      </c>
      <c r="G105" s="261"/>
      <c r="H105" s="322" t="s">
        <v>501</v>
      </c>
      <c r="I105" s="261"/>
      <c r="J105" s="261"/>
      <c r="K105" s="261"/>
      <c r="L105" s="261"/>
      <c r="M105" s="261"/>
      <c r="N105" s="261"/>
      <c r="O105" s="261"/>
      <c r="P105" s="261"/>
      <c r="Q105" s="261"/>
      <c r="R105" s="261"/>
      <c r="S105" s="261"/>
      <c r="T105" s="261"/>
      <c r="U105" s="261"/>
      <c r="V105" s="261" t="s">
        <v>30</v>
      </c>
      <c r="W105" s="262"/>
      <c r="X105" s="263"/>
      <c r="Z105" s="258" t="str">
        <f>CONCATENATE(V107,":",V110)</f>
        <v>3:0</v>
      </c>
      <c r="AE105" s="253" t="s">
        <v>11</v>
      </c>
      <c r="AV105" s="256" t="str">
        <f>CONCATENATE(AN107,",",AO107,",",AP107,",",AQ107,",",AR107,",",AS107,",",AT107)</f>
        <v>5,8,7,,,,</v>
      </c>
    </row>
    <row r="106" spans="1:53" ht="39.950000000000003" customHeight="1">
      <c r="E106" s="264"/>
      <c r="F106" s="265"/>
      <c r="G106" s="321" t="s">
        <v>500</v>
      </c>
      <c r="H106" s="323" t="s">
        <v>502</v>
      </c>
      <c r="I106" s="263"/>
      <c r="J106" s="263"/>
      <c r="K106" s="263"/>
      <c r="L106" s="263"/>
      <c r="M106" s="263"/>
      <c r="N106" s="266">
        <v>1</v>
      </c>
      <c r="O106" s="266">
        <v>2</v>
      </c>
      <c r="P106" s="266">
        <v>3</v>
      </c>
      <c r="Q106" s="266">
        <v>4</v>
      </c>
      <c r="R106" s="266">
        <v>5</v>
      </c>
      <c r="S106" s="266">
        <v>6</v>
      </c>
      <c r="T106" s="266">
        <v>7</v>
      </c>
      <c r="U106" s="263"/>
      <c r="V106" s="266" t="s">
        <v>31</v>
      </c>
      <c r="W106" s="267"/>
      <c r="X106" s="263"/>
      <c r="AE106" s="253" t="s">
        <v>68</v>
      </c>
      <c r="AV106" s="256" t="str">
        <f>CONCATENATE(AN108,",",AO108,",",AP108,",",AQ108,",",AR108,",",AS108,",",AT108)</f>
        <v>-5,-8,-7,,,,</v>
      </c>
    </row>
    <row r="107" spans="1:53" ht="39.950000000000003" customHeight="1">
      <c r="A107" s="252" t="str">
        <f>CONCATENATE(F112,VLOOKUP(F114,$AZ$7:$BA$14,2,0),LEFT(F116,1))</f>
        <v>D61</v>
      </c>
      <c r="E107" s="264" t="s">
        <v>29</v>
      </c>
      <c r="F107" s="265">
        <f>VLOOKUP(A105,'zoznam zapasov'!$A$6:$K$77,11,0)</f>
        <v>6</v>
      </c>
      <c r="G107" s="508"/>
      <c r="H107" s="495"/>
      <c r="I107" s="487" t="str">
        <f>IF(ISERROR(VLOOKUP(A107,vylosovanie!$A$8:$J$68,6,0))=TRUE,"",VLOOKUP(A107,vylosovanie!$A$8:$J$68,6,0))</f>
        <v>ŠVAJDLENKOVÁ Laura</v>
      </c>
      <c r="J107" s="487"/>
      <c r="K107" s="487"/>
      <c r="L107" s="487"/>
      <c r="M107" s="263"/>
      <c r="N107" s="489">
        <v>11</v>
      </c>
      <c r="O107" s="489">
        <v>11</v>
      </c>
      <c r="P107" s="489">
        <v>11</v>
      </c>
      <c r="Q107" s="489"/>
      <c r="R107" s="489"/>
      <c r="S107" s="489"/>
      <c r="T107" s="489"/>
      <c r="U107" s="263"/>
      <c r="V107" s="493">
        <f>IF(SUM(AF107:AL108)=0,"",SUM(AF107:AL107))</f>
        <v>3</v>
      </c>
      <c r="W107" s="267"/>
      <c r="X107" s="263"/>
      <c r="AE107" s="253" t="str">
        <f>VLOOKUP(I107,vylosovanie!$F$8:$L$190,7,0)</f>
        <v>D61</v>
      </c>
      <c r="AF107" s="268">
        <f>IF(N107&gt;N110,1,0)</f>
        <v>1</v>
      </c>
      <c r="AG107" s="268">
        <f t="shared" ref="AG107" si="60">IF(O107&gt;O110,1,0)</f>
        <v>1</v>
      </c>
      <c r="AH107" s="268">
        <f t="shared" ref="AH107" si="61">IF(P107&gt;P110,1,0)</f>
        <v>1</v>
      </c>
      <c r="AI107" s="268">
        <f t="shared" ref="AI107" si="62">IF(Q107&gt;Q110,1,0)</f>
        <v>0</v>
      </c>
      <c r="AJ107" s="268">
        <f t="shared" ref="AJ107" si="63">IF(R107&gt;R110,1,0)</f>
        <v>0</v>
      </c>
      <c r="AK107" s="268">
        <f t="shared" ref="AK107" si="64">IF(S107&gt;S110,1,0)</f>
        <v>0</v>
      </c>
      <c r="AL107" s="268">
        <f t="shared" ref="AL107" si="65">IF(T107&gt;T110,1,0)</f>
        <v>0</v>
      </c>
      <c r="AN107" s="268">
        <f t="shared" ref="AN107:AT107" si="66">IF(ISBLANK(N107)=TRUE,"",IF(AF107=1,N110,-N107))</f>
        <v>5</v>
      </c>
      <c r="AO107" s="268">
        <f t="shared" si="66"/>
        <v>8</v>
      </c>
      <c r="AP107" s="268">
        <f t="shared" si="66"/>
        <v>7</v>
      </c>
      <c r="AQ107" s="268" t="str">
        <f t="shared" si="66"/>
        <v/>
      </c>
      <c r="AR107" s="268" t="str">
        <f t="shared" si="66"/>
        <v/>
      </c>
      <c r="AS107" s="268" t="str">
        <f t="shared" si="66"/>
        <v/>
      </c>
      <c r="AT107" s="268" t="str">
        <f t="shared" si="66"/>
        <v/>
      </c>
      <c r="AZ107" s="269" t="s">
        <v>12</v>
      </c>
      <c r="BA107" s="269">
        <v>1</v>
      </c>
    </row>
    <row r="108" spans="1:53" ht="39.950000000000003" customHeight="1">
      <c r="E108" s="264"/>
      <c r="F108" s="265"/>
      <c r="G108" s="509"/>
      <c r="H108" s="495"/>
      <c r="I108" s="487"/>
      <c r="J108" s="487"/>
      <c r="K108" s="487"/>
      <c r="L108" s="487"/>
      <c r="M108" s="263"/>
      <c r="N108" s="490"/>
      <c r="O108" s="490"/>
      <c r="P108" s="490"/>
      <c r="Q108" s="490"/>
      <c r="R108" s="490"/>
      <c r="S108" s="490"/>
      <c r="T108" s="490"/>
      <c r="U108" s="263"/>
      <c r="V108" s="493"/>
      <c r="W108" s="267"/>
      <c r="X108" s="263"/>
      <c r="AE108" s="253" t="str">
        <f>VLOOKUP(I110,vylosovanie!$F$8:$L$190,7,0)</f>
        <v>D63</v>
      </c>
      <c r="AF108" s="268">
        <f>IF(N110&gt;N107,1,0)</f>
        <v>0</v>
      </c>
      <c r="AG108" s="268">
        <f t="shared" ref="AG108" si="67">IF(O110&gt;O107,1,0)</f>
        <v>0</v>
      </c>
      <c r="AH108" s="268">
        <f t="shared" ref="AH108" si="68">IF(P110&gt;P107,1,0)</f>
        <v>0</v>
      </c>
      <c r="AI108" s="268">
        <f t="shared" ref="AI108" si="69">IF(Q110&gt;Q107,1,0)</f>
        <v>0</v>
      </c>
      <c r="AJ108" s="268">
        <f t="shared" ref="AJ108" si="70">IF(R110&gt;R107,1,0)</f>
        <v>0</v>
      </c>
      <c r="AK108" s="268">
        <f t="shared" ref="AK108" si="71">IF(S110&gt;S107,1,0)</f>
        <v>0</v>
      </c>
      <c r="AL108" s="268">
        <f t="shared" ref="AL108" si="72">IF(T110&gt;T107,1,0)</f>
        <v>0</v>
      </c>
      <c r="AN108" s="268">
        <f t="shared" ref="AN108:AT108" si="73">IF(ISBLANK(N110)=TRUE,"",IF(AF108=1,N107,-N110))</f>
        <v>-5</v>
      </c>
      <c r="AO108" s="268">
        <f t="shared" si="73"/>
        <v>-8</v>
      </c>
      <c r="AP108" s="268">
        <f t="shared" si="73"/>
        <v>-7</v>
      </c>
      <c r="AQ108" s="268" t="str">
        <f t="shared" si="73"/>
        <v/>
      </c>
      <c r="AR108" s="268" t="str">
        <f t="shared" si="73"/>
        <v/>
      </c>
      <c r="AS108" s="268" t="str">
        <f t="shared" si="73"/>
        <v/>
      </c>
      <c r="AT108" s="268" t="str">
        <f t="shared" si="73"/>
        <v/>
      </c>
      <c r="AZ108" s="269" t="s">
        <v>18</v>
      </c>
      <c r="BA108" s="269">
        <v>2</v>
      </c>
    </row>
    <row r="109" spans="1:53" ht="39.950000000000003" customHeight="1">
      <c r="E109" s="264" t="s">
        <v>35</v>
      </c>
      <c r="F109" s="265" t="str">
        <f>VLOOKUP(A105,'zoznam zapasov'!$A$6:$K$77,9,0)</f>
        <v>So</v>
      </c>
      <c r="G109" s="263"/>
      <c r="H109" s="263"/>
      <c r="I109" s="263"/>
      <c r="J109" s="263"/>
      <c r="K109" s="263"/>
      <c r="L109" s="263"/>
      <c r="M109" s="263"/>
      <c r="N109" s="263"/>
      <c r="O109" s="263"/>
      <c r="P109" s="263"/>
      <c r="Q109" s="263"/>
      <c r="R109" s="263"/>
      <c r="S109" s="263"/>
      <c r="T109" s="263"/>
      <c r="U109" s="263"/>
      <c r="V109" s="263"/>
      <c r="W109" s="267"/>
      <c r="X109" s="263"/>
      <c r="AZ109" s="269" t="s">
        <v>38</v>
      </c>
      <c r="BA109" s="269">
        <v>3</v>
      </c>
    </row>
    <row r="110" spans="1:53" ht="39.950000000000003" customHeight="1">
      <c r="A110" s="252" t="str">
        <f>CONCATENATE(F112,VLOOKUP(F114,$AZ$7:$BA$14,2,0),RIGHT(F116,1))</f>
        <v>D63</v>
      </c>
      <c r="E110" s="264" t="s">
        <v>28</v>
      </c>
      <c r="F110" s="270" t="str">
        <f>VLOOKUP(A105,'zoznam zapasov'!$A$6:$K$77,10,0)</f>
        <v>9.30</v>
      </c>
      <c r="G110" s="508"/>
      <c r="H110" s="486"/>
      <c r="I110" s="487" t="str">
        <f>IF(ISERROR(VLOOKUP(A110,vylosovanie!$A$8:$J$68,6,0))=TRUE,"",VLOOKUP(A110,vylosovanie!$A$8:$J$68,6,0))</f>
        <v>LACENOVÁ Renáta</v>
      </c>
      <c r="J110" s="487"/>
      <c r="K110" s="487"/>
      <c r="L110" s="487"/>
      <c r="M110" s="263"/>
      <c r="N110" s="489">
        <v>5</v>
      </c>
      <c r="O110" s="489">
        <v>8</v>
      </c>
      <c r="P110" s="489">
        <v>7</v>
      </c>
      <c r="Q110" s="489"/>
      <c r="R110" s="489"/>
      <c r="S110" s="489"/>
      <c r="T110" s="489"/>
      <c r="U110" s="263"/>
      <c r="V110" s="493">
        <f>IF(SUM(AF107:AL108)=0,"",SUM(AF108:AL108))</f>
        <v>0</v>
      </c>
      <c r="W110" s="267"/>
      <c r="X110" s="263"/>
      <c r="AZ110" s="269" t="s">
        <v>39</v>
      </c>
      <c r="BA110" s="269">
        <v>4</v>
      </c>
    </row>
    <row r="111" spans="1:53" ht="39.950000000000003" customHeight="1">
      <c r="E111" s="271"/>
      <c r="F111" s="272"/>
      <c r="G111" s="509"/>
      <c r="H111" s="486"/>
      <c r="I111" s="487"/>
      <c r="J111" s="487"/>
      <c r="K111" s="487"/>
      <c r="L111" s="487"/>
      <c r="M111" s="263"/>
      <c r="N111" s="490"/>
      <c r="O111" s="490"/>
      <c r="P111" s="490"/>
      <c r="Q111" s="490"/>
      <c r="R111" s="490"/>
      <c r="S111" s="490"/>
      <c r="T111" s="490"/>
      <c r="U111" s="263"/>
      <c r="V111" s="493"/>
      <c r="W111" s="267"/>
      <c r="X111" s="263"/>
      <c r="AZ111" s="269" t="s">
        <v>40</v>
      </c>
      <c r="BA111" s="269">
        <v>5</v>
      </c>
    </row>
    <row r="112" spans="1:53" ht="39.950000000000003" customHeight="1">
      <c r="E112" s="264" t="s">
        <v>66</v>
      </c>
      <c r="F112" s="265" t="s">
        <v>39</v>
      </c>
      <c r="G112" s="263"/>
      <c r="H112" s="263"/>
      <c r="I112" s="263"/>
      <c r="J112" s="263"/>
      <c r="K112" s="263"/>
      <c r="L112" s="263"/>
      <c r="M112" s="263"/>
      <c r="N112" s="263"/>
      <c r="O112" s="263"/>
      <c r="P112" s="263"/>
      <c r="Q112" s="263"/>
      <c r="R112" s="263"/>
      <c r="S112" s="263"/>
      <c r="T112" s="263"/>
      <c r="U112" s="263"/>
      <c r="V112" s="263"/>
      <c r="W112" s="267"/>
      <c r="X112" s="263"/>
      <c r="AZ112" s="269" t="s">
        <v>41</v>
      </c>
      <c r="BA112" s="269">
        <v>6</v>
      </c>
    </row>
    <row r="113" spans="1:53" ht="39.950000000000003" customHeight="1">
      <c r="E113" s="271"/>
      <c r="F113" s="272"/>
      <c r="G113" s="263"/>
      <c r="H113" s="263"/>
      <c r="I113" s="263" t="s">
        <v>32</v>
      </c>
      <c r="J113" s="263"/>
      <c r="K113" s="263"/>
      <c r="L113" s="263"/>
      <c r="M113" s="263"/>
      <c r="N113" s="273"/>
      <c r="O113" s="266"/>
      <c r="P113" s="266" t="s">
        <v>34</v>
      </c>
      <c r="Q113" s="266"/>
      <c r="R113" s="266"/>
      <c r="S113" s="266"/>
      <c r="T113" s="266"/>
      <c r="U113" s="263"/>
      <c r="V113" s="263"/>
      <c r="W113" s="267"/>
      <c r="X113" s="263"/>
      <c r="AZ113" s="269" t="s">
        <v>42</v>
      </c>
      <c r="BA113" s="269">
        <v>7</v>
      </c>
    </row>
    <row r="114" spans="1:53" ht="39.950000000000003" customHeight="1">
      <c r="E114" s="264" t="s">
        <v>26</v>
      </c>
      <c r="F114" s="265" t="s">
        <v>41</v>
      </c>
      <c r="G114" s="263"/>
      <c r="H114" s="263"/>
      <c r="I114" s="486"/>
      <c r="J114" s="486"/>
      <c r="K114" s="486"/>
      <c r="L114" s="486"/>
      <c r="M114" s="263"/>
      <c r="N114" s="486" t="str">
        <f>IF(V107&gt;V110,I107,IF(V110&gt;V107,I110,""))</f>
        <v>ŠVAJDLENKOVÁ Laura</v>
      </c>
      <c r="O114" s="486"/>
      <c r="P114" s="486"/>
      <c r="Q114" s="486"/>
      <c r="R114" s="486"/>
      <c r="S114" s="486"/>
      <c r="T114" s="263"/>
      <c r="U114" s="263"/>
      <c r="V114" s="263"/>
      <c r="W114" s="267"/>
      <c r="X114" s="263"/>
      <c r="AZ114" s="269" t="s">
        <v>43</v>
      </c>
      <c r="BA114" s="269">
        <v>8</v>
      </c>
    </row>
    <row r="115" spans="1:53" ht="39.950000000000003" customHeight="1">
      <c r="E115" s="271"/>
      <c r="F115" s="272"/>
      <c r="G115" s="263"/>
      <c r="H115" s="263"/>
      <c r="I115" s="486"/>
      <c r="J115" s="486"/>
      <c r="K115" s="486"/>
      <c r="L115" s="486"/>
      <c r="M115" s="263"/>
      <c r="N115" s="486"/>
      <c r="O115" s="486"/>
      <c r="P115" s="486"/>
      <c r="Q115" s="486"/>
      <c r="R115" s="486"/>
      <c r="S115" s="486"/>
      <c r="T115" s="263"/>
      <c r="U115" s="263"/>
      <c r="V115" s="263"/>
      <c r="W115" s="267"/>
      <c r="X115" s="263"/>
    </row>
    <row r="116" spans="1:53" ht="39.950000000000003" customHeight="1">
      <c r="E116" s="264" t="s">
        <v>27</v>
      </c>
      <c r="F116" s="274" t="s">
        <v>20</v>
      </c>
      <c r="G116" s="263"/>
      <c r="H116" s="263"/>
      <c r="I116" s="263"/>
      <c r="J116" s="263"/>
      <c r="K116" s="263"/>
      <c r="L116" s="263"/>
      <c r="M116" s="263"/>
      <c r="N116" s="263"/>
      <c r="O116" s="263"/>
      <c r="P116" s="263"/>
      <c r="Q116" s="263"/>
      <c r="R116" s="263"/>
      <c r="S116" s="263"/>
      <c r="T116" s="263"/>
      <c r="U116" s="263"/>
      <c r="V116" s="263"/>
      <c r="W116" s="267"/>
      <c r="X116" s="263"/>
    </row>
    <row r="117" spans="1:53" ht="39.950000000000003" customHeight="1">
      <c r="E117" s="271"/>
      <c r="F117" s="272"/>
      <c r="G117" s="263"/>
      <c r="H117" s="263" t="s">
        <v>33</v>
      </c>
      <c r="I117" s="263"/>
      <c r="J117" s="263"/>
      <c r="K117" s="263"/>
      <c r="L117" s="263"/>
      <c r="M117" s="263"/>
      <c r="N117" s="263"/>
      <c r="O117" s="263"/>
      <c r="P117" s="263"/>
      <c r="Q117" s="263"/>
      <c r="R117" s="263"/>
      <c r="S117" s="263"/>
      <c r="T117" s="263"/>
      <c r="U117" s="263"/>
      <c r="V117" s="263"/>
      <c r="W117" s="267"/>
      <c r="X117" s="263"/>
    </row>
    <row r="118" spans="1:53" ht="39.950000000000003" customHeight="1">
      <c r="E118" s="271"/>
      <c r="F118" s="272"/>
      <c r="G118" s="263"/>
      <c r="H118" s="263"/>
      <c r="I118" s="263"/>
      <c r="J118" s="263"/>
      <c r="K118" s="263"/>
      <c r="L118" s="263"/>
      <c r="M118" s="263"/>
      <c r="N118" s="263"/>
      <c r="O118" s="263"/>
      <c r="P118" s="263"/>
      <c r="Q118" s="263"/>
      <c r="R118" s="263"/>
      <c r="S118" s="263"/>
      <c r="T118" s="263"/>
      <c r="U118" s="263"/>
      <c r="V118" s="263"/>
      <c r="W118" s="267"/>
      <c r="X118" s="263"/>
    </row>
    <row r="119" spans="1:53" ht="39.950000000000003" customHeight="1">
      <c r="E119" s="271"/>
      <c r="F119" s="272"/>
      <c r="G119" s="263"/>
      <c r="H119" s="263"/>
      <c r="I119" s="496" t="str">
        <f>I107</f>
        <v>ŠVAJDLENKOVÁ Laura</v>
      </c>
      <c r="J119" s="496"/>
      <c r="K119" s="496"/>
      <c r="L119" s="496"/>
      <c r="M119" s="263"/>
      <c r="N119" s="263"/>
      <c r="O119" s="263"/>
      <c r="P119" s="496" t="str">
        <f>I110</f>
        <v>LACENOVÁ Renáta</v>
      </c>
      <c r="Q119" s="496"/>
      <c r="R119" s="496"/>
      <c r="S119" s="496"/>
      <c r="T119" s="496"/>
      <c r="U119" s="496"/>
      <c r="V119" s="263"/>
      <c r="W119" s="267"/>
      <c r="X119" s="263"/>
    </row>
    <row r="120" spans="1:53" ht="69.95" customHeight="1">
      <c r="E120" s="264"/>
      <c r="F120" s="265"/>
      <c r="G120" s="263"/>
      <c r="H120" s="275" t="s">
        <v>36</v>
      </c>
      <c r="I120" s="483"/>
      <c r="J120" s="494"/>
      <c r="K120" s="494"/>
      <c r="L120" s="495"/>
      <c r="M120" s="263"/>
      <c r="N120" s="263"/>
      <c r="O120" s="275" t="s">
        <v>36</v>
      </c>
      <c r="P120" s="486"/>
      <c r="Q120" s="486"/>
      <c r="R120" s="486"/>
      <c r="S120" s="486"/>
      <c r="T120" s="486"/>
      <c r="U120" s="486"/>
      <c r="V120" s="263"/>
      <c r="W120" s="267"/>
      <c r="X120" s="263"/>
    </row>
    <row r="121" spans="1:53" ht="69.95" customHeight="1">
      <c r="E121" s="264"/>
      <c r="F121" s="265"/>
      <c r="G121" s="263"/>
      <c r="H121" s="275" t="s">
        <v>37</v>
      </c>
      <c r="I121" s="486"/>
      <c r="J121" s="486"/>
      <c r="K121" s="486"/>
      <c r="L121" s="486"/>
      <c r="M121" s="263"/>
      <c r="N121" s="263"/>
      <c r="O121" s="275" t="s">
        <v>37</v>
      </c>
      <c r="P121" s="486"/>
      <c r="Q121" s="486"/>
      <c r="R121" s="486"/>
      <c r="S121" s="486"/>
      <c r="T121" s="486"/>
      <c r="U121" s="486"/>
      <c r="V121" s="263"/>
      <c r="W121" s="267"/>
      <c r="X121" s="263"/>
    </row>
    <row r="122" spans="1:53" ht="69.95" customHeight="1">
      <c r="E122" s="264"/>
      <c r="F122" s="265"/>
      <c r="G122" s="263"/>
      <c r="H122" s="275" t="s">
        <v>37</v>
      </c>
      <c r="I122" s="486"/>
      <c r="J122" s="486"/>
      <c r="K122" s="486"/>
      <c r="L122" s="486"/>
      <c r="M122" s="263"/>
      <c r="N122" s="263"/>
      <c r="O122" s="275" t="s">
        <v>37</v>
      </c>
      <c r="P122" s="486"/>
      <c r="Q122" s="486"/>
      <c r="R122" s="486"/>
      <c r="S122" s="486"/>
      <c r="T122" s="486"/>
      <c r="U122" s="486"/>
      <c r="V122" s="263"/>
      <c r="W122" s="267"/>
      <c r="X122" s="263"/>
    </row>
    <row r="123" spans="1:53" ht="39.950000000000003" customHeight="1" thickBot="1">
      <c r="E123" s="276"/>
      <c r="F123" s="277"/>
      <c r="G123" s="278"/>
      <c r="H123" s="278"/>
      <c r="I123" s="278"/>
      <c r="J123" s="278"/>
      <c r="K123" s="278"/>
      <c r="L123" s="278"/>
      <c r="M123" s="278"/>
      <c r="N123" s="278"/>
      <c r="O123" s="278"/>
      <c r="P123" s="278"/>
      <c r="Q123" s="278"/>
      <c r="R123" s="278"/>
      <c r="S123" s="278"/>
      <c r="T123" s="279"/>
      <c r="U123" s="279"/>
      <c r="V123" s="279"/>
      <c r="W123" s="280"/>
      <c r="X123" s="263"/>
    </row>
    <row r="124" spans="1:53" ht="62.25" thickBot="1"/>
    <row r="125" spans="1:53" ht="39.950000000000003" customHeight="1">
      <c r="A125" s="252" t="str">
        <f>CONCATENATE(F132,F134,F136)</f>
        <v>DG1-3</v>
      </c>
      <c r="E125" s="259" t="s">
        <v>70</v>
      </c>
      <c r="F125" s="260">
        <f>VLOOKUP(A125,'zoznam zapasov'!$A$6:$K$77,3,0)</f>
        <v>7</v>
      </c>
      <c r="G125" s="261"/>
      <c r="H125" s="322" t="s">
        <v>501</v>
      </c>
      <c r="I125" s="261"/>
      <c r="J125" s="261"/>
      <c r="K125" s="261"/>
      <c r="L125" s="261"/>
      <c r="M125" s="261"/>
      <c r="N125" s="261"/>
      <c r="O125" s="261"/>
      <c r="P125" s="261"/>
      <c r="Q125" s="261"/>
      <c r="R125" s="261"/>
      <c r="S125" s="261"/>
      <c r="T125" s="261"/>
      <c r="U125" s="261"/>
      <c r="V125" s="261" t="s">
        <v>30</v>
      </c>
      <c r="W125" s="262"/>
      <c r="X125" s="263"/>
      <c r="Z125" s="258" t="str">
        <f>CONCATENATE(V127,":",V130)</f>
        <v>3:0</v>
      </c>
      <c r="AE125" s="253" t="s">
        <v>11</v>
      </c>
      <c r="AV125" s="256" t="str">
        <f>CONCATENATE(AN127,",",AO127,",",AP127,",",AQ127,",",AR127,",",AS127,",",AT127)</f>
        <v>11,9,9,,,,</v>
      </c>
    </row>
    <row r="126" spans="1:53" ht="39.950000000000003" customHeight="1">
      <c r="E126" s="264"/>
      <c r="F126" s="265"/>
      <c r="G126" s="321" t="s">
        <v>500</v>
      </c>
      <c r="H126" s="323" t="s">
        <v>502</v>
      </c>
      <c r="I126" s="263"/>
      <c r="J126" s="263"/>
      <c r="K126" s="263"/>
      <c r="L126" s="263"/>
      <c r="M126" s="263"/>
      <c r="N126" s="266">
        <v>1</v>
      </c>
      <c r="O126" s="266">
        <v>2</v>
      </c>
      <c r="P126" s="266">
        <v>3</v>
      </c>
      <c r="Q126" s="266">
        <v>4</v>
      </c>
      <c r="R126" s="266">
        <v>5</v>
      </c>
      <c r="S126" s="266">
        <v>6</v>
      </c>
      <c r="T126" s="266">
        <v>7</v>
      </c>
      <c r="U126" s="263"/>
      <c r="V126" s="266" t="s">
        <v>31</v>
      </c>
      <c r="W126" s="267"/>
      <c r="X126" s="263"/>
      <c r="AE126" s="253" t="s">
        <v>68</v>
      </c>
      <c r="AV126" s="256" t="str">
        <f>CONCATENATE(AN128,",",AO128,",",AP128,",",AQ128,",",AR128,",",AS128,",",AT128)</f>
        <v>-11,-9,-9,,,,</v>
      </c>
    </row>
    <row r="127" spans="1:53" ht="39.950000000000003" customHeight="1">
      <c r="A127" s="252" t="str">
        <f>CONCATENATE(F132,VLOOKUP(F134,$AZ$7:$BA$14,2,0),LEFT(F136,1))</f>
        <v>D71</v>
      </c>
      <c r="E127" s="264" t="s">
        <v>29</v>
      </c>
      <c r="F127" s="265">
        <f>VLOOKUP(A125,'zoznam zapasov'!$A$6:$K$77,11,0)</f>
        <v>7</v>
      </c>
      <c r="G127" s="508"/>
      <c r="H127" s="495"/>
      <c r="I127" s="487" t="str">
        <f>IF(ISERROR(VLOOKUP(A127,vylosovanie!$A$8:$J$68,6,0))=TRUE,"",VLOOKUP(A127,vylosovanie!$A$8:$J$68,6,0))</f>
        <v>MAJERSKÁ Alena</v>
      </c>
      <c r="J127" s="487"/>
      <c r="K127" s="487"/>
      <c r="L127" s="487"/>
      <c r="M127" s="263"/>
      <c r="N127" s="489">
        <v>13</v>
      </c>
      <c r="O127" s="489">
        <v>11</v>
      </c>
      <c r="P127" s="489">
        <v>11</v>
      </c>
      <c r="Q127" s="489"/>
      <c r="R127" s="489"/>
      <c r="S127" s="489"/>
      <c r="T127" s="489"/>
      <c r="U127" s="263"/>
      <c r="V127" s="493">
        <f>IF(SUM(AF127:AL128)=0,"",SUM(AF127:AL127))</f>
        <v>3</v>
      </c>
      <c r="W127" s="267"/>
      <c r="X127" s="263"/>
      <c r="AE127" s="253" t="str">
        <f>VLOOKUP(I127,vylosovanie!$F$8:$L$190,7,0)</f>
        <v>D71</v>
      </c>
      <c r="AF127" s="268">
        <f>IF(N127&gt;N130,1,0)</f>
        <v>1</v>
      </c>
      <c r="AG127" s="268">
        <f t="shared" ref="AG127" si="74">IF(O127&gt;O130,1,0)</f>
        <v>1</v>
      </c>
      <c r="AH127" s="268">
        <f t="shared" ref="AH127" si="75">IF(P127&gt;P130,1,0)</f>
        <v>1</v>
      </c>
      <c r="AI127" s="268">
        <f t="shared" ref="AI127" si="76">IF(Q127&gt;Q130,1,0)</f>
        <v>0</v>
      </c>
      <c r="AJ127" s="268">
        <f t="shared" ref="AJ127" si="77">IF(R127&gt;R130,1,0)</f>
        <v>0</v>
      </c>
      <c r="AK127" s="268">
        <f t="shared" ref="AK127" si="78">IF(S127&gt;S130,1,0)</f>
        <v>0</v>
      </c>
      <c r="AL127" s="268">
        <f t="shared" ref="AL127" si="79">IF(T127&gt;T130,1,0)</f>
        <v>0</v>
      </c>
      <c r="AN127" s="268">
        <f t="shared" ref="AN127:AT127" si="80">IF(ISBLANK(N127)=TRUE,"",IF(AF127=1,N130,-N127))</f>
        <v>11</v>
      </c>
      <c r="AO127" s="268">
        <f t="shared" si="80"/>
        <v>9</v>
      </c>
      <c r="AP127" s="268">
        <f t="shared" si="80"/>
        <v>9</v>
      </c>
      <c r="AQ127" s="268" t="str">
        <f t="shared" si="80"/>
        <v/>
      </c>
      <c r="AR127" s="268" t="str">
        <f t="shared" si="80"/>
        <v/>
      </c>
      <c r="AS127" s="268" t="str">
        <f t="shared" si="80"/>
        <v/>
      </c>
      <c r="AT127" s="268" t="str">
        <f t="shared" si="80"/>
        <v/>
      </c>
      <c r="AZ127" s="269" t="s">
        <v>12</v>
      </c>
      <c r="BA127" s="269">
        <v>1</v>
      </c>
    </row>
    <row r="128" spans="1:53" ht="39.950000000000003" customHeight="1">
      <c r="E128" s="264"/>
      <c r="F128" s="265"/>
      <c r="G128" s="509"/>
      <c r="H128" s="495"/>
      <c r="I128" s="487"/>
      <c r="J128" s="487"/>
      <c r="K128" s="487"/>
      <c r="L128" s="487"/>
      <c r="M128" s="263"/>
      <c r="N128" s="490"/>
      <c r="O128" s="490"/>
      <c r="P128" s="490"/>
      <c r="Q128" s="490"/>
      <c r="R128" s="490"/>
      <c r="S128" s="490"/>
      <c r="T128" s="490"/>
      <c r="U128" s="263"/>
      <c r="V128" s="493"/>
      <c r="W128" s="267"/>
      <c r="X128" s="263"/>
      <c r="AE128" s="253" t="str">
        <f>VLOOKUP(I130,vylosovanie!$F$8:$L$190,7,0)</f>
        <v>D73</v>
      </c>
      <c r="AF128" s="268">
        <f>IF(N130&gt;N127,1,0)</f>
        <v>0</v>
      </c>
      <c r="AG128" s="268">
        <f t="shared" ref="AG128" si="81">IF(O130&gt;O127,1,0)</f>
        <v>0</v>
      </c>
      <c r="AH128" s="268">
        <f t="shared" ref="AH128" si="82">IF(P130&gt;P127,1,0)</f>
        <v>0</v>
      </c>
      <c r="AI128" s="268">
        <f t="shared" ref="AI128" si="83">IF(Q130&gt;Q127,1,0)</f>
        <v>0</v>
      </c>
      <c r="AJ128" s="268">
        <f t="shared" ref="AJ128" si="84">IF(R130&gt;R127,1,0)</f>
        <v>0</v>
      </c>
      <c r="AK128" s="268">
        <f t="shared" ref="AK128" si="85">IF(S130&gt;S127,1,0)</f>
        <v>0</v>
      </c>
      <c r="AL128" s="268">
        <f t="shared" ref="AL128" si="86">IF(T130&gt;T127,1,0)</f>
        <v>0</v>
      </c>
      <c r="AN128" s="268">
        <f t="shared" ref="AN128:AT128" si="87">IF(ISBLANK(N130)=TRUE,"",IF(AF128=1,N127,-N130))</f>
        <v>-11</v>
      </c>
      <c r="AO128" s="268">
        <f t="shared" si="87"/>
        <v>-9</v>
      </c>
      <c r="AP128" s="268">
        <f t="shared" si="87"/>
        <v>-9</v>
      </c>
      <c r="AQ128" s="268" t="str">
        <f t="shared" si="87"/>
        <v/>
      </c>
      <c r="AR128" s="268" t="str">
        <f t="shared" si="87"/>
        <v/>
      </c>
      <c r="AS128" s="268" t="str">
        <f t="shared" si="87"/>
        <v/>
      </c>
      <c r="AT128" s="268" t="str">
        <f t="shared" si="87"/>
        <v/>
      </c>
      <c r="AZ128" s="269" t="s">
        <v>18</v>
      </c>
      <c r="BA128" s="269">
        <v>2</v>
      </c>
    </row>
    <row r="129" spans="1:53" ht="39.950000000000003" customHeight="1">
      <c r="E129" s="264" t="s">
        <v>35</v>
      </c>
      <c r="F129" s="265" t="str">
        <f>VLOOKUP(A125,'zoznam zapasov'!$A$6:$K$77,9,0)</f>
        <v>So</v>
      </c>
      <c r="G129" s="263"/>
      <c r="H129" s="263"/>
      <c r="I129" s="263"/>
      <c r="J129" s="263"/>
      <c r="K129" s="263"/>
      <c r="L129" s="263"/>
      <c r="M129" s="263"/>
      <c r="N129" s="263"/>
      <c r="O129" s="263"/>
      <c r="P129" s="263"/>
      <c r="Q129" s="263"/>
      <c r="R129" s="263"/>
      <c r="S129" s="263"/>
      <c r="T129" s="263"/>
      <c r="U129" s="263"/>
      <c r="V129" s="263"/>
      <c r="W129" s="267"/>
      <c r="X129" s="263"/>
      <c r="AZ129" s="269" t="s">
        <v>38</v>
      </c>
      <c r="BA129" s="269">
        <v>3</v>
      </c>
    </row>
    <row r="130" spans="1:53" ht="39.950000000000003" customHeight="1">
      <c r="A130" s="252" t="str">
        <f>CONCATENATE(F132,VLOOKUP(F134,$AZ$7:$BA$14,2,0),RIGHT(F136,1))</f>
        <v>D73</v>
      </c>
      <c r="E130" s="264" t="s">
        <v>28</v>
      </c>
      <c r="F130" s="270" t="str">
        <f>VLOOKUP(A125,'zoznam zapasov'!$A$6:$K$77,10,0)</f>
        <v>9.30</v>
      </c>
      <c r="G130" s="508"/>
      <c r="H130" s="486"/>
      <c r="I130" s="487" t="str">
        <f>IF(ISERROR(VLOOKUP(A130,vylosovanie!$A$8:$J$68,6,0))=TRUE,"",VLOOKUP(A130,vylosovanie!$A$8:$J$68,6,0))</f>
        <v>GORFOLOVÁ Viktória</v>
      </c>
      <c r="J130" s="487"/>
      <c r="K130" s="487"/>
      <c r="L130" s="487"/>
      <c r="M130" s="263"/>
      <c r="N130" s="489">
        <v>11</v>
      </c>
      <c r="O130" s="489">
        <v>9</v>
      </c>
      <c r="P130" s="489">
        <v>9</v>
      </c>
      <c r="Q130" s="489"/>
      <c r="R130" s="489"/>
      <c r="S130" s="489"/>
      <c r="T130" s="489"/>
      <c r="U130" s="263"/>
      <c r="V130" s="493">
        <f>IF(SUM(AF127:AL128)=0,"",SUM(AF128:AL128))</f>
        <v>0</v>
      </c>
      <c r="W130" s="267"/>
      <c r="X130" s="263"/>
      <c r="AZ130" s="269" t="s">
        <v>39</v>
      </c>
      <c r="BA130" s="269">
        <v>4</v>
      </c>
    </row>
    <row r="131" spans="1:53" ht="39.950000000000003" customHeight="1">
      <c r="E131" s="271"/>
      <c r="F131" s="272"/>
      <c r="G131" s="509"/>
      <c r="H131" s="486"/>
      <c r="I131" s="487"/>
      <c r="J131" s="487"/>
      <c r="K131" s="487"/>
      <c r="L131" s="487"/>
      <c r="M131" s="263"/>
      <c r="N131" s="490"/>
      <c r="O131" s="490"/>
      <c r="P131" s="490"/>
      <c r="Q131" s="490"/>
      <c r="R131" s="490"/>
      <c r="S131" s="490"/>
      <c r="T131" s="490"/>
      <c r="U131" s="263"/>
      <c r="V131" s="493"/>
      <c r="W131" s="267"/>
      <c r="X131" s="263"/>
      <c r="AZ131" s="269" t="s">
        <v>40</v>
      </c>
      <c r="BA131" s="269">
        <v>5</v>
      </c>
    </row>
    <row r="132" spans="1:53" ht="39.950000000000003" customHeight="1">
      <c r="E132" s="264" t="s">
        <v>66</v>
      </c>
      <c r="F132" s="265" t="s">
        <v>39</v>
      </c>
      <c r="G132" s="263"/>
      <c r="H132" s="263"/>
      <c r="I132" s="263"/>
      <c r="J132" s="263"/>
      <c r="K132" s="263"/>
      <c r="L132" s="263"/>
      <c r="M132" s="263"/>
      <c r="N132" s="263"/>
      <c r="O132" s="263"/>
      <c r="P132" s="263"/>
      <c r="Q132" s="263"/>
      <c r="R132" s="263"/>
      <c r="S132" s="263"/>
      <c r="T132" s="263"/>
      <c r="U132" s="263"/>
      <c r="V132" s="263"/>
      <c r="W132" s="267"/>
      <c r="X132" s="263"/>
      <c r="AZ132" s="269" t="s">
        <v>41</v>
      </c>
      <c r="BA132" s="269">
        <v>6</v>
      </c>
    </row>
    <row r="133" spans="1:53" ht="39.950000000000003" customHeight="1">
      <c r="E133" s="271"/>
      <c r="F133" s="272"/>
      <c r="G133" s="263"/>
      <c r="H133" s="263"/>
      <c r="I133" s="263" t="s">
        <v>32</v>
      </c>
      <c r="J133" s="263"/>
      <c r="K133" s="263"/>
      <c r="L133" s="263"/>
      <c r="M133" s="263"/>
      <c r="N133" s="273"/>
      <c r="O133" s="266"/>
      <c r="P133" s="266" t="s">
        <v>34</v>
      </c>
      <c r="Q133" s="266"/>
      <c r="R133" s="266"/>
      <c r="S133" s="266"/>
      <c r="T133" s="266"/>
      <c r="U133" s="263"/>
      <c r="V133" s="263"/>
      <c r="W133" s="267"/>
      <c r="X133" s="263"/>
      <c r="AZ133" s="269" t="s">
        <v>42</v>
      </c>
      <c r="BA133" s="269">
        <v>7</v>
      </c>
    </row>
    <row r="134" spans="1:53" ht="39.950000000000003" customHeight="1">
      <c r="E134" s="264" t="s">
        <v>26</v>
      </c>
      <c r="F134" s="265" t="s">
        <v>42</v>
      </c>
      <c r="G134" s="263"/>
      <c r="H134" s="263"/>
      <c r="I134" s="486"/>
      <c r="J134" s="486"/>
      <c r="K134" s="486"/>
      <c r="L134" s="486"/>
      <c r="M134" s="263"/>
      <c r="N134" s="486" t="str">
        <f>IF(V127&gt;V130,I127,IF(V130&gt;V127,I130,""))</f>
        <v>MAJERSKÁ Alena</v>
      </c>
      <c r="O134" s="486"/>
      <c r="P134" s="486"/>
      <c r="Q134" s="486"/>
      <c r="R134" s="486"/>
      <c r="S134" s="486"/>
      <c r="T134" s="263"/>
      <c r="U134" s="263"/>
      <c r="V134" s="263"/>
      <c r="W134" s="267"/>
      <c r="X134" s="263"/>
      <c r="AZ134" s="269" t="s">
        <v>43</v>
      </c>
      <c r="BA134" s="269">
        <v>8</v>
      </c>
    </row>
    <row r="135" spans="1:53" ht="39.950000000000003" customHeight="1">
      <c r="E135" s="271"/>
      <c r="F135" s="272"/>
      <c r="G135" s="263"/>
      <c r="H135" s="263"/>
      <c r="I135" s="486"/>
      <c r="J135" s="486"/>
      <c r="K135" s="486"/>
      <c r="L135" s="486"/>
      <c r="M135" s="263"/>
      <c r="N135" s="486"/>
      <c r="O135" s="486"/>
      <c r="P135" s="486"/>
      <c r="Q135" s="486"/>
      <c r="R135" s="486"/>
      <c r="S135" s="486"/>
      <c r="T135" s="263"/>
      <c r="U135" s="263"/>
      <c r="V135" s="263"/>
      <c r="W135" s="267"/>
      <c r="X135" s="263"/>
    </row>
    <row r="136" spans="1:53" ht="39.950000000000003" customHeight="1">
      <c r="E136" s="264" t="s">
        <v>27</v>
      </c>
      <c r="F136" s="274" t="s">
        <v>20</v>
      </c>
      <c r="G136" s="263"/>
      <c r="H136" s="263"/>
      <c r="I136" s="263"/>
      <c r="J136" s="263"/>
      <c r="K136" s="263"/>
      <c r="L136" s="263"/>
      <c r="M136" s="263"/>
      <c r="N136" s="263"/>
      <c r="O136" s="263"/>
      <c r="P136" s="263"/>
      <c r="Q136" s="263"/>
      <c r="R136" s="263"/>
      <c r="S136" s="263"/>
      <c r="T136" s="263"/>
      <c r="U136" s="263"/>
      <c r="V136" s="263"/>
      <c r="W136" s="267"/>
      <c r="X136" s="263"/>
    </row>
    <row r="137" spans="1:53" ht="39.950000000000003" customHeight="1">
      <c r="E137" s="271"/>
      <c r="F137" s="272"/>
      <c r="G137" s="263"/>
      <c r="H137" s="263" t="s">
        <v>33</v>
      </c>
      <c r="I137" s="263"/>
      <c r="J137" s="263"/>
      <c r="K137" s="263"/>
      <c r="L137" s="263"/>
      <c r="M137" s="263"/>
      <c r="N137" s="263"/>
      <c r="O137" s="263"/>
      <c r="P137" s="263"/>
      <c r="Q137" s="263"/>
      <c r="R137" s="263"/>
      <c r="S137" s="263"/>
      <c r="T137" s="263"/>
      <c r="U137" s="263"/>
      <c r="V137" s="263"/>
      <c r="W137" s="267"/>
      <c r="X137" s="263"/>
    </row>
    <row r="138" spans="1:53" ht="39.950000000000003" customHeight="1">
      <c r="E138" s="271"/>
      <c r="F138" s="272"/>
      <c r="G138" s="263"/>
      <c r="H138" s="263"/>
      <c r="I138" s="263"/>
      <c r="J138" s="263"/>
      <c r="K138" s="263"/>
      <c r="L138" s="263"/>
      <c r="M138" s="263"/>
      <c r="N138" s="263"/>
      <c r="O138" s="263"/>
      <c r="P138" s="263"/>
      <c r="Q138" s="263"/>
      <c r="R138" s="263"/>
      <c r="S138" s="263"/>
      <c r="T138" s="263"/>
      <c r="U138" s="263"/>
      <c r="V138" s="263"/>
      <c r="W138" s="267"/>
      <c r="X138" s="263"/>
    </row>
    <row r="139" spans="1:53" ht="39.950000000000003" customHeight="1">
      <c r="E139" s="271"/>
      <c r="F139" s="272"/>
      <c r="G139" s="263"/>
      <c r="H139" s="263"/>
      <c r="I139" s="496" t="str">
        <f>I127</f>
        <v>MAJERSKÁ Alena</v>
      </c>
      <c r="J139" s="496"/>
      <c r="K139" s="496"/>
      <c r="L139" s="496"/>
      <c r="M139" s="263"/>
      <c r="N139" s="263"/>
      <c r="O139" s="263"/>
      <c r="P139" s="496" t="str">
        <f>I130</f>
        <v>GORFOLOVÁ Viktória</v>
      </c>
      <c r="Q139" s="496"/>
      <c r="R139" s="496"/>
      <c r="S139" s="496"/>
      <c r="T139" s="496"/>
      <c r="U139" s="496"/>
      <c r="V139" s="263"/>
      <c r="W139" s="267"/>
      <c r="X139" s="263"/>
    </row>
    <row r="140" spans="1:53" ht="69.95" customHeight="1">
      <c r="E140" s="264"/>
      <c r="F140" s="265"/>
      <c r="G140" s="263"/>
      <c r="H140" s="275" t="s">
        <v>36</v>
      </c>
      <c r="I140" s="483"/>
      <c r="J140" s="494"/>
      <c r="K140" s="494"/>
      <c r="L140" s="495"/>
      <c r="M140" s="263"/>
      <c r="N140" s="263"/>
      <c r="O140" s="275" t="s">
        <v>36</v>
      </c>
      <c r="P140" s="486"/>
      <c r="Q140" s="486"/>
      <c r="R140" s="486"/>
      <c r="S140" s="486"/>
      <c r="T140" s="486"/>
      <c r="U140" s="486"/>
      <c r="V140" s="263"/>
      <c r="W140" s="267"/>
      <c r="X140" s="263"/>
    </row>
    <row r="141" spans="1:53" ht="69.95" customHeight="1">
      <c r="E141" s="264"/>
      <c r="F141" s="265"/>
      <c r="G141" s="263"/>
      <c r="H141" s="275" t="s">
        <v>37</v>
      </c>
      <c r="I141" s="486"/>
      <c r="J141" s="486"/>
      <c r="K141" s="486"/>
      <c r="L141" s="486"/>
      <c r="M141" s="263"/>
      <c r="N141" s="263"/>
      <c r="O141" s="275" t="s">
        <v>37</v>
      </c>
      <c r="P141" s="486"/>
      <c r="Q141" s="486"/>
      <c r="R141" s="486"/>
      <c r="S141" s="486"/>
      <c r="T141" s="486"/>
      <c r="U141" s="486"/>
      <c r="V141" s="263"/>
      <c r="W141" s="267"/>
      <c r="X141" s="263"/>
    </row>
    <row r="142" spans="1:53" ht="69.95" customHeight="1">
      <c r="E142" s="264"/>
      <c r="F142" s="265"/>
      <c r="G142" s="263"/>
      <c r="H142" s="275" t="s">
        <v>37</v>
      </c>
      <c r="I142" s="486"/>
      <c r="J142" s="486"/>
      <c r="K142" s="486"/>
      <c r="L142" s="486"/>
      <c r="M142" s="263"/>
      <c r="N142" s="263"/>
      <c r="O142" s="275" t="s">
        <v>37</v>
      </c>
      <c r="P142" s="486"/>
      <c r="Q142" s="486"/>
      <c r="R142" s="486"/>
      <c r="S142" s="486"/>
      <c r="T142" s="486"/>
      <c r="U142" s="486"/>
      <c r="V142" s="263"/>
      <c r="W142" s="267"/>
      <c r="X142" s="263"/>
    </row>
    <row r="143" spans="1:53" ht="39.950000000000003" customHeight="1" thickBot="1">
      <c r="E143" s="276"/>
      <c r="F143" s="277"/>
      <c r="G143" s="278"/>
      <c r="H143" s="278"/>
      <c r="I143" s="278"/>
      <c r="J143" s="278"/>
      <c r="K143" s="278"/>
      <c r="L143" s="278"/>
      <c r="M143" s="278"/>
      <c r="N143" s="278"/>
      <c r="O143" s="278"/>
      <c r="P143" s="278"/>
      <c r="Q143" s="278"/>
      <c r="R143" s="278"/>
      <c r="S143" s="278"/>
      <c r="T143" s="279"/>
      <c r="U143" s="279"/>
      <c r="V143" s="279"/>
      <c r="W143" s="280"/>
      <c r="X143" s="263"/>
    </row>
    <row r="144" spans="1:53" ht="62.25" thickBot="1"/>
    <row r="145" spans="1:53" ht="39.950000000000003" customHeight="1">
      <c r="A145" s="252" t="str">
        <f>CONCATENATE(F152,F154,F156)</f>
        <v>DH1-3</v>
      </c>
      <c r="E145" s="259" t="s">
        <v>70</v>
      </c>
      <c r="F145" s="260">
        <f>VLOOKUP(A145,'zoznam zapasov'!$A$6:$K$77,3,0)</f>
        <v>8</v>
      </c>
      <c r="G145" s="261"/>
      <c r="H145" s="322" t="s">
        <v>501</v>
      </c>
      <c r="I145" s="261"/>
      <c r="J145" s="261"/>
      <c r="K145" s="261"/>
      <c r="L145" s="261"/>
      <c r="M145" s="261"/>
      <c r="N145" s="261"/>
      <c r="O145" s="261"/>
      <c r="P145" s="261"/>
      <c r="Q145" s="261"/>
      <c r="R145" s="261"/>
      <c r="S145" s="261"/>
      <c r="T145" s="261"/>
      <c r="U145" s="261"/>
      <c r="V145" s="261" t="s">
        <v>30</v>
      </c>
      <c r="W145" s="262"/>
      <c r="X145" s="263"/>
      <c r="Z145" s="258" t="str">
        <f>CONCATENATE(V147,":",V150)</f>
        <v>3:0</v>
      </c>
      <c r="AE145" s="253" t="s">
        <v>11</v>
      </c>
      <c r="AV145" s="256" t="str">
        <f>CONCATENATE(AN147,",",AO147,",",AP147,",",AQ147,",",AR147,",",AS147,",",AT147)</f>
        <v>5,8,4,,,,</v>
      </c>
    </row>
    <row r="146" spans="1:53" ht="39.950000000000003" customHeight="1">
      <c r="E146" s="264"/>
      <c r="F146" s="265"/>
      <c r="G146" s="321" t="s">
        <v>500</v>
      </c>
      <c r="H146" s="323" t="s">
        <v>502</v>
      </c>
      <c r="I146" s="263"/>
      <c r="J146" s="263"/>
      <c r="K146" s="263"/>
      <c r="L146" s="263"/>
      <c r="M146" s="263"/>
      <c r="N146" s="266">
        <v>1</v>
      </c>
      <c r="O146" s="266">
        <v>2</v>
      </c>
      <c r="P146" s="266">
        <v>3</v>
      </c>
      <c r="Q146" s="266">
        <v>4</v>
      </c>
      <c r="R146" s="266">
        <v>5</v>
      </c>
      <c r="S146" s="266">
        <v>6</v>
      </c>
      <c r="T146" s="266">
        <v>7</v>
      </c>
      <c r="U146" s="263"/>
      <c r="V146" s="266" t="s">
        <v>31</v>
      </c>
      <c r="W146" s="267"/>
      <c r="X146" s="263"/>
      <c r="AE146" s="253" t="s">
        <v>68</v>
      </c>
      <c r="AV146" s="256" t="str">
        <f>CONCATENATE(AN148,",",AO148,",",AP148,",",AQ148,",",AR148,",",AS148,",",AT148)</f>
        <v>-5,-8,-4,,,,</v>
      </c>
    </row>
    <row r="147" spans="1:53" ht="39.950000000000003" customHeight="1">
      <c r="A147" s="252" t="str">
        <f>CONCATENATE(F152,VLOOKUP(F154,$AZ$7:$BA$14,2,0),LEFT(F156,1))</f>
        <v>D81</v>
      </c>
      <c r="E147" s="264" t="s">
        <v>29</v>
      </c>
      <c r="F147" s="265">
        <f>VLOOKUP(A145,'zoznam zapasov'!$A$6:$K$77,11,0)</f>
        <v>8</v>
      </c>
      <c r="G147" s="508"/>
      <c r="H147" s="495"/>
      <c r="I147" s="487" t="str">
        <f>IF(ISERROR(VLOOKUP(A147,vylosovanie!$A$8:$J$68,6,0))=TRUE,"",VLOOKUP(A147,vylosovanie!$A$8:$J$68,6,0))</f>
        <v>TEREZKOVÁ Jana</v>
      </c>
      <c r="J147" s="487"/>
      <c r="K147" s="487"/>
      <c r="L147" s="487"/>
      <c r="M147" s="263"/>
      <c r="N147" s="489">
        <v>11</v>
      </c>
      <c r="O147" s="489">
        <v>11</v>
      </c>
      <c r="P147" s="489">
        <v>11</v>
      </c>
      <c r="Q147" s="489"/>
      <c r="R147" s="489"/>
      <c r="S147" s="489"/>
      <c r="T147" s="489"/>
      <c r="U147" s="263"/>
      <c r="V147" s="493">
        <f>IF(SUM(AF147:AL148)=0,"",SUM(AF147:AL147))</f>
        <v>3</v>
      </c>
      <c r="W147" s="267"/>
      <c r="X147" s="263"/>
      <c r="AE147" s="253" t="str">
        <f>VLOOKUP(I147,vylosovanie!$F$8:$L$190,7,0)</f>
        <v>D81</v>
      </c>
      <c r="AF147" s="268">
        <f>IF(N147&gt;N150,1,0)</f>
        <v>1</v>
      </c>
      <c r="AG147" s="268">
        <f t="shared" ref="AG147" si="88">IF(O147&gt;O150,1,0)</f>
        <v>1</v>
      </c>
      <c r="AH147" s="268">
        <f t="shared" ref="AH147" si="89">IF(P147&gt;P150,1,0)</f>
        <v>1</v>
      </c>
      <c r="AI147" s="268">
        <f t="shared" ref="AI147" si="90">IF(Q147&gt;Q150,1,0)</f>
        <v>0</v>
      </c>
      <c r="AJ147" s="268">
        <f t="shared" ref="AJ147" si="91">IF(R147&gt;R150,1,0)</f>
        <v>0</v>
      </c>
      <c r="AK147" s="268">
        <f t="shared" ref="AK147" si="92">IF(S147&gt;S150,1,0)</f>
        <v>0</v>
      </c>
      <c r="AL147" s="268">
        <f t="shared" ref="AL147" si="93">IF(T147&gt;T150,1,0)</f>
        <v>0</v>
      </c>
      <c r="AN147" s="268">
        <f t="shared" ref="AN147:AT147" si="94">IF(ISBLANK(N147)=TRUE,"",IF(AF147=1,N150,-N147))</f>
        <v>5</v>
      </c>
      <c r="AO147" s="268">
        <f t="shared" si="94"/>
        <v>8</v>
      </c>
      <c r="AP147" s="268">
        <f t="shared" si="94"/>
        <v>4</v>
      </c>
      <c r="AQ147" s="268" t="str">
        <f t="shared" si="94"/>
        <v/>
      </c>
      <c r="AR147" s="268" t="str">
        <f t="shared" si="94"/>
        <v/>
      </c>
      <c r="AS147" s="268" t="str">
        <f t="shared" si="94"/>
        <v/>
      </c>
      <c r="AT147" s="268" t="str">
        <f t="shared" si="94"/>
        <v/>
      </c>
      <c r="AZ147" s="269" t="s">
        <v>12</v>
      </c>
      <c r="BA147" s="269">
        <v>1</v>
      </c>
    </row>
    <row r="148" spans="1:53" ht="39.950000000000003" customHeight="1">
      <c r="E148" s="264"/>
      <c r="F148" s="265"/>
      <c r="G148" s="509"/>
      <c r="H148" s="495"/>
      <c r="I148" s="487"/>
      <c r="J148" s="487"/>
      <c r="K148" s="487"/>
      <c r="L148" s="487"/>
      <c r="M148" s="263"/>
      <c r="N148" s="490"/>
      <c r="O148" s="490"/>
      <c r="P148" s="490"/>
      <c r="Q148" s="490"/>
      <c r="R148" s="490"/>
      <c r="S148" s="490"/>
      <c r="T148" s="490"/>
      <c r="U148" s="263"/>
      <c r="V148" s="493"/>
      <c r="W148" s="267"/>
      <c r="X148" s="263"/>
      <c r="AE148" s="253" t="str">
        <f>VLOOKUP(I150,vylosovanie!$F$8:$L$190,7,0)</f>
        <v>D83</v>
      </c>
      <c r="AF148" s="268">
        <f>IF(N150&gt;N147,1,0)</f>
        <v>0</v>
      </c>
      <c r="AG148" s="268">
        <f t="shared" ref="AG148" si="95">IF(O150&gt;O147,1,0)</f>
        <v>0</v>
      </c>
      <c r="AH148" s="268">
        <f t="shared" ref="AH148" si="96">IF(P150&gt;P147,1,0)</f>
        <v>0</v>
      </c>
      <c r="AI148" s="268">
        <f t="shared" ref="AI148" si="97">IF(Q150&gt;Q147,1,0)</f>
        <v>0</v>
      </c>
      <c r="AJ148" s="268">
        <f t="shared" ref="AJ148" si="98">IF(R150&gt;R147,1,0)</f>
        <v>0</v>
      </c>
      <c r="AK148" s="268">
        <f t="shared" ref="AK148" si="99">IF(S150&gt;S147,1,0)</f>
        <v>0</v>
      </c>
      <c r="AL148" s="268">
        <f t="shared" ref="AL148" si="100">IF(T150&gt;T147,1,0)</f>
        <v>0</v>
      </c>
      <c r="AN148" s="268">
        <f t="shared" ref="AN148:AT148" si="101">IF(ISBLANK(N150)=TRUE,"",IF(AF148=1,N147,-N150))</f>
        <v>-5</v>
      </c>
      <c r="AO148" s="268">
        <f t="shared" si="101"/>
        <v>-8</v>
      </c>
      <c r="AP148" s="268">
        <f t="shared" si="101"/>
        <v>-4</v>
      </c>
      <c r="AQ148" s="268" t="str">
        <f t="shared" si="101"/>
        <v/>
      </c>
      <c r="AR148" s="268" t="str">
        <f t="shared" si="101"/>
        <v/>
      </c>
      <c r="AS148" s="268" t="str">
        <f t="shared" si="101"/>
        <v/>
      </c>
      <c r="AT148" s="268" t="str">
        <f t="shared" si="101"/>
        <v/>
      </c>
      <c r="AZ148" s="269" t="s">
        <v>18</v>
      </c>
      <c r="BA148" s="269">
        <v>2</v>
      </c>
    </row>
    <row r="149" spans="1:53" ht="39.950000000000003" customHeight="1">
      <c r="E149" s="264" t="s">
        <v>35</v>
      </c>
      <c r="F149" s="265" t="str">
        <f>VLOOKUP(A145,'zoznam zapasov'!$A$6:$K$77,9,0)</f>
        <v>So</v>
      </c>
      <c r="G149" s="263"/>
      <c r="H149" s="263"/>
      <c r="I149" s="263"/>
      <c r="J149" s="263"/>
      <c r="K149" s="263"/>
      <c r="L149" s="263"/>
      <c r="M149" s="263"/>
      <c r="N149" s="263"/>
      <c r="O149" s="263"/>
      <c r="P149" s="263"/>
      <c r="Q149" s="263"/>
      <c r="R149" s="263"/>
      <c r="S149" s="263"/>
      <c r="T149" s="263"/>
      <c r="U149" s="263"/>
      <c r="V149" s="263"/>
      <c r="W149" s="267"/>
      <c r="X149" s="263"/>
      <c r="AZ149" s="269" t="s">
        <v>38</v>
      </c>
      <c r="BA149" s="269">
        <v>3</v>
      </c>
    </row>
    <row r="150" spans="1:53" ht="39.950000000000003" customHeight="1">
      <c r="A150" s="252" t="str">
        <f>CONCATENATE(F152,VLOOKUP(F154,$AZ$7:$BA$14,2,0),RIGHT(F156,1))</f>
        <v>D83</v>
      </c>
      <c r="E150" s="264" t="s">
        <v>28</v>
      </c>
      <c r="F150" s="270" t="str">
        <f>VLOOKUP(A145,'zoznam zapasov'!$A$6:$K$77,10,0)</f>
        <v>9.30</v>
      </c>
      <c r="G150" s="508"/>
      <c r="H150" s="486"/>
      <c r="I150" s="487" t="str">
        <f>IF(ISERROR(VLOOKUP(A150,vylosovanie!$A$8:$J$68,6,0))=TRUE,"",VLOOKUP(A150,vylosovanie!$A$8:$J$68,6,0))</f>
        <v>PISARČIKOVÁ Frederika</v>
      </c>
      <c r="J150" s="487"/>
      <c r="K150" s="487"/>
      <c r="L150" s="487"/>
      <c r="M150" s="263"/>
      <c r="N150" s="489">
        <v>5</v>
      </c>
      <c r="O150" s="489">
        <v>8</v>
      </c>
      <c r="P150" s="489">
        <v>4</v>
      </c>
      <c r="Q150" s="489"/>
      <c r="R150" s="489"/>
      <c r="S150" s="489"/>
      <c r="T150" s="489"/>
      <c r="U150" s="263"/>
      <c r="V150" s="493">
        <f>IF(SUM(AF147:AL148)=0,"",SUM(AF148:AL148))</f>
        <v>0</v>
      </c>
      <c r="W150" s="267"/>
      <c r="X150" s="263"/>
      <c r="AZ150" s="269" t="s">
        <v>39</v>
      </c>
      <c r="BA150" s="269">
        <v>4</v>
      </c>
    </row>
    <row r="151" spans="1:53" ht="39.950000000000003" customHeight="1">
      <c r="E151" s="271"/>
      <c r="F151" s="272"/>
      <c r="G151" s="509"/>
      <c r="H151" s="486"/>
      <c r="I151" s="487"/>
      <c r="J151" s="487"/>
      <c r="K151" s="487"/>
      <c r="L151" s="487"/>
      <c r="M151" s="263"/>
      <c r="N151" s="490"/>
      <c r="O151" s="490"/>
      <c r="P151" s="490"/>
      <c r="Q151" s="490"/>
      <c r="R151" s="490"/>
      <c r="S151" s="490"/>
      <c r="T151" s="490"/>
      <c r="U151" s="263"/>
      <c r="V151" s="493"/>
      <c r="W151" s="267"/>
      <c r="X151" s="263"/>
      <c r="AZ151" s="269" t="s">
        <v>40</v>
      </c>
      <c r="BA151" s="269">
        <v>5</v>
      </c>
    </row>
    <row r="152" spans="1:53" ht="39.950000000000003" customHeight="1">
      <c r="E152" s="264" t="s">
        <v>66</v>
      </c>
      <c r="F152" s="265" t="s">
        <v>39</v>
      </c>
      <c r="G152" s="263"/>
      <c r="H152" s="263"/>
      <c r="I152" s="263"/>
      <c r="J152" s="263"/>
      <c r="K152" s="263"/>
      <c r="L152" s="263"/>
      <c r="M152" s="263"/>
      <c r="N152" s="263"/>
      <c r="O152" s="263"/>
      <c r="P152" s="263"/>
      <c r="Q152" s="263"/>
      <c r="R152" s="263"/>
      <c r="S152" s="263"/>
      <c r="T152" s="263"/>
      <c r="U152" s="263"/>
      <c r="V152" s="263"/>
      <c r="W152" s="267"/>
      <c r="X152" s="263"/>
      <c r="AZ152" s="269" t="s">
        <v>41</v>
      </c>
      <c r="BA152" s="269">
        <v>6</v>
      </c>
    </row>
    <row r="153" spans="1:53" ht="39.950000000000003" customHeight="1">
      <c r="E153" s="271"/>
      <c r="F153" s="272"/>
      <c r="G153" s="263"/>
      <c r="H153" s="263"/>
      <c r="I153" s="263" t="s">
        <v>32</v>
      </c>
      <c r="J153" s="263"/>
      <c r="K153" s="263"/>
      <c r="L153" s="263"/>
      <c r="M153" s="263"/>
      <c r="N153" s="273"/>
      <c r="O153" s="266"/>
      <c r="P153" s="266" t="s">
        <v>34</v>
      </c>
      <c r="Q153" s="266"/>
      <c r="R153" s="266"/>
      <c r="S153" s="266"/>
      <c r="T153" s="266"/>
      <c r="U153" s="263"/>
      <c r="V153" s="263"/>
      <c r="W153" s="267"/>
      <c r="X153" s="263"/>
      <c r="AZ153" s="269" t="s">
        <v>42</v>
      </c>
      <c r="BA153" s="269">
        <v>7</v>
      </c>
    </row>
    <row r="154" spans="1:53" ht="39.950000000000003" customHeight="1">
      <c r="E154" s="264" t="s">
        <v>26</v>
      </c>
      <c r="F154" s="265" t="s">
        <v>43</v>
      </c>
      <c r="G154" s="263"/>
      <c r="H154" s="263"/>
      <c r="I154" s="486"/>
      <c r="J154" s="486"/>
      <c r="K154" s="486"/>
      <c r="L154" s="486"/>
      <c r="M154" s="263"/>
      <c r="N154" s="486" t="str">
        <f>IF(V147&gt;V150,I147,IF(V150&gt;V147,I150,""))</f>
        <v>TEREZKOVÁ Jana</v>
      </c>
      <c r="O154" s="486"/>
      <c r="P154" s="486"/>
      <c r="Q154" s="486"/>
      <c r="R154" s="486"/>
      <c r="S154" s="486"/>
      <c r="T154" s="263"/>
      <c r="U154" s="263"/>
      <c r="V154" s="263"/>
      <c r="W154" s="267"/>
      <c r="X154" s="263"/>
      <c r="AZ154" s="269" t="s">
        <v>43</v>
      </c>
      <c r="BA154" s="269">
        <v>8</v>
      </c>
    </row>
    <row r="155" spans="1:53" ht="39.950000000000003" customHeight="1">
      <c r="E155" s="271"/>
      <c r="F155" s="272"/>
      <c r="G155" s="263"/>
      <c r="H155" s="263"/>
      <c r="I155" s="486"/>
      <c r="J155" s="486"/>
      <c r="K155" s="486"/>
      <c r="L155" s="486"/>
      <c r="M155" s="263"/>
      <c r="N155" s="486"/>
      <c r="O155" s="486"/>
      <c r="P155" s="486"/>
      <c r="Q155" s="486"/>
      <c r="R155" s="486"/>
      <c r="S155" s="486"/>
      <c r="T155" s="263"/>
      <c r="U155" s="263"/>
      <c r="V155" s="263"/>
      <c r="W155" s="267"/>
      <c r="X155" s="263"/>
    </row>
    <row r="156" spans="1:53" ht="39.950000000000003" customHeight="1">
      <c r="E156" s="264" t="s">
        <v>27</v>
      </c>
      <c r="F156" s="274" t="s">
        <v>20</v>
      </c>
      <c r="G156" s="263"/>
      <c r="H156" s="263"/>
      <c r="I156" s="263"/>
      <c r="J156" s="263"/>
      <c r="K156" s="263"/>
      <c r="L156" s="263"/>
      <c r="M156" s="263"/>
      <c r="N156" s="263"/>
      <c r="O156" s="263"/>
      <c r="P156" s="263"/>
      <c r="Q156" s="263"/>
      <c r="R156" s="263"/>
      <c r="S156" s="263"/>
      <c r="T156" s="263"/>
      <c r="U156" s="263"/>
      <c r="V156" s="263"/>
      <c r="W156" s="267"/>
      <c r="X156" s="263"/>
    </row>
    <row r="157" spans="1:53" ht="39.950000000000003" customHeight="1">
      <c r="E157" s="271"/>
      <c r="F157" s="272"/>
      <c r="G157" s="263"/>
      <c r="H157" s="263" t="s">
        <v>33</v>
      </c>
      <c r="I157" s="263"/>
      <c r="J157" s="263"/>
      <c r="K157" s="263"/>
      <c r="L157" s="263"/>
      <c r="M157" s="263"/>
      <c r="N157" s="263"/>
      <c r="O157" s="263"/>
      <c r="P157" s="263"/>
      <c r="Q157" s="263"/>
      <c r="R157" s="263"/>
      <c r="S157" s="263"/>
      <c r="T157" s="263"/>
      <c r="U157" s="263"/>
      <c r="V157" s="263"/>
      <c r="W157" s="267"/>
      <c r="X157" s="263"/>
    </row>
    <row r="158" spans="1:53" ht="39.950000000000003" customHeight="1">
      <c r="E158" s="271"/>
      <c r="F158" s="272"/>
      <c r="G158" s="263"/>
      <c r="H158" s="263"/>
      <c r="I158" s="263"/>
      <c r="J158" s="263"/>
      <c r="K158" s="263"/>
      <c r="L158" s="263"/>
      <c r="M158" s="263"/>
      <c r="N158" s="263"/>
      <c r="O158" s="263"/>
      <c r="P158" s="263"/>
      <c r="Q158" s="263"/>
      <c r="R158" s="263"/>
      <c r="S158" s="263"/>
      <c r="T158" s="263"/>
      <c r="U158" s="263"/>
      <c r="V158" s="263"/>
      <c r="W158" s="267"/>
      <c r="X158" s="263"/>
    </row>
    <row r="159" spans="1:53" ht="39.950000000000003" customHeight="1">
      <c r="E159" s="271"/>
      <c r="F159" s="272"/>
      <c r="G159" s="263"/>
      <c r="H159" s="263"/>
      <c r="I159" s="496" t="str">
        <f>I147</f>
        <v>TEREZKOVÁ Jana</v>
      </c>
      <c r="J159" s="496"/>
      <c r="K159" s="496"/>
      <c r="L159" s="496"/>
      <c r="M159" s="263"/>
      <c r="N159" s="263"/>
      <c r="O159" s="263"/>
      <c r="P159" s="496" t="str">
        <f>I150</f>
        <v>PISARČIKOVÁ Frederika</v>
      </c>
      <c r="Q159" s="496"/>
      <c r="R159" s="496"/>
      <c r="S159" s="496"/>
      <c r="T159" s="497"/>
      <c r="U159" s="497"/>
      <c r="V159" s="263"/>
      <c r="W159" s="267"/>
      <c r="X159" s="263"/>
    </row>
    <row r="160" spans="1:53" ht="69.95" customHeight="1">
      <c r="E160" s="264"/>
      <c r="F160" s="265"/>
      <c r="G160" s="263"/>
      <c r="H160" s="275" t="s">
        <v>36</v>
      </c>
      <c r="I160" s="483"/>
      <c r="J160" s="494"/>
      <c r="K160" s="494"/>
      <c r="L160" s="495"/>
      <c r="M160" s="263"/>
      <c r="N160" s="263"/>
      <c r="O160" s="275" t="s">
        <v>36</v>
      </c>
      <c r="P160" s="486"/>
      <c r="Q160" s="486"/>
      <c r="R160" s="486"/>
      <c r="S160" s="486"/>
      <c r="T160" s="486"/>
      <c r="U160" s="486"/>
      <c r="V160" s="263"/>
      <c r="W160" s="267"/>
      <c r="X160" s="263"/>
    </row>
    <row r="161" spans="1:53" ht="69.95" customHeight="1">
      <c r="E161" s="264"/>
      <c r="F161" s="265"/>
      <c r="G161" s="263"/>
      <c r="H161" s="275" t="s">
        <v>37</v>
      </c>
      <c r="I161" s="486"/>
      <c r="J161" s="486"/>
      <c r="K161" s="486"/>
      <c r="L161" s="486"/>
      <c r="M161" s="263"/>
      <c r="N161" s="263"/>
      <c r="O161" s="275" t="s">
        <v>37</v>
      </c>
      <c r="P161" s="486"/>
      <c r="Q161" s="486"/>
      <c r="R161" s="486"/>
      <c r="S161" s="486"/>
      <c r="T161" s="486"/>
      <c r="U161" s="486"/>
      <c r="V161" s="263"/>
      <c r="W161" s="267"/>
      <c r="X161" s="263"/>
    </row>
    <row r="162" spans="1:53" ht="69.95" customHeight="1">
      <c r="E162" s="264"/>
      <c r="F162" s="265"/>
      <c r="G162" s="263"/>
      <c r="H162" s="275" t="s">
        <v>37</v>
      </c>
      <c r="I162" s="486"/>
      <c r="J162" s="486"/>
      <c r="K162" s="486"/>
      <c r="L162" s="486"/>
      <c r="M162" s="263"/>
      <c r="N162" s="263"/>
      <c r="O162" s="275" t="s">
        <v>37</v>
      </c>
      <c r="P162" s="486"/>
      <c r="Q162" s="486"/>
      <c r="R162" s="486"/>
      <c r="S162" s="486"/>
      <c r="T162" s="486"/>
      <c r="U162" s="486"/>
      <c r="V162" s="263"/>
      <c r="W162" s="267"/>
      <c r="X162" s="263"/>
    </row>
    <row r="163" spans="1:53" ht="39.950000000000003" customHeight="1" thickBot="1">
      <c r="E163" s="276"/>
      <c r="F163" s="277"/>
      <c r="G163" s="278"/>
      <c r="H163" s="278"/>
      <c r="I163" s="278"/>
      <c r="J163" s="278"/>
      <c r="K163" s="278"/>
      <c r="L163" s="278"/>
      <c r="M163" s="278"/>
      <c r="N163" s="278"/>
      <c r="O163" s="278"/>
      <c r="P163" s="278"/>
      <c r="Q163" s="278"/>
      <c r="R163" s="278"/>
      <c r="S163" s="278"/>
      <c r="T163" s="279"/>
      <c r="U163" s="279"/>
      <c r="V163" s="279"/>
      <c r="W163" s="280"/>
      <c r="X163" s="263"/>
    </row>
    <row r="164" spans="1:53" ht="62.25" thickBot="1"/>
    <row r="165" spans="1:53" ht="39.950000000000003" customHeight="1">
      <c r="A165" s="252" t="str">
        <f>CONCATENATE(F172,F174,F176)</f>
        <v>CHA1-3</v>
      </c>
      <c r="E165" s="259" t="s">
        <v>70</v>
      </c>
      <c r="F165" s="260">
        <f>VLOOKUP(A165,'zoznam zapasov'!$A$6:$K$77,3,0)</f>
        <v>9</v>
      </c>
      <c r="G165" s="261"/>
      <c r="H165" s="322" t="s">
        <v>501</v>
      </c>
      <c r="I165" s="261"/>
      <c r="J165" s="261"/>
      <c r="K165" s="261"/>
      <c r="L165" s="261"/>
      <c r="M165" s="261"/>
      <c r="N165" s="261"/>
      <c r="O165" s="261"/>
      <c r="P165" s="261"/>
      <c r="Q165" s="261"/>
      <c r="R165" s="261"/>
      <c r="S165" s="261"/>
      <c r="T165" s="261"/>
      <c r="U165" s="261"/>
      <c r="V165" s="261" t="s">
        <v>30</v>
      </c>
      <c r="W165" s="262"/>
      <c r="X165" s="263"/>
      <c r="Z165" s="258" t="str">
        <f>CONCATENATE(V167,":",V170)</f>
        <v>3:0</v>
      </c>
      <c r="AE165" s="253" t="s">
        <v>11</v>
      </c>
      <c r="AV165" s="256" t="str">
        <f>CONCATENATE(AN167,",",AO167,",",AP167,",",AQ167,",",AR167,",",AS167,",",AT167)</f>
        <v>11,10,7,,,,</v>
      </c>
    </row>
    <row r="166" spans="1:53" ht="39.950000000000003" customHeight="1">
      <c r="E166" s="264"/>
      <c r="F166" s="265"/>
      <c r="G166" s="321" t="s">
        <v>500</v>
      </c>
      <c r="H166" s="323" t="s">
        <v>502</v>
      </c>
      <c r="I166" s="263"/>
      <c r="J166" s="263"/>
      <c r="K166" s="263"/>
      <c r="L166" s="263"/>
      <c r="M166" s="263"/>
      <c r="N166" s="266">
        <v>1</v>
      </c>
      <c r="O166" s="266">
        <v>2</v>
      </c>
      <c r="P166" s="266">
        <v>3</v>
      </c>
      <c r="Q166" s="266">
        <v>4</v>
      </c>
      <c r="R166" s="266">
        <v>5</v>
      </c>
      <c r="S166" s="266">
        <v>6</v>
      </c>
      <c r="T166" s="266">
        <v>7</v>
      </c>
      <c r="U166" s="263"/>
      <c r="V166" s="266" t="s">
        <v>31</v>
      </c>
      <c r="W166" s="267"/>
      <c r="X166" s="263"/>
      <c r="AE166" s="253" t="s">
        <v>68</v>
      </c>
      <c r="AV166" s="256" t="str">
        <f>CONCATENATE(AN168,",",AO168,",",AP168,",",AQ168,",",AR168,",",AS168,",",AT168)</f>
        <v>-11,-10,-7,,,,</v>
      </c>
    </row>
    <row r="167" spans="1:53" ht="39.950000000000003" customHeight="1">
      <c r="A167" s="252" t="str">
        <f>CONCATENATE(F172,VLOOKUP(F174,$AZ$7:$BA$14,2,0),LEFT(F176,1))</f>
        <v>CH11</v>
      </c>
      <c r="E167" s="264" t="s">
        <v>29</v>
      </c>
      <c r="F167" s="265">
        <f>VLOOKUP(A165,'zoznam zapasov'!$A$6:$K$77,11,0)</f>
        <v>1</v>
      </c>
      <c r="G167" s="508"/>
      <c r="H167" s="495"/>
      <c r="I167" s="487" t="str">
        <f>IF(ISERROR(VLOOKUP(A167,vylosovanie!$A$8:$J$68,6,0))=TRUE,"",VLOOKUP(A167,vylosovanie!$A$8:$J$68,6,0))</f>
        <v>DIKO Dalibor</v>
      </c>
      <c r="J167" s="487"/>
      <c r="K167" s="487"/>
      <c r="L167" s="487"/>
      <c r="M167" s="263"/>
      <c r="N167" s="489">
        <v>13</v>
      </c>
      <c r="O167" s="489">
        <v>12</v>
      </c>
      <c r="P167" s="489">
        <v>11</v>
      </c>
      <c r="Q167" s="489"/>
      <c r="R167" s="489"/>
      <c r="S167" s="489"/>
      <c r="T167" s="489"/>
      <c r="U167" s="263"/>
      <c r="V167" s="493">
        <f>IF(SUM(AF167:AL168)=0,"",SUM(AF167:AL167))</f>
        <v>3</v>
      </c>
      <c r="W167" s="267"/>
      <c r="X167" s="263"/>
      <c r="AE167" s="253" t="str">
        <f>VLOOKUP(I167,vylosovanie!$F$8:$L$190,7,0)</f>
        <v>CH11</v>
      </c>
      <c r="AF167" s="268">
        <f>IF(N167&gt;N170,1,0)</f>
        <v>1</v>
      </c>
      <c r="AG167" s="268">
        <f t="shared" ref="AG167" si="102">IF(O167&gt;O170,1,0)</f>
        <v>1</v>
      </c>
      <c r="AH167" s="268">
        <f t="shared" ref="AH167" si="103">IF(P167&gt;P170,1,0)</f>
        <v>1</v>
      </c>
      <c r="AI167" s="268">
        <f t="shared" ref="AI167" si="104">IF(Q167&gt;Q170,1,0)</f>
        <v>0</v>
      </c>
      <c r="AJ167" s="268">
        <f t="shared" ref="AJ167" si="105">IF(R167&gt;R170,1,0)</f>
        <v>0</v>
      </c>
      <c r="AK167" s="268">
        <f t="shared" ref="AK167" si="106">IF(S167&gt;S170,1,0)</f>
        <v>0</v>
      </c>
      <c r="AL167" s="268">
        <f t="shared" ref="AL167" si="107">IF(T167&gt;T170,1,0)</f>
        <v>0</v>
      </c>
      <c r="AN167" s="268">
        <f t="shared" ref="AN167:AT167" si="108">IF(ISBLANK(N167)=TRUE,"",IF(AF167=1,N170,-N167))</f>
        <v>11</v>
      </c>
      <c r="AO167" s="268">
        <f t="shared" si="108"/>
        <v>10</v>
      </c>
      <c r="AP167" s="268">
        <f t="shared" si="108"/>
        <v>7</v>
      </c>
      <c r="AQ167" s="268" t="str">
        <f t="shared" si="108"/>
        <v/>
      </c>
      <c r="AR167" s="268" t="str">
        <f t="shared" si="108"/>
        <v/>
      </c>
      <c r="AS167" s="268" t="str">
        <f t="shared" si="108"/>
        <v/>
      </c>
      <c r="AT167" s="268" t="str">
        <f t="shared" si="108"/>
        <v/>
      </c>
      <c r="AZ167" s="269" t="s">
        <v>12</v>
      </c>
      <c r="BA167" s="269">
        <v>1</v>
      </c>
    </row>
    <row r="168" spans="1:53" ht="39.950000000000003" customHeight="1">
      <c r="E168" s="264"/>
      <c r="F168" s="265"/>
      <c r="G168" s="509"/>
      <c r="H168" s="495"/>
      <c r="I168" s="487"/>
      <c r="J168" s="487"/>
      <c r="K168" s="487"/>
      <c r="L168" s="487"/>
      <c r="M168" s="263"/>
      <c r="N168" s="490"/>
      <c r="O168" s="490"/>
      <c r="P168" s="490"/>
      <c r="Q168" s="490"/>
      <c r="R168" s="490"/>
      <c r="S168" s="490"/>
      <c r="T168" s="490"/>
      <c r="U168" s="263"/>
      <c r="V168" s="493"/>
      <c r="W168" s="267"/>
      <c r="X168" s="263"/>
      <c r="AE168" s="253" t="str">
        <f>VLOOKUP(I170,vylosovanie!$F$8:$L$190,7,0)</f>
        <v>CH13</v>
      </c>
      <c r="AF168" s="268">
        <f>IF(N170&gt;N167,1,0)</f>
        <v>0</v>
      </c>
      <c r="AG168" s="268">
        <f t="shared" ref="AG168" si="109">IF(O170&gt;O167,1,0)</f>
        <v>0</v>
      </c>
      <c r="AH168" s="268">
        <f t="shared" ref="AH168" si="110">IF(P170&gt;P167,1,0)</f>
        <v>0</v>
      </c>
      <c r="AI168" s="268">
        <f t="shared" ref="AI168" si="111">IF(Q170&gt;Q167,1,0)</f>
        <v>0</v>
      </c>
      <c r="AJ168" s="268">
        <f t="shared" ref="AJ168" si="112">IF(R170&gt;R167,1,0)</f>
        <v>0</v>
      </c>
      <c r="AK168" s="268">
        <f t="shared" ref="AK168" si="113">IF(S170&gt;S167,1,0)</f>
        <v>0</v>
      </c>
      <c r="AL168" s="268">
        <f t="shared" ref="AL168" si="114">IF(T170&gt;T167,1,0)</f>
        <v>0</v>
      </c>
      <c r="AN168" s="268">
        <f t="shared" ref="AN168:AT168" si="115">IF(ISBLANK(N170)=TRUE,"",IF(AF168=1,N167,-N170))</f>
        <v>-11</v>
      </c>
      <c r="AO168" s="268">
        <f t="shared" si="115"/>
        <v>-10</v>
      </c>
      <c r="AP168" s="268">
        <f t="shared" si="115"/>
        <v>-7</v>
      </c>
      <c r="AQ168" s="268" t="str">
        <f t="shared" si="115"/>
        <v/>
      </c>
      <c r="AR168" s="268" t="str">
        <f t="shared" si="115"/>
        <v/>
      </c>
      <c r="AS168" s="268" t="str">
        <f t="shared" si="115"/>
        <v/>
      </c>
      <c r="AT168" s="268" t="str">
        <f t="shared" si="115"/>
        <v/>
      </c>
      <c r="AZ168" s="269" t="s">
        <v>18</v>
      </c>
      <c r="BA168" s="269">
        <v>2</v>
      </c>
    </row>
    <row r="169" spans="1:53" ht="39.950000000000003" customHeight="1">
      <c r="E169" s="264" t="s">
        <v>35</v>
      </c>
      <c r="F169" s="265" t="str">
        <f>VLOOKUP(A165,'zoznam zapasov'!$A$6:$K$77,9,0)</f>
        <v>So</v>
      </c>
      <c r="G169" s="263"/>
      <c r="H169" s="263"/>
      <c r="I169" s="263"/>
      <c r="J169" s="263"/>
      <c r="K169" s="263"/>
      <c r="L169" s="263"/>
      <c r="M169" s="263"/>
      <c r="N169" s="263"/>
      <c r="O169" s="263"/>
      <c r="P169" s="263"/>
      <c r="Q169" s="263"/>
      <c r="R169" s="263"/>
      <c r="S169" s="263"/>
      <c r="T169" s="263"/>
      <c r="U169" s="263"/>
      <c r="V169" s="263"/>
      <c r="W169" s="267"/>
      <c r="X169" s="263"/>
      <c r="AZ169" s="269" t="s">
        <v>38</v>
      </c>
      <c r="BA169" s="269">
        <v>3</v>
      </c>
    </row>
    <row r="170" spans="1:53" ht="39.950000000000003" customHeight="1">
      <c r="A170" s="252" t="str">
        <f>CONCATENATE(F172,VLOOKUP(F174,$AZ$7:$BA$14,2,0),RIGHT(F176,1))</f>
        <v>CH13</v>
      </c>
      <c r="E170" s="264" t="s">
        <v>28</v>
      </c>
      <c r="F170" s="270" t="str">
        <f>VLOOKUP(A165,'zoznam zapasov'!$A$6:$K$77,10,0)</f>
        <v>9.55</v>
      </c>
      <c r="G170" s="508"/>
      <c r="H170" s="486"/>
      <c r="I170" s="487" t="str">
        <f>IF(ISERROR(VLOOKUP(A170,vylosovanie!$A$8:$J$68,6,0))=TRUE,"",VLOOKUP(A170,vylosovanie!$A$8:$J$68,6,0))</f>
        <v>MIKLUŠČÁK Benjamín</v>
      </c>
      <c r="J170" s="487"/>
      <c r="K170" s="487"/>
      <c r="L170" s="487"/>
      <c r="M170" s="263"/>
      <c r="N170" s="489">
        <v>11</v>
      </c>
      <c r="O170" s="489">
        <v>10</v>
      </c>
      <c r="P170" s="489">
        <v>7</v>
      </c>
      <c r="Q170" s="489"/>
      <c r="R170" s="489"/>
      <c r="S170" s="489"/>
      <c r="T170" s="489"/>
      <c r="U170" s="263"/>
      <c r="V170" s="493">
        <f>IF(SUM(AF167:AL168)=0,"",SUM(AF168:AL168))</f>
        <v>0</v>
      </c>
      <c r="W170" s="267"/>
      <c r="X170" s="263"/>
      <c r="AZ170" s="269" t="s">
        <v>39</v>
      </c>
      <c r="BA170" s="269">
        <v>4</v>
      </c>
    </row>
    <row r="171" spans="1:53" ht="39.950000000000003" customHeight="1">
      <c r="E171" s="271"/>
      <c r="F171" s="272"/>
      <c r="G171" s="509"/>
      <c r="H171" s="486"/>
      <c r="I171" s="487"/>
      <c r="J171" s="487"/>
      <c r="K171" s="487"/>
      <c r="L171" s="487"/>
      <c r="M171" s="263"/>
      <c r="N171" s="490"/>
      <c r="O171" s="490"/>
      <c r="P171" s="490"/>
      <c r="Q171" s="490"/>
      <c r="R171" s="490"/>
      <c r="S171" s="490"/>
      <c r="T171" s="490"/>
      <c r="U171" s="263"/>
      <c r="V171" s="493"/>
      <c r="W171" s="267"/>
      <c r="X171" s="263"/>
      <c r="AZ171" s="269" t="s">
        <v>40</v>
      </c>
      <c r="BA171" s="269">
        <v>5</v>
      </c>
    </row>
    <row r="172" spans="1:53" ht="39.950000000000003" customHeight="1">
      <c r="E172" s="264" t="s">
        <v>66</v>
      </c>
      <c r="F172" s="265" t="s">
        <v>65</v>
      </c>
      <c r="G172" s="263"/>
      <c r="H172" s="263"/>
      <c r="I172" s="263"/>
      <c r="J172" s="263"/>
      <c r="K172" s="263"/>
      <c r="L172" s="263"/>
      <c r="M172" s="263"/>
      <c r="N172" s="263"/>
      <c r="O172" s="263"/>
      <c r="P172" s="263"/>
      <c r="Q172" s="263"/>
      <c r="R172" s="263"/>
      <c r="S172" s="263"/>
      <c r="T172" s="263"/>
      <c r="U172" s="263"/>
      <c r="V172" s="263"/>
      <c r="W172" s="267"/>
      <c r="X172" s="263"/>
      <c r="AZ172" s="269" t="s">
        <v>41</v>
      </c>
      <c r="BA172" s="269">
        <v>6</v>
      </c>
    </row>
    <row r="173" spans="1:53" ht="39.950000000000003" customHeight="1">
      <c r="E173" s="271"/>
      <c r="F173" s="272"/>
      <c r="G173" s="263"/>
      <c r="H173" s="263"/>
      <c r="I173" s="263" t="s">
        <v>32</v>
      </c>
      <c r="J173" s="263"/>
      <c r="K173" s="263"/>
      <c r="L173" s="263"/>
      <c r="M173" s="263"/>
      <c r="N173" s="273"/>
      <c r="O173" s="266"/>
      <c r="P173" s="266" t="s">
        <v>34</v>
      </c>
      <c r="Q173" s="266"/>
      <c r="R173" s="266"/>
      <c r="S173" s="266"/>
      <c r="T173" s="266"/>
      <c r="U173" s="263"/>
      <c r="V173" s="263"/>
      <c r="W173" s="267"/>
      <c r="X173" s="263"/>
      <c r="AZ173" s="269" t="s">
        <v>42</v>
      </c>
      <c r="BA173" s="269">
        <v>7</v>
      </c>
    </row>
    <row r="174" spans="1:53" ht="39.950000000000003" customHeight="1">
      <c r="E174" s="264" t="s">
        <v>26</v>
      </c>
      <c r="F174" s="265" t="s">
        <v>12</v>
      </c>
      <c r="G174" s="263"/>
      <c r="H174" s="263"/>
      <c r="I174" s="486"/>
      <c r="J174" s="486"/>
      <c r="K174" s="486"/>
      <c r="L174" s="486"/>
      <c r="M174" s="263"/>
      <c r="N174" s="486" t="str">
        <f>IF(V167&gt;V170,I167,IF(V170&gt;V167,I170,""))</f>
        <v>DIKO Dalibor</v>
      </c>
      <c r="O174" s="486"/>
      <c r="P174" s="486"/>
      <c r="Q174" s="486"/>
      <c r="R174" s="486"/>
      <c r="S174" s="486"/>
      <c r="T174" s="263"/>
      <c r="U174" s="263"/>
      <c r="V174" s="263"/>
      <c r="W174" s="267"/>
      <c r="X174" s="263"/>
      <c r="AZ174" s="269" t="s">
        <v>43</v>
      </c>
      <c r="BA174" s="269">
        <v>8</v>
      </c>
    </row>
    <row r="175" spans="1:53" ht="39.950000000000003" customHeight="1">
      <c r="E175" s="271"/>
      <c r="F175" s="272"/>
      <c r="G175" s="263"/>
      <c r="H175" s="263"/>
      <c r="I175" s="486"/>
      <c r="J175" s="486"/>
      <c r="K175" s="486"/>
      <c r="L175" s="486"/>
      <c r="M175" s="263"/>
      <c r="N175" s="486"/>
      <c r="O175" s="486"/>
      <c r="P175" s="486"/>
      <c r="Q175" s="486"/>
      <c r="R175" s="486"/>
      <c r="S175" s="486"/>
      <c r="T175" s="263"/>
      <c r="U175" s="263"/>
      <c r="V175" s="263"/>
      <c r="W175" s="267"/>
      <c r="X175" s="263"/>
    </row>
    <row r="176" spans="1:53" ht="39.950000000000003" customHeight="1">
      <c r="E176" s="264" t="s">
        <v>27</v>
      </c>
      <c r="F176" s="274" t="s">
        <v>20</v>
      </c>
      <c r="G176" s="263"/>
      <c r="H176" s="263"/>
      <c r="I176" s="263"/>
      <c r="J176" s="263"/>
      <c r="K176" s="263"/>
      <c r="L176" s="263"/>
      <c r="M176" s="263"/>
      <c r="N176" s="263"/>
      <c r="O176" s="263"/>
      <c r="P176" s="263"/>
      <c r="Q176" s="263"/>
      <c r="R176" s="263"/>
      <c r="S176" s="263"/>
      <c r="T176" s="263"/>
      <c r="U176" s="263"/>
      <c r="V176" s="263"/>
      <c r="W176" s="267"/>
      <c r="X176" s="263"/>
    </row>
    <row r="177" spans="1:53" ht="39.950000000000003" customHeight="1">
      <c r="E177" s="271"/>
      <c r="F177" s="272"/>
      <c r="G177" s="263"/>
      <c r="H177" s="263" t="s">
        <v>33</v>
      </c>
      <c r="I177" s="263"/>
      <c r="J177" s="263"/>
      <c r="K177" s="263"/>
      <c r="L177" s="263"/>
      <c r="M177" s="263"/>
      <c r="N177" s="263"/>
      <c r="O177" s="263"/>
      <c r="P177" s="263"/>
      <c r="Q177" s="263"/>
      <c r="R177" s="263"/>
      <c r="S177" s="263"/>
      <c r="T177" s="263"/>
      <c r="U177" s="263"/>
      <c r="V177" s="263"/>
      <c r="W177" s="267"/>
      <c r="X177" s="263"/>
    </row>
    <row r="178" spans="1:53" ht="39.950000000000003" customHeight="1">
      <c r="E178" s="271"/>
      <c r="F178" s="272"/>
      <c r="G178" s="263"/>
      <c r="H178" s="263"/>
      <c r="I178" s="263"/>
      <c r="J178" s="263"/>
      <c r="K178" s="263"/>
      <c r="L178" s="263"/>
      <c r="M178" s="263"/>
      <c r="N178" s="263"/>
      <c r="O178" s="263"/>
      <c r="P178" s="263"/>
      <c r="Q178" s="263"/>
      <c r="R178" s="263"/>
      <c r="S178" s="263"/>
      <c r="T178" s="263"/>
      <c r="U178" s="263"/>
      <c r="V178" s="263"/>
      <c r="W178" s="267"/>
      <c r="X178" s="263"/>
    </row>
    <row r="179" spans="1:53" ht="39.950000000000003" customHeight="1">
      <c r="E179" s="271"/>
      <c r="F179" s="272"/>
      <c r="G179" s="263"/>
      <c r="H179" s="263"/>
      <c r="I179" s="496" t="str">
        <f>I167</f>
        <v>DIKO Dalibor</v>
      </c>
      <c r="J179" s="496"/>
      <c r="K179" s="496"/>
      <c r="L179" s="496"/>
      <c r="M179" s="263"/>
      <c r="N179" s="263"/>
      <c r="O179" s="263"/>
      <c r="P179" s="496" t="str">
        <f>I170</f>
        <v>MIKLUŠČÁK Benjamín</v>
      </c>
      <c r="Q179" s="496"/>
      <c r="R179" s="496"/>
      <c r="S179" s="496"/>
      <c r="T179" s="497"/>
      <c r="U179" s="497"/>
      <c r="V179" s="263"/>
      <c r="W179" s="267"/>
      <c r="X179" s="263"/>
    </row>
    <row r="180" spans="1:53" ht="69.95" customHeight="1">
      <c r="E180" s="264"/>
      <c r="F180" s="265"/>
      <c r="G180" s="263"/>
      <c r="H180" s="275" t="s">
        <v>36</v>
      </c>
      <c r="I180" s="483"/>
      <c r="J180" s="494"/>
      <c r="K180" s="494"/>
      <c r="L180" s="495"/>
      <c r="M180" s="263"/>
      <c r="N180" s="263"/>
      <c r="O180" s="275" t="s">
        <v>36</v>
      </c>
      <c r="P180" s="486"/>
      <c r="Q180" s="486"/>
      <c r="R180" s="486"/>
      <c r="S180" s="486"/>
      <c r="T180" s="486"/>
      <c r="U180" s="486"/>
      <c r="V180" s="263"/>
      <c r="W180" s="267"/>
      <c r="X180" s="263"/>
    </row>
    <row r="181" spans="1:53" ht="69.95" customHeight="1">
      <c r="E181" s="264"/>
      <c r="F181" s="265"/>
      <c r="G181" s="263"/>
      <c r="H181" s="275" t="s">
        <v>37</v>
      </c>
      <c r="I181" s="486"/>
      <c r="J181" s="486"/>
      <c r="K181" s="486"/>
      <c r="L181" s="486"/>
      <c r="M181" s="263"/>
      <c r="N181" s="263"/>
      <c r="O181" s="275" t="s">
        <v>37</v>
      </c>
      <c r="P181" s="486"/>
      <c r="Q181" s="486"/>
      <c r="R181" s="486"/>
      <c r="S181" s="486"/>
      <c r="T181" s="486"/>
      <c r="U181" s="486"/>
      <c r="V181" s="263"/>
      <c r="W181" s="267"/>
      <c r="X181" s="263"/>
    </row>
    <row r="182" spans="1:53" ht="69.95" customHeight="1">
      <c r="E182" s="264"/>
      <c r="F182" s="265"/>
      <c r="G182" s="263"/>
      <c r="H182" s="275" t="s">
        <v>37</v>
      </c>
      <c r="I182" s="486"/>
      <c r="J182" s="486"/>
      <c r="K182" s="486"/>
      <c r="L182" s="486"/>
      <c r="M182" s="263"/>
      <c r="N182" s="263"/>
      <c r="O182" s="275" t="s">
        <v>37</v>
      </c>
      <c r="P182" s="486"/>
      <c r="Q182" s="486"/>
      <c r="R182" s="486"/>
      <c r="S182" s="486"/>
      <c r="T182" s="486"/>
      <c r="U182" s="486"/>
      <c r="V182" s="263"/>
      <c r="W182" s="267"/>
      <c r="X182" s="263"/>
    </row>
    <row r="183" spans="1:53" ht="39.950000000000003" customHeight="1" thickBot="1">
      <c r="E183" s="276"/>
      <c r="F183" s="277"/>
      <c r="G183" s="278"/>
      <c r="H183" s="278"/>
      <c r="I183" s="278"/>
      <c r="J183" s="278"/>
      <c r="K183" s="278"/>
      <c r="L183" s="278"/>
      <c r="M183" s="278"/>
      <c r="N183" s="278"/>
      <c r="O183" s="278"/>
      <c r="P183" s="278"/>
      <c r="Q183" s="278"/>
      <c r="R183" s="278"/>
      <c r="S183" s="278"/>
      <c r="T183" s="279"/>
      <c r="U183" s="279"/>
      <c r="V183" s="279"/>
      <c r="W183" s="280"/>
      <c r="X183" s="263"/>
    </row>
    <row r="184" spans="1:53" ht="62.25" thickBot="1">
      <c r="A184" s="252" t="s">
        <v>62</v>
      </c>
    </row>
    <row r="185" spans="1:53" ht="39.950000000000003" customHeight="1">
      <c r="A185" s="252" t="str">
        <f>CONCATENATE(F192,F194,F196)</f>
        <v>CHA2-4</v>
      </c>
      <c r="E185" s="259" t="s">
        <v>70</v>
      </c>
      <c r="F185" s="260">
        <f>VLOOKUP(A185,'zoznam zapasov'!$A$6:$K$77,3,0)</f>
        <v>10</v>
      </c>
      <c r="G185" s="261"/>
      <c r="H185" s="322" t="s">
        <v>501</v>
      </c>
      <c r="I185" s="261"/>
      <c r="J185" s="261"/>
      <c r="K185" s="261"/>
      <c r="L185" s="261"/>
      <c r="M185" s="261"/>
      <c r="N185" s="261"/>
      <c r="O185" s="261"/>
      <c r="P185" s="261"/>
      <c r="Q185" s="261"/>
      <c r="R185" s="261"/>
      <c r="S185" s="261"/>
      <c r="T185" s="261"/>
      <c r="U185" s="261"/>
      <c r="V185" s="261" t="s">
        <v>30</v>
      </c>
      <c r="W185" s="262"/>
      <c r="X185" s="263"/>
      <c r="Z185" s="258" t="str">
        <f>CONCATENATE(V187,":",V190)</f>
        <v>3:1</v>
      </c>
      <c r="AE185" s="253" t="s">
        <v>11</v>
      </c>
      <c r="AV185" s="256" t="str">
        <f>CONCATENATE(AN187,",",AO187,",",AP187,",",AQ187,",",AR187,",",AS187,",",AT187)</f>
        <v>-9,12,9,7,,,</v>
      </c>
    </row>
    <row r="186" spans="1:53" ht="39.950000000000003" customHeight="1">
      <c r="E186" s="264"/>
      <c r="F186" s="265"/>
      <c r="G186" s="321" t="s">
        <v>500</v>
      </c>
      <c r="H186" s="323" t="s">
        <v>502</v>
      </c>
      <c r="I186" s="263"/>
      <c r="J186" s="263"/>
      <c r="K186" s="263"/>
      <c r="L186" s="263"/>
      <c r="M186" s="263"/>
      <c r="N186" s="266">
        <v>1</v>
      </c>
      <c r="O186" s="266">
        <v>2</v>
      </c>
      <c r="P186" s="266">
        <v>3</v>
      </c>
      <c r="Q186" s="266">
        <v>4</v>
      </c>
      <c r="R186" s="266">
        <v>5</v>
      </c>
      <c r="S186" s="266">
        <v>6</v>
      </c>
      <c r="T186" s="266">
        <v>7</v>
      </c>
      <c r="U186" s="263"/>
      <c r="V186" s="266" t="s">
        <v>31</v>
      </c>
      <c r="W186" s="267"/>
      <c r="X186" s="263"/>
      <c r="AE186" s="253" t="s">
        <v>68</v>
      </c>
      <c r="AV186" s="256" t="str">
        <f>CONCATENATE(AN188,",",AO188,",",AP188,",",AQ188,",",AR188,",",AS188,",",AT188)</f>
        <v>9,-12,-9,-7,,,</v>
      </c>
    </row>
    <row r="187" spans="1:53" ht="39.950000000000003" customHeight="1">
      <c r="A187" s="252" t="str">
        <f>CONCATENATE(F192,VLOOKUP(F194,$AZ$7:$BA$14,2,0),LEFT(F196,1))</f>
        <v>CH12</v>
      </c>
      <c r="E187" s="264" t="s">
        <v>29</v>
      </c>
      <c r="F187" s="265">
        <f>VLOOKUP(A185,'zoznam zapasov'!$A$6:$K$77,11,0)</f>
        <v>2</v>
      </c>
      <c r="G187" s="508"/>
      <c r="H187" s="495"/>
      <c r="I187" s="487" t="str">
        <f>IF(ISERROR(VLOOKUP(A187,vylosovanie!$A$8:$J$68,6,0))=TRUE,"",VLOOKUP(A187,vylosovanie!$A$8:$J$68,6,0))</f>
        <v>IVANČO Félix</v>
      </c>
      <c r="J187" s="487"/>
      <c r="K187" s="487"/>
      <c r="L187" s="487"/>
      <c r="M187" s="263"/>
      <c r="N187" s="489">
        <v>9</v>
      </c>
      <c r="O187" s="489">
        <v>14</v>
      </c>
      <c r="P187" s="489">
        <v>11</v>
      </c>
      <c r="Q187" s="489">
        <v>11</v>
      </c>
      <c r="R187" s="489"/>
      <c r="S187" s="489"/>
      <c r="T187" s="489"/>
      <c r="U187" s="263"/>
      <c r="V187" s="493">
        <f>IF(SUM(AF187:AL188)=0,"",SUM(AF187:AL187))</f>
        <v>3</v>
      </c>
      <c r="W187" s="267"/>
      <c r="X187" s="263"/>
      <c r="AE187" s="253" t="str">
        <f>VLOOKUP(I187,vylosovanie!$F$8:$L$190,7,0)</f>
        <v>CH12</v>
      </c>
      <c r="AF187" s="268">
        <f>IF(N187&gt;N190,1,0)</f>
        <v>0</v>
      </c>
      <c r="AG187" s="268">
        <f t="shared" ref="AG187" si="116">IF(O187&gt;O190,1,0)</f>
        <v>1</v>
      </c>
      <c r="AH187" s="268">
        <f t="shared" ref="AH187" si="117">IF(P187&gt;P190,1,0)</f>
        <v>1</v>
      </c>
      <c r="AI187" s="268">
        <f t="shared" ref="AI187" si="118">IF(Q187&gt;Q190,1,0)</f>
        <v>1</v>
      </c>
      <c r="AJ187" s="268">
        <f t="shared" ref="AJ187" si="119">IF(R187&gt;R190,1,0)</f>
        <v>0</v>
      </c>
      <c r="AK187" s="268">
        <f t="shared" ref="AK187" si="120">IF(S187&gt;S190,1,0)</f>
        <v>0</v>
      </c>
      <c r="AL187" s="268">
        <f t="shared" ref="AL187" si="121">IF(T187&gt;T190,1,0)</f>
        <v>0</v>
      </c>
      <c r="AN187" s="268">
        <f t="shared" ref="AN187:AT187" si="122">IF(ISBLANK(N187)=TRUE,"",IF(AF187=1,N190,-N187))</f>
        <v>-9</v>
      </c>
      <c r="AO187" s="268">
        <f t="shared" si="122"/>
        <v>12</v>
      </c>
      <c r="AP187" s="268">
        <f t="shared" si="122"/>
        <v>9</v>
      </c>
      <c r="AQ187" s="268">
        <f t="shared" si="122"/>
        <v>7</v>
      </c>
      <c r="AR187" s="268" t="str">
        <f t="shared" si="122"/>
        <v/>
      </c>
      <c r="AS187" s="268" t="str">
        <f t="shared" si="122"/>
        <v/>
      </c>
      <c r="AT187" s="268" t="str">
        <f t="shared" si="122"/>
        <v/>
      </c>
      <c r="AZ187" s="269" t="s">
        <v>12</v>
      </c>
      <c r="BA187" s="269">
        <v>1</v>
      </c>
    </row>
    <row r="188" spans="1:53" ht="39.950000000000003" customHeight="1">
      <c r="E188" s="264"/>
      <c r="F188" s="265"/>
      <c r="G188" s="509"/>
      <c r="H188" s="495"/>
      <c r="I188" s="487"/>
      <c r="J188" s="487"/>
      <c r="K188" s="487"/>
      <c r="L188" s="487"/>
      <c r="M188" s="263"/>
      <c r="N188" s="490"/>
      <c r="O188" s="490"/>
      <c r="P188" s="490"/>
      <c r="Q188" s="490"/>
      <c r="R188" s="490"/>
      <c r="S188" s="490"/>
      <c r="T188" s="490"/>
      <c r="U188" s="263"/>
      <c r="V188" s="493"/>
      <c r="W188" s="267"/>
      <c r="X188" s="263"/>
      <c r="AE188" s="253" t="str">
        <f>VLOOKUP(I190,vylosovanie!$F$8:$L$190,7,0)</f>
        <v>CH14</v>
      </c>
      <c r="AF188" s="268">
        <f>IF(N190&gt;N187,1,0)</f>
        <v>1</v>
      </c>
      <c r="AG188" s="268">
        <f t="shared" ref="AG188" si="123">IF(O190&gt;O187,1,0)</f>
        <v>0</v>
      </c>
      <c r="AH188" s="268">
        <f t="shared" ref="AH188" si="124">IF(P190&gt;P187,1,0)</f>
        <v>0</v>
      </c>
      <c r="AI188" s="268">
        <f t="shared" ref="AI188" si="125">IF(Q190&gt;Q187,1,0)</f>
        <v>0</v>
      </c>
      <c r="AJ188" s="268">
        <f t="shared" ref="AJ188" si="126">IF(R190&gt;R187,1,0)</f>
        <v>0</v>
      </c>
      <c r="AK188" s="268">
        <f t="shared" ref="AK188" si="127">IF(S190&gt;S187,1,0)</f>
        <v>0</v>
      </c>
      <c r="AL188" s="268">
        <f t="shared" ref="AL188" si="128">IF(T190&gt;T187,1,0)</f>
        <v>0</v>
      </c>
      <c r="AN188" s="268">
        <f t="shared" ref="AN188:AT188" si="129">IF(ISBLANK(N190)=TRUE,"",IF(AF188=1,N187,-N190))</f>
        <v>9</v>
      </c>
      <c r="AO188" s="268">
        <f t="shared" si="129"/>
        <v>-12</v>
      </c>
      <c r="AP188" s="268">
        <f t="shared" si="129"/>
        <v>-9</v>
      </c>
      <c r="AQ188" s="268">
        <f t="shared" si="129"/>
        <v>-7</v>
      </c>
      <c r="AR188" s="268" t="str">
        <f t="shared" si="129"/>
        <v/>
      </c>
      <c r="AS188" s="268" t="str">
        <f t="shared" si="129"/>
        <v/>
      </c>
      <c r="AT188" s="268" t="str">
        <f t="shared" si="129"/>
        <v/>
      </c>
      <c r="AZ188" s="269" t="s">
        <v>18</v>
      </c>
      <c r="BA188" s="269">
        <v>2</v>
      </c>
    </row>
    <row r="189" spans="1:53" ht="39.950000000000003" customHeight="1">
      <c r="E189" s="264" t="s">
        <v>35</v>
      </c>
      <c r="F189" s="265" t="str">
        <f>VLOOKUP(A185,'zoznam zapasov'!$A$6:$K$77,9,0)</f>
        <v>So</v>
      </c>
      <c r="G189" s="263"/>
      <c r="H189" s="263"/>
      <c r="I189" s="263"/>
      <c r="J189" s="263"/>
      <c r="K189" s="263"/>
      <c r="L189" s="263"/>
      <c r="M189" s="263"/>
      <c r="N189" s="263"/>
      <c r="O189" s="263"/>
      <c r="P189" s="263"/>
      <c r="Q189" s="263"/>
      <c r="R189" s="263"/>
      <c r="S189" s="263"/>
      <c r="T189" s="263"/>
      <c r="U189" s="263"/>
      <c r="V189" s="263"/>
      <c r="W189" s="267"/>
      <c r="X189" s="263"/>
      <c r="AZ189" s="269" t="s">
        <v>38</v>
      </c>
      <c r="BA189" s="269">
        <v>3</v>
      </c>
    </row>
    <row r="190" spans="1:53" ht="39.950000000000003" customHeight="1">
      <c r="A190" s="252" t="str">
        <f>CONCATENATE(F192,VLOOKUP(F194,$AZ$7:$BA$14,2,0),RIGHT(F196,1))</f>
        <v>CH14</v>
      </c>
      <c r="E190" s="264" t="s">
        <v>28</v>
      </c>
      <c r="F190" s="270" t="str">
        <f>VLOOKUP(A185,'zoznam zapasov'!$A$6:$K$77,10,0)</f>
        <v>9.55</v>
      </c>
      <c r="G190" s="508"/>
      <c r="H190" s="486"/>
      <c r="I190" s="487" t="str">
        <f>IF(ISERROR(VLOOKUP(A190,vylosovanie!$A$8:$J$68,6,0))=TRUE,"",VLOOKUP(A190,vylosovanie!$A$8:$J$68,6,0))</f>
        <v>MARUNIAK Martin</v>
      </c>
      <c r="J190" s="487"/>
      <c r="K190" s="487"/>
      <c r="L190" s="487"/>
      <c r="M190" s="263"/>
      <c r="N190" s="489">
        <v>11</v>
      </c>
      <c r="O190" s="489">
        <v>12</v>
      </c>
      <c r="P190" s="489">
        <v>9</v>
      </c>
      <c r="Q190" s="489">
        <v>7</v>
      </c>
      <c r="R190" s="489"/>
      <c r="S190" s="489"/>
      <c r="T190" s="489"/>
      <c r="U190" s="263"/>
      <c r="V190" s="493">
        <f>IF(SUM(AF187:AL188)=0,"",SUM(AF188:AL188))</f>
        <v>1</v>
      </c>
      <c r="W190" s="267"/>
      <c r="X190" s="263"/>
      <c r="AZ190" s="269" t="s">
        <v>39</v>
      </c>
      <c r="BA190" s="269">
        <v>4</v>
      </c>
    </row>
    <row r="191" spans="1:53" ht="39.950000000000003" customHeight="1">
      <c r="E191" s="271"/>
      <c r="F191" s="272"/>
      <c r="G191" s="509"/>
      <c r="H191" s="486"/>
      <c r="I191" s="487"/>
      <c r="J191" s="487"/>
      <c r="K191" s="487"/>
      <c r="L191" s="487"/>
      <c r="M191" s="263"/>
      <c r="N191" s="490"/>
      <c r="O191" s="490"/>
      <c r="P191" s="490"/>
      <c r="Q191" s="490"/>
      <c r="R191" s="490"/>
      <c r="S191" s="490"/>
      <c r="T191" s="490"/>
      <c r="U191" s="263"/>
      <c r="V191" s="493"/>
      <c r="W191" s="267"/>
      <c r="X191" s="263"/>
      <c r="AZ191" s="269" t="s">
        <v>40</v>
      </c>
      <c r="BA191" s="269">
        <v>5</v>
      </c>
    </row>
    <row r="192" spans="1:53" ht="39.950000000000003" customHeight="1">
      <c r="E192" s="264" t="s">
        <v>66</v>
      </c>
      <c r="F192" s="265" t="s">
        <v>65</v>
      </c>
      <c r="G192" s="263"/>
      <c r="H192" s="263"/>
      <c r="I192" s="263"/>
      <c r="J192" s="263"/>
      <c r="K192" s="263"/>
      <c r="L192" s="263"/>
      <c r="M192" s="263"/>
      <c r="N192" s="263"/>
      <c r="O192" s="263"/>
      <c r="P192" s="263"/>
      <c r="Q192" s="263"/>
      <c r="R192" s="263"/>
      <c r="S192" s="263"/>
      <c r="T192" s="263"/>
      <c r="U192" s="263"/>
      <c r="V192" s="263"/>
      <c r="W192" s="267"/>
      <c r="X192" s="263"/>
      <c r="AZ192" s="269" t="s">
        <v>41</v>
      </c>
      <c r="BA192" s="269">
        <v>6</v>
      </c>
    </row>
    <row r="193" spans="1:53" ht="39.950000000000003" customHeight="1">
      <c r="E193" s="271"/>
      <c r="F193" s="272"/>
      <c r="G193" s="263"/>
      <c r="H193" s="263"/>
      <c r="I193" s="263" t="s">
        <v>32</v>
      </c>
      <c r="J193" s="263"/>
      <c r="K193" s="263"/>
      <c r="L193" s="263"/>
      <c r="M193" s="263"/>
      <c r="N193" s="273"/>
      <c r="O193" s="266"/>
      <c r="P193" s="266" t="s">
        <v>34</v>
      </c>
      <c r="Q193" s="266"/>
      <c r="R193" s="266"/>
      <c r="S193" s="266"/>
      <c r="T193" s="266"/>
      <c r="U193" s="263"/>
      <c r="V193" s="263"/>
      <c r="W193" s="267"/>
      <c r="X193" s="263"/>
      <c r="AZ193" s="269" t="s">
        <v>42</v>
      </c>
      <c r="BA193" s="269">
        <v>7</v>
      </c>
    </row>
    <row r="194" spans="1:53" ht="39.950000000000003" customHeight="1">
      <c r="E194" s="264" t="s">
        <v>26</v>
      </c>
      <c r="F194" s="265" t="s">
        <v>12</v>
      </c>
      <c r="G194" s="263"/>
      <c r="H194" s="263"/>
      <c r="I194" s="486"/>
      <c r="J194" s="486"/>
      <c r="K194" s="486"/>
      <c r="L194" s="486"/>
      <c r="M194" s="263"/>
      <c r="N194" s="486" t="str">
        <f>IF(V187&gt;V190,I187,IF(V190&gt;V187,I190,""))</f>
        <v>IVANČO Félix</v>
      </c>
      <c r="O194" s="486"/>
      <c r="P194" s="486"/>
      <c r="Q194" s="486"/>
      <c r="R194" s="486"/>
      <c r="S194" s="486"/>
      <c r="T194" s="263"/>
      <c r="U194" s="263"/>
      <c r="V194" s="263"/>
      <c r="W194" s="267"/>
      <c r="X194" s="263"/>
      <c r="AZ194" s="269" t="s">
        <v>43</v>
      </c>
      <c r="BA194" s="269">
        <v>8</v>
      </c>
    </row>
    <row r="195" spans="1:53" ht="39.950000000000003" customHeight="1">
      <c r="E195" s="271"/>
      <c r="F195" s="272"/>
      <c r="G195" s="263"/>
      <c r="H195" s="263"/>
      <c r="I195" s="486"/>
      <c r="J195" s="486"/>
      <c r="K195" s="486"/>
      <c r="L195" s="486"/>
      <c r="M195" s="263"/>
      <c r="N195" s="486"/>
      <c r="O195" s="486"/>
      <c r="P195" s="486"/>
      <c r="Q195" s="486"/>
      <c r="R195" s="486"/>
      <c r="S195" s="486"/>
      <c r="T195" s="263"/>
      <c r="U195" s="263"/>
      <c r="V195" s="263"/>
      <c r="W195" s="267"/>
      <c r="X195" s="263"/>
    </row>
    <row r="196" spans="1:53" ht="39.950000000000003" customHeight="1">
      <c r="E196" s="264" t="s">
        <v>27</v>
      </c>
      <c r="F196" s="274" t="s">
        <v>21</v>
      </c>
      <c r="G196" s="263"/>
      <c r="H196" s="263"/>
      <c r="I196" s="263"/>
      <c r="J196" s="263"/>
      <c r="K196" s="263"/>
      <c r="L196" s="263"/>
      <c r="M196" s="263"/>
      <c r="N196" s="263"/>
      <c r="O196" s="263"/>
      <c r="P196" s="263"/>
      <c r="Q196" s="263"/>
      <c r="R196" s="263"/>
      <c r="S196" s="263"/>
      <c r="T196" s="263"/>
      <c r="U196" s="263"/>
      <c r="V196" s="263"/>
      <c r="W196" s="267"/>
      <c r="X196" s="263"/>
    </row>
    <row r="197" spans="1:53" ht="39.950000000000003" customHeight="1">
      <c r="E197" s="271"/>
      <c r="F197" s="272"/>
      <c r="G197" s="263"/>
      <c r="H197" s="263" t="s">
        <v>33</v>
      </c>
      <c r="I197" s="263"/>
      <c r="J197" s="263"/>
      <c r="K197" s="263"/>
      <c r="L197" s="263"/>
      <c r="M197" s="263"/>
      <c r="N197" s="263"/>
      <c r="O197" s="263"/>
      <c r="P197" s="263"/>
      <c r="Q197" s="263"/>
      <c r="R197" s="263"/>
      <c r="S197" s="263"/>
      <c r="T197" s="263"/>
      <c r="U197" s="263"/>
      <c r="V197" s="263"/>
      <c r="W197" s="267"/>
      <c r="X197" s="263"/>
    </row>
    <row r="198" spans="1:53" ht="39.950000000000003" customHeight="1">
      <c r="E198" s="271"/>
      <c r="F198" s="272"/>
      <c r="G198" s="263"/>
      <c r="H198" s="263"/>
      <c r="I198" s="263"/>
      <c r="J198" s="263"/>
      <c r="K198" s="263"/>
      <c r="L198" s="263"/>
      <c r="M198" s="263"/>
      <c r="N198" s="263"/>
      <c r="O198" s="263"/>
      <c r="P198" s="263"/>
      <c r="Q198" s="263"/>
      <c r="R198" s="263"/>
      <c r="S198" s="263"/>
      <c r="T198" s="263"/>
      <c r="U198" s="263"/>
      <c r="V198" s="263"/>
      <c r="W198" s="267"/>
      <c r="X198" s="263"/>
    </row>
    <row r="199" spans="1:53" ht="39.950000000000003" customHeight="1">
      <c r="E199" s="271"/>
      <c r="F199" s="272"/>
      <c r="G199" s="263"/>
      <c r="H199" s="263"/>
      <c r="I199" s="496" t="str">
        <f>I187</f>
        <v>IVANČO Félix</v>
      </c>
      <c r="J199" s="496"/>
      <c r="K199" s="496"/>
      <c r="L199" s="496"/>
      <c r="M199" s="263"/>
      <c r="N199" s="263"/>
      <c r="O199" s="263"/>
      <c r="P199" s="496" t="str">
        <f>I190</f>
        <v>MARUNIAK Martin</v>
      </c>
      <c r="Q199" s="496"/>
      <c r="R199" s="496"/>
      <c r="S199" s="496"/>
      <c r="T199" s="497"/>
      <c r="U199" s="497"/>
      <c r="V199" s="263"/>
      <c r="W199" s="267"/>
      <c r="X199" s="263"/>
    </row>
    <row r="200" spans="1:53" ht="69.95" customHeight="1">
      <c r="E200" s="264"/>
      <c r="F200" s="265"/>
      <c r="G200" s="263"/>
      <c r="H200" s="275" t="s">
        <v>36</v>
      </c>
      <c r="I200" s="483"/>
      <c r="J200" s="494"/>
      <c r="K200" s="494"/>
      <c r="L200" s="495"/>
      <c r="M200" s="263"/>
      <c r="N200" s="263"/>
      <c r="O200" s="275" t="s">
        <v>36</v>
      </c>
      <c r="P200" s="486"/>
      <c r="Q200" s="486"/>
      <c r="R200" s="486"/>
      <c r="S200" s="486"/>
      <c r="T200" s="486"/>
      <c r="U200" s="486"/>
      <c r="V200" s="263"/>
      <c r="W200" s="267"/>
      <c r="X200" s="263"/>
    </row>
    <row r="201" spans="1:53" ht="69.95" customHeight="1">
      <c r="E201" s="264"/>
      <c r="F201" s="265"/>
      <c r="G201" s="263"/>
      <c r="H201" s="275" t="s">
        <v>37</v>
      </c>
      <c r="I201" s="486"/>
      <c r="J201" s="486"/>
      <c r="K201" s="486"/>
      <c r="L201" s="486"/>
      <c r="M201" s="263"/>
      <c r="N201" s="263"/>
      <c r="O201" s="275" t="s">
        <v>37</v>
      </c>
      <c r="P201" s="486"/>
      <c r="Q201" s="486"/>
      <c r="R201" s="486"/>
      <c r="S201" s="486"/>
      <c r="T201" s="486"/>
      <c r="U201" s="486"/>
      <c r="V201" s="263"/>
      <c r="W201" s="267"/>
      <c r="X201" s="263"/>
    </row>
    <row r="202" spans="1:53" ht="69.95" customHeight="1">
      <c r="E202" s="264"/>
      <c r="F202" s="265"/>
      <c r="G202" s="263"/>
      <c r="H202" s="275" t="s">
        <v>37</v>
      </c>
      <c r="I202" s="486"/>
      <c r="J202" s="486"/>
      <c r="K202" s="486"/>
      <c r="L202" s="486"/>
      <c r="M202" s="263"/>
      <c r="N202" s="263"/>
      <c r="O202" s="275" t="s">
        <v>37</v>
      </c>
      <c r="P202" s="486"/>
      <c r="Q202" s="486"/>
      <c r="R202" s="486"/>
      <c r="S202" s="486"/>
      <c r="T202" s="486"/>
      <c r="U202" s="486"/>
      <c r="V202" s="263"/>
      <c r="W202" s="267"/>
      <c r="X202" s="263"/>
    </row>
    <row r="203" spans="1:53" ht="39.950000000000003" customHeight="1" thickBot="1">
      <c r="E203" s="276"/>
      <c r="F203" s="277"/>
      <c r="G203" s="278"/>
      <c r="H203" s="278"/>
      <c r="I203" s="278"/>
      <c r="J203" s="278"/>
      <c r="K203" s="278"/>
      <c r="L203" s="278"/>
      <c r="M203" s="278"/>
      <c r="N203" s="278"/>
      <c r="O203" s="278"/>
      <c r="P203" s="278"/>
      <c r="Q203" s="278"/>
      <c r="R203" s="278"/>
      <c r="S203" s="278"/>
      <c r="T203" s="279"/>
      <c r="U203" s="279"/>
      <c r="V203" s="279"/>
      <c r="W203" s="280"/>
      <c r="X203" s="263"/>
    </row>
    <row r="204" spans="1:53" ht="62.25" thickBot="1">
      <c r="A204" s="252" t="s">
        <v>62</v>
      </c>
    </row>
    <row r="205" spans="1:53" ht="39.950000000000003" customHeight="1">
      <c r="A205" s="252" t="str">
        <f>CONCATENATE(F212,F214,F216)</f>
        <v>CHB1-3</v>
      </c>
      <c r="E205" s="259" t="s">
        <v>70</v>
      </c>
      <c r="F205" s="260">
        <f>VLOOKUP(A205,'zoznam zapasov'!$A$6:$K$77,3,0)</f>
        <v>11</v>
      </c>
      <c r="G205" s="261"/>
      <c r="H205" s="322" t="s">
        <v>501</v>
      </c>
      <c r="I205" s="261"/>
      <c r="J205" s="261"/>
      <c r="K205" s="261"/>
      <c r="L205" s="261"/>
      <c r="M205" s="261"/>
      <c r="N205" s="261"/>
      <c r="O205" s="261"/>
      <c r="P205" s="261"/>
      <c r="Q205" s="261"/>
      <c r="R205" s="261"/>
      <c r="S205" s="261"/>
      <c r="T205" s="261"/>
      <c r="U205" s="261"/>
      <c r="V205" s="261" t="s">
        <v>30</v>
      </c>
      <c r="W205" s="262"/>
      <c r="X205" s="263"/>
      <c r="Z205" s="258" t="str">
        <f>CONCATENATE(V207,":",V210)</f>
        <v>3:0</v>
      </c>
      <c r="AE205" s="253" t="s">
        <v>11</v>
      </c>
      <c r="AV205" s="256" t="str">
        <f>CONCATENATE(AN207,",",AO207,",",AP207,",",AQ207,",",AR207,",",AS207,",",AT207)</f>
        <v>6,9,7,,,,</v>
      </c>
    </row>
    <row r="206" spans="1:53" ht="39.950000000000003" customHeight="1">
      <c r="E206" s="264"/>
      <c r="F206" s="265"/>
      <c r="G206" s="321" t="s">
        <v>500</v>
      </c>
      <c r="H206" s="323" t="s">
        <v>502</v>
      </c>
      <c r="I206" s="263"/>
      <c r="J206" s="263"/>
      <c r="K206" s="263"/>
      <c r="L206" s="263"/>
      <c r="M206" s="263"/>
      <c r="N206" s="266">
        <v>1</v>
      </c>
      <c r="O206" s="266">
        <v>2</v>
      </c>
      <c r="P206" s="266">
        <v>3</v>
      </c>
      <c r="Q206" s="266">
        <v>4</v>
      </c>
      <c r="R206" s="266">
        <v>5</v>
      </c>
      <c r="S206" s="266">
        <v>6</v>
      </c>
      <c r="T206" s="266">
        <v>7</v>
      </c>
      <c r="U206" s="263"/>
      <c r="V206" s="266" t="s">
        <v>31</v>
      </c>
      <c r="W206" s="267"/>
      <c r="X206" s="263"/>
      <c r="AE206" s="253" t="s">
        <v>68</v>
      </c>
      <c r="AV206" s="256" t="str">
        <f>CONCATENATE(AN208,",",AO208,",",AP208,",",AQ208,",",AR208,",",AS208,",",AT208)</f>
        <v>-6,-9,-7,,,,</v>
      </c>
    </row>
    <row r="207" spans="1:53" ht="39.950000000000003" customHeight="1">
      <c r="A207" s="252" t="str">
        <f>CONCATENATE(F212,VLOOKUP(F214,$AZ$7:$BA$14,2,0),LEFT(F216,1))</f>
        <v>CH21</v>
      </c>
      <c r="E207" s="264" t="s">
        <v>29</v>
      </c>
      <c r="F207" s="265">
        <f>VLOOKUP(A205,'zoznam zapasov'!$A$6:$K$77,11,0)</f>
        <v>3</v>
      </c>
      <c r="G207" s="508"/>
      <c r="H207" s="495"/>
      <c r="I207" s="487" t="str">
        <f>IF(ISERROR(VLOOKUP(A207,vylosovanie!$A$8:$J$68,6,0))=TRUE,"",VLOOKUP(A207,vylosovanie!$A$8:$J$68,6,0))</f>
        <v>KYSEL Martin</v>
      </c>
      <c r="J207" s="487"/>
      <c r="K207" s="487"/>
      <c r="L207" s="487"/>
      <c r="M207" s="263"/>
      <c r="N207" s="489">
        <v>11</v>
      </c>
      <c r="O207" s="489">
        <v>11</v>
      </c>
      <c r="P207" s="489">
        <v>11</v>
      </c>
      <c r="Q207" s="489"/>
      <c r="R207" s="489"/>
      <c r="S207" s="489"/>
      <c r="T207" s="489"/>
      <c r="U207" s="263"/>
      <c r="V207" s="493">
        <f>IF(SUM(AF207:AL208)=0,"",SUM(AF207:AL207))</f>
        <v>3</v>
      </c>
      <c r="W207" s="267"/>
      <c r="X207" s="263"/>
      <c r="AE207" s="253" t="str">
        <f>VLOOKUP(I207,vylosovanie!$F$8:$L$190,7,0)</f>
        <v>CH21</v>
      </c>
      <c r="AF207" s="268">
        <f>IF(N207&gt;N210,1,0)</f>
        <v>1</v>
      </c>
      <c r="AG207" s="268">
        <f t="shared" ref="AG207" si="130">IF(O207&gt;O210,1,0)</f>
        <v>1</v>
      </c>
      <c r="AH207" s="268">
        <f t="shared" ref="AH207" si="131">IF(P207&gt;P210,1,0)</f>
        <v>1</v>
      </c>
      <c r="AI207" s="268">
        <f t="shared" ref="AI207" si="132">IF(Q207&gt;Q210,1,0)</f>
        <v>0</v>
      </c>
      <c r="AJ207" s="268">
        <f t="shared" ref="AJ207" si="133">IF(R207&gt;R210,1,0)</f>
        <v>0</v>
      </c>
      <c r="AK207" s="268">
        <f t="shared" ref="AK207" si="134">IF(S207&gt;S210,1,0)</f>
        <v>0</v>
      </c>
      <c r="AL207" s="268">
        <f t="shared" ref="AL207" si="135">IF(T207&gt;T210,1,0)</f>
        <v>0</v>
      </c>
      <c r="AN207" s="268">
        <f t="shared" ref="AN207:AT207" si="136">IF(ISBLANK(N207)=TRUE,"",IF(AF207=1,N210,-N207))</f>
        <v>6</v>
      </c>
      <c r="AO207" s="268">
        <f t="shared" si="136"/>
        <v>9</v>
      </c>
      <c r="AP207" s="268">
        <f t="shared" si="136"/>
        <v>7</v>
      </c>
      <c r="AQ207" s="268" t="str">
        <f t="shared" si="136"/>
        <v/>
      </c>
      <c r="AR207" s="268" t="str">
        <f t="shared" si="136"/>
        <v/>
      </c>
      <c r="AS207" s="268" t="str">
        <f t="shared" si="136"/>
        <v/>
      </c>
      <c r="AT207" s="268" t="str">
        <f t="shared" si="136"/>
        <v/>
      </c>
      <c r="AZ207" s="269" t="s">
        <v>12</v>
      </c>
      <c r="BA207" s="269">
        <v>1</v>
      </c>
    </row>
    <row r="208" spans="1:53" ht="39.950000000000003" customHeight="1">
      <c r="E208" s="264"/>
      <c r="F208" s="265"/>
      <c r="G208" s="509"/>
      <c r="H208" s="495"/>
      <c r="I208" s="487"/>
      <c r="J208" s="487"/>
      <c r="K208" s="487"/>
      <c r="L208" s="487"/>
      <c r="M208" s="263"/>
      <c r="N208" s="490"/>
      <c r="O208" s="490"/>
      <c r="P208" s="490"/>
      <c r="Q208" s="490"/>
      <c r="R208" s="490"/>
      <c r="S208" s="490"/>
      <c r="T208" s="490"/>
      <c r="U208" s="263"/>
      <c r="V208" s="493"/>
      <c r="W208" s="267"/>
      <c r="X208" s="263"/>
      <c r="AE208" s="253" t="str">
        <f>VLOOKUP(I210,vylosovanie!$F$8:$L$190,7,0)</f>
        <v>CH23</v>
      </c>
      <c r="AF208" s="268">
        <f>IF(N210&gt;N207,1,0)</f>
        <v>0</v>
      </c>
      <c r="AG208" s="268">
        <f t="shared" ref="AG208" si="137">IF(O210&gt;O207,1,0)</f>
        <v>0</v>
      </c>
      <c r="AH208" s="268">
        <f t="shared" ref="AH208" si="138">IF(P210&gt;P207,1,0)</f>
        <v>0</v>
      </c>
      <c r="AI208" s="268">
        <f t="shared" ref="AI208" si="139">IF(Q210&gt;Q207,1,0)</f>
        <v>0</v>
      </c>
      <c r="AJ208" s="268">
        <f t="shared" ref="AJ208" si="140">IF(R210&gt;R207,1,0)</f>
        <v>0</v>
      </c>
      <c r="AK208" s="268">
        <f t="shared" ref="AK208" si="141">IF(S210&gt;S207,1,0)</f>
        <v>0</v>
      </c>
      <c r="AL208" s="268">
        <f t="shared" ref="AL208" si="142">IF(T210&gt;T207,1,0)</f>
        <v>0</v>
      </c>
      <c r="AN208" s="268">
        <f t="shared" ref="AN208:AT208" si="143">IF(ISBLANK(N210)=TRUE,"",IF(AF208=1,N207,-N210))</f>
        <v>-6</v>
      </c>
      <c r="AO208" s="268">
        <f t="shared" si="143"/>
        <v>-9</v>
      </c>
      <c r="AP208" s="268">
        <f t="shared" si="143"/>
        <v>-7</v>
      </c>
      <c r="AQ208" s="268" t="str">
        <f t="shared" si="143"/>
        <v/>
      </c>
      <c r="AR208" s="268" t="str">
        <f t="shared" si="143"/>
        <v/>
      </c>
      <c r="AS208" s="268" t="str">
        <f t="shared" si="143"/>
        <v/>
      </c>
      <c r="AT208" s="268" t="str">
        <f t="shared" si="143"/>
        <v/>
      </c>
      <c r="AZ208" s="269" t="s">
        <v>18</v>
      </c>
      <c r="BA208" s="269">
        <v>2</v>
      </c>
    </row>
    <row r="209" spans="1:53" ht="39.950000000000003" customHeight="1">
      <c r="E209" s="264" t="s">
        <v>35</v>
      </c>
      <c r="F209" s="265" t="str">
        <f>VLOOKUP(A205,'zoznam zapasov'!$A$6:$K$77,9,0)</f>
        <v>So</v>
      </c>
      <c r="G209" s="263"/>
      <c r="H209" s="263"/>
      <c r="I209" s="263"/>
      <c r="J209" s="263"/>
      <c r="K209" s="263"/>
      <c r="L209" s="263"/>
      <c r="M209" s="263"/>
      <c r="N209" s="263"/>
      <c r="O209" s="263"/>
      <c r="P209" s="263"/>
      <c r="Q209" s="263"/>
      <c r="R209" s="263"/>
      <c r="S209" s="263"/>
      <c r="T209" s="263"/>
      <c r="U209" s="263"/>
      <c r="V209" s="263"/>
      <c r="W209" s="267"/>
      <c r="X209" s="263"/>
      <c r="AZ209" s="269" t="s">
        <v>38</v>
      </c>
      <c r="BA209" s="269">
        <v>3</v>
      </c>
    </row>
    <row r="210" spans="1:53" ht="39.950000000000003" customHeight="1">
      <c r="A210" s="252" t="str">
        <f>CONCATENATE(F212,VLOOKUP(F214,$AZ$7:$BA$14,2,0),RIGHT(F216,1))</f>
        <v>CH23</v>
      </c>
      <c r="E210" s="264" t="s">
        <v>28</v>
      </c>
      <c r="F210" s="270" t="str">
        <f>VLOOKUP(A205,'zoznam zapasov'!$A$6:$K$77,10,0)</f>
        <v>9.55</v>
      </c>
      <c r="G210" s="508"/>
      <c r="H210" s="486"/>
      <c r="I210" s="487" t="str">
        <f>IF(ISERROR(VLOOKUP(A210,vylosovanie!$A$8:$J$68,6,0))=TRUE,"",VLOOKUP(A210,vylosovanie!$A$8:$J$68,6,0))</f>
        <v>KAPUSTA Martin</v>
      </c>
      <c r="J210" s="487"/>
      <c r="K210" s="487"/>
      <c r="L210" s="487"/>
      <c r="M210" s="263"/>
      <c r="N210" s="489">
        <v>6</v>
      </c>
      <c r="O210" s="489">
        <v>9</v>
      </c>
      <c r="P210" s="489">
        <v>7</v>
      </c>
      <c r="Q210" s="489"/>
      <c r="R210" s="489"/>
      <c r="S210" s="489"/>
      <c r="T210" s="489"/>
      <c r="U210" s="263"/>
      <c r="V210" s="493">
        <f>IF(SUM(AF207:AL208)=0,"",SUM(AF208:AL208))</f>
        <v>0</v>
      </c>
      <c r="W210" s="267"/>
      <c r="X210" s="263"/>
      <c r="AZ210" s="269" t="s">
        <v>39</v>
      </c>
      <c r="BA210" s="269">
        <v>4</v>
      </c>
    </row>
    <row r="211" spans="1:53" ht="39.950000000000003" customHeight="1">
      <c r="E211" s="271"/>
      <c r="F211" s="272"/>
      <c r="G211" s="509"/>
      <c r="H211" s="486"/>
      <c r="I211" s="487"/>
      <c r="J211" s="487"/>
      <c r="K211" s="487"/>
      <c r="L211" s="487"/>
      <c r="M211" s="263"/>
      <c r="N211" s="490"/>
      <c r="O211" s="490"/>
      <c r="P211" s="490"/>
      <c r="Q211" s="490"/>
      <c r="R211" s="490"/>
      <c r="S211" s="490"/>
      <c r="T211" s="490"/>
      <c r="U211" s="263"/>
      <c r="V211" s="493"/>
      <c r="W211" s="267"/>
      <c r="X211" s="263"/>
      <c r="AZ211" s="269" t="s">
        <v>40</v>
      </c>
      <c r="BA211" s="269">
        <v>5</v>
      </c>
    </row>
    <row r="212" spans="1:53" ht="39.950000000000003" customHeight="1">
      <c r="E212" s="264" t="s">
        <v>66</v>
      </c>
      <c r="F212" s="265" t="s">
        <v>65</v>
      </c>
      <c r="G212" s="263"/>
      <c r="H212" s="263"/>
      <c r="I212" s="263"/>
      <c r="J212" s="263"/>
      <c r="K212" s="263"/>
      <c r="L212" s="263"/>
      <c r="M212" s="263"/>
      <c r="N212" s="263"/>
      <c r="O212" s="263"/>
      <c r="P212" s="263"/>
      <c r="Q212" s="263"/>
      <c r="R212" s="263"/>
      <c r="S212" s="263"/>
      <c r="T212" s="263"/>
      <c r="U212" s="263"/>
      <c r="V212" s="263"/>
      <c r="W212" s="267"/>
      <c r="X212" s="263"/>
      <c r="AZ212" s="269" t="s">
        <v>41</v>
      </c>
      <c r="BA212" s="269">
        <v>6</v>
      </c>
    </row>
    <row r="213" spans="1:53" ht="39.950000000000003" customHeight="1">
      <c r="E213" s="271"/>
      <c r="F213" s="272"/>
      <c r="G213" s="263"/>
      <c r="H213" s="263"/>
      <c r="I213" s="263" t="s">
        <v>32</v>
      </c>
      <c r="J213" s="263"/>
      <c r="K213" s="263"/>
      <c r="L213" s="263"/>
      <c r="M213" s="263"/>
      <c r="N213" s="273"/>
      <c r="O213" s="266"/>
      <c r="P213" s="266" t="s">
        <v>34</v>
      </c>
      <c r="Q213" s="266"/>
      <c r="R213" s="266"/>
      <c r="S213" s="266"/>
      <c r="T213" s="266"/>
      <c r="U213" s="263"/>
      <c r="V213" s="263"/>
      <c r="W213" s="267"/>
      <c r="X213" s="263"/>
      <c r="AZ213" s="269" t="s">
        <v>42</v>
      </c>
      <c r="BA213" s="269">
        <v>7</v>
      </c>
    </row>
    <row r="214" spans="1:53" ht="39.950000000000003" customHeight="1">
      <c r="E214" s="264" t="s">
        <v>26</v>
      </c>
      <c r="F214" s="265" t="s">
        <v>18</v>
      </c>
      <c r="G214" s="263"/>
      <c r="H214" s="263"/>
      <c r="I214" s="486"/>
      <c r="J214" s="486"/>
      <c r="K214" s="486"/>
      <c r="L214" s="486"/>
      <c r="M214" s="263"/>
      <c r="N214" s="486" t="str">
        <f>IF(V207&gt;V210,I207,IF(V210&gt;V207,I210,""))</f>
        <v>KYSEL Martin</v>
      </c>
      <c r="O214" s="486"/>
      <c r="P214" s="486"/>
      <c r="Q214" s="486"/>
      <c r="R214" s="486"/>
      <c r="S214" s="486"/>
      <c r="T214" s="263"/>
      <c r="U214" s="263"/>
      <c r="V214" s="263"/>
      <c r="W214" s="267"/>
      <c r="X214" s="263"/>
      <c r="AZ214" s="269" t="s">
        <v>43</v>
      </c>
      <c r="BA214" s="269">
        <v>8</v>
      </c>
    </row>
    <row r="215" spans="1:53" ht="39.950000000000003" customHeight="1">
      <c r="E215" s="271"/>
      <c r="F215" s="272"/>
      <c r="G215" s="263"/>
      <c r="H215" s="263"/>
      <c r="I215" s="486"/>
      <c r="J215" s="486"/>
      <c r="K215" s="486"/>
      <c r="L215" s="486"/>
      <c r="M215" s="263"/>
      <c r="N215" s="486"/>
      <c r="O215" s="486"/>
      <c r="P215" s="486"/>
      <c r="Q215" s="486"/>
      <c r="R215" s="486"/>
      <c r="S215" s="486"/>
      <c r="T215" s="263"/>
      <c r="U215" s="263"/>
      <c r="V215" s="263"/>
      <c r="W215" s="267"/>
      <c r="X215" s="263"/>
    </row>
    <row r="216" spans="1:53" ht="39.950000000000003" customHeight="1">
      <c r="E216" s="264" t="s">
        <v>27</v>
      </c>
      <c r="F216" s="274" t="s">
        <v>20</v>
      </c>
      <c r="G216" s="263"/>
      <c r="H216" s="263"/>
      <c r="I216" s="263"/>
      <c r="J216" s="263"/>
      <c r="K216" s="263"/>
      <c r="L216" s="263"/>
      <c r="M216" s="263"/>
      <c r="N216" s="263"/>
      <c r="O216" s="263"/>
      <c r="P216" s="263"/>
      <c r="Q216" s="263"/>
      <c r="R216" s="263"/>
      <c r="S216" s="263"/>
      <c r="T216" s="263"/>
      <c r="U216" s="263"/>
      <c r="V216" s="263"/>
      <c r="W216" s="267"/>
      <c r="X216" s="263"/>
    </row>
    <row r="217" spans="1:53" ht="39.950000000000003" customHeight="1">
      <c r="E217" s="271"/>
      <c r="F217" s="272"/>
      <c r="G217" s="263"/>
      <c r="H217" s="263" t="s">
        <v>33</v>
      </c>
      <c r="I217" s="263"/>
      <c r="J217" s="263"/>
      <c r="K217" s="263"/>
      <c r="L217" s="263"/>
      <c r="M217" s="263"/>
      <c r="N217" s="263"/>
      <c r="O217" s="263"/>
      <c r="P217" s="263"/>
      <c r="Q217" s="263"/>
      <c r="R217" s="263"/>
      <c r="S217" s="263"/>
      <c r="T217" s="263"/>
      <c r="U217" s="263"/>
      <c r="V217" s="263"/>
      <c r="W217" s="267"/>
      <c r="X217" s="263"/>
    </row>
    <row r="218" spans="1:53" ht="39.950000000000003" customHeight="1">
      <c r="E218" s="271"/>
      <c r="F218" s="272"/>
      <c r="G218" s="263"/>
      <c r="H218" s="263"/>
      <c r="I218" s="263"/>
      <c r="J218" s="263"/>
      <c r="K218" s="263"/>
      <c r="L218" s="263"/>
      <c r="M218" s="263"/>
      <c r="N218" s="263"/>
      <c r="O218" s="263"/>
      <c r="P218" s="263"/>
      <c r="Q218" s="263"/>
      <c r="R218" s="263"/>
      <c r="S218" s="263"/>
      <c r="T218" s="263"/>
      <c r="U218" s="263"/>
      <c r="V218" s="263"/>
      <c r="W218" s="267"/>
      <c r="X218" s="263"/>
    </row>
    <row r="219" spans="1:53" ht="39.950000000000003" customHeight="1">
      <c r="E219" s="271"/>
      <c r="F219" s="272"/>
      <c r="G219" s="263"/>
      <c r="H219" s="263"/>
      <c r="I219" s="496" t="str">
        <f>I207</f>
        <v>KYSEL Martin</v>
      </c>
      <c r="J219" s="496"/>
      <c r="K219" s="496"/>
      <c r="L219" s="496"/>
      <c r="M219" s="263"/>
      <c r="N219" s="263"/>
      <c r="O219" s="263"/>
      <c r="P219" s="496" t="str">
        <f>I210</f>
        <v>KAPUSTA Martin</v>
      </c>
      <c r="Q219" s="496"/>
      <c r="R219" s="496"/>
      <c r="S219" s="496"/>
      <c r="T219" s="497"/>
      <c r="U219" s="497"/>
      <c r="V219" s="263"/>
      <c r="W219" s="267"/>
      <c r="X219" s="263"/>
    </row>
    <row r="220" spans="1:53" ht="69.95" customHeight="1">
      <c r="E220" s="264"/>
      <c r="F220" s="265"/>
      <c r="G220" s="263"/>
      <c r="H220" s="275" t="s">
        <v>36</v>
      </c>
      <c r="I220" s="483"/>
      <c r="J220" s="494"/>
      <c r="K220" s="494"/>
      <c r="L220" s="495"/>
      <c r="M220" s="263"/>
      <c r="N220" s="263"/>
      <c r="O220" s="275" t="s">
        <v>36</v>
      </c>
      <c r="P220" s="486"/>
      <c r="Q220" s="486"/>
      <c r="R220" s="486"/>
      <c r="S220" s="486"/>
      <c r="T220" s="486"/>
      <c r="U220" s="486"/>
      <c r="V220" s="263"/>
      <c r="W220" s="267"/>
      <c r="X220" s="263"/>
    </row>
    <row r="221" spans="1:53" ht="69.95" customHeight="1">
      <c r="E221" s="264"/>
      <c r="F221" s="265"/>
      <c r="G221" s="263"/>
      <c r="H221" s="275" t="s">
        <v>37</v>
      </c>
      <c r="I221" s="486"/>
      <c r="J221" s="486"/>
      <c r="K221" s="486"/>
      <c r="L221" s="486"/>
      <c r="M221" s="263"/>
      <c r="N221" s="263"/>
      <c r="O221" s="275" t="s">
        <v>37</v>
      </c>
      <c r="P221" s="486"/>
      <c r="Q221" s="486"/>
      <c r="R221" s="486"/>
      <c r="S221" s="486"/>
      <c r="T221" s="486"/>
      <c r="U221" s="486"/>
      <c r="V221" s="263"/>
      <c r="W221" s="267"/>
      <c r="X221" s="263"/>
    </row>
    <row r="222" spans="1:53" ht="69.95" customHeight="1">
      <c r="E222" s="264"/>
      <c r="F222" s="265"/>
      <c r="G222" s="263"/>
      <c r="H222" s="275" t="s">
        <v>37</v>
      </c>
      <c r="I222" s="486"/>
      <c r="J222" s="486"/>
      <c r="K222" s="486"/>
      <c r="L222" s="486"/>
      <c r="M222" s="263"/>
      <c r="N222" s="263"/>
      <c r="O222" s="275" t="s">
        <v>37</v>
      </c>
      <c r="P222" s="486"/>
      <c r="Q222" s="486"/>
      <c r="R222" s="486"/>
      <c r="S222" s="486"/>
      <c r="T222" s="486"/>
      <c r="U222" s="486"/>
      <c r="V222" s="263"/>
      <c r="W222" s="267"/>
      <c r="X222" s="263"/>
    </row>
    <row r="223" spans="1:53" ht="39.950000000000003" customHeight="1" thickBot="1">
      <c r="E223" s="276"/>
      <c r="F223" s="277"/>
      <c r="G223" s="278"/>
      <c r="H223" s="278"/>
      <c r="I223" s="278"/>
      <c r="J223" s="278"/>
      <c r="K223" s="278"/>
      <c r="L223" s="278"/>
      <c r="M223" s="278"/>
      <c r="N223" s="278"/>
      <c r="O223" s="278"/>
      <c r="P223" s="278"/>
      <c r="Q223" s="278"/>
      <c r="R223" s="278"/>
      <c r="S223" s="278"/>
      <c r="T223" s="279"/>
      <c r="U223" s="279"/>
      <c r="V223" s="279"/>
      <c r="W223" s="280"/>
      <c r="X223" s="263"/>
    </row>
    <row r="224" spans="1:53" ht="62.25" thickBot="1"/>
    <row r="225" spans="1:53" ht="39.950000000000003" customHeight="1">
      <c r="A225" s="252" t="str">
        <f>CONCATENATE(F232,F234,F236)</f>
        <v>CHB2-4</v>
      </c>
      <c r="E225" s="259" t="s">
        <v>70</v>
      </c>
      <c r="F225" s="260">
        <f>VLOOKUP(A225,'zoznam zapasov'!$A$6:$K$77,3,0)</f>
        <v>12</v>
      </c>
      <c r="G225" s="261"/>
      <c r="H225" s="322" t="s">
        <v>501</v>
      </c>
      <c r="I225" s="261"/>
      <c r="J225" s="261"/>
      <c r="K225" s="261"/>
      <c r="L225" s="261"/>
      <c r="M225" s="261"/>
      <c r="N225" s="261"/>
      <c r="O225" s="261"/>
      <c r="P225" s="261"/>
      <c r="Q225" s="261"/>
      <c r="R225" s="261"/>
      <c r="S225" s="261"/>
      <c r="T225" s="261"/>
      <c r="U225" s="261"/>
      <c r="V225" s="261" t="s">
        <v>30</v>
      </c>
      <c r="W225" s="262"/>
      <c r="X225" s="263"/>
      <c r="Z225" s="258" t="str">
        <f>CONCATENATE(V227,":",V230)</f>
        <v>3:0</v>
      </c>
      <c r="AE225" s="253" t="s">
        <v>11</v>
      </c>
      <c r="AV225" s="256" t="str">
        <f>CONCATENATE(AN227,",",AO227,",",AP227,",",AQ227,",",AR227,",",AS227,",",AT227)</f>
        <v>5,8,8,,,,</v>
      </c>
    </row>
    <row r="226" spans="1:53" ht="39.950000000000003" customHeight="1">
      <c r="E226" s="264"/>
      <c r="F226" s="265"/>
      <c r="G226" s="321" t="s">
        <v>500</v>
      </c>
      <c r="H226" s="323" t="s">
        <v>502</v>
      </c>
      <c r="I226" s="263"/>
      <c r="J226" s="263"/>
      <c r="K226" s="263"/>
      <c r="L226" s="263"/>
      <c r="M226" s="263"/>
      <c r="N226" s="266">
        <v>1</v>
      </c>
      <c r="O226" s="266">
        <v>2</v>
      </c>
      <c r="P226" s="266">
        <v>3</v>
      </c>
      <c r="Q226" s="266">
        <v>4</v>
      </c>
      <c r="R226" s="266">
        <v>5</v>
      </c>
      <c r="S226" s="266">
        <v>6</v>
      </c>
      <c r="T226" s="266">
        <v>7</v>
      </c>
      <c r="U226" s="263"/>
      <c r="V226" s="266" t="s">
        <v>31</v>
      </c>
      <c r="W226" s="267"/>
      <c r="X226" s="263"/>
      <c r="AE226" s="253" t="s">
        <v>68</v>
      </c>
      <c r="AV226" s="256" t="str">
        <f>CONCATENATE(AN228,",",AO228,",",AP228,",",AQ228,",",AR228,",",AS228,",",AT228)</f>
        <v>-5,-8,-8,,,,</v>
      </c>
    </row>
    <row r="227" spans="1:53" ht="39.950000000000003" customHeight="1">
      <c r="A227" s="252" t="str">
        <f>CONCATENATE(F232,VLOOKUP(F234,$AZ$7:$BA$14,2,0),LEFT(F236,1))</f>
        <v>CH22</v>
      </c>
      <c r="E227" s="264" t="s">
        <v>29</v>
      </c>
      <c r="F227" s="265">
        <f>VLOOKUP(A225,'zoznam zapasov'!$A$6:$K$77,11,0)</f>
        <v>4</v>
      </c>
      <c r="G227" s="508"/>
      <c r="H227" s="495"/>
      <c r="I227" s="487" t="str">
        <f>IF(ISERROR(VLOOKUP(A227,vylosovanie!$A$8:$J$68,6,0))=TRUE,"",VLOOKUP(A227,vylosovanie!$A$8:$J$68,6,0))</f>
        <v>SUCHA Tomáš</v>
      </c>
      <c r="J227" s="487"/>
      <c r="K227" s="487"/>
      <c r="L227" s="487"/>
      <c r="M227" s="263"/>
      <c r="N227" s="489">
        <v>11</v>
      </c>
      <c r="O227" s="489">
        <v>11</v>
      </c>
      <c r="P227" s="489">
        <v>11</v>
      </c>
      <c r="Q227" s="489"/>
      <c r="R227" s="489"/>
      <c r="S227" s="489"/>
      <c r="T227" s="489"/>
      <c r="U227" s="263"/>
      <c r="V227" s="493">
        <f>IF(SUM(AF227:AL228)=0,"",SUM(AF227:AL227))</f>
        <v>3</v>
      </c>
      <c r="W227" s="267"/>
      <c r="X227" s="263"/>
      <c r="AE227" s="253" t="str">
        <f>VLOOKUP(I227,vylosovanie!$F$8:$L$190,7,0)</f>
        <v>CH22</v>
      </c>
      <c r="AF227" s="268">
        <f>IF(N227&gt;N230,1,0)</f>
        <v>1</v>
      </c>
      <c r="AG227" s="268">
        <f t="shared" ref="AG227" si="144">IF(O227&gt;O230,1,0)</f>
        <v>1</v>
      </c>
      <c r="AH227" s="268">
        <f t="shared" ref="AH227" si="145">IF(P227&gt;P230,1,0)</f>
        <v>1</v>
      </c>
      <c r="AI227" s="268">
        <f t="shared" ref="AI227" si="146">IF(Q227&gt;Q230,1,0)</f>
        <v>0</v>
      </c>
      <c r="AJ227" s="268">
        <f t="shared" ref="AJ227" si="147">IF(R227&gt;R230,1,0)</f>
        <v>0</v>
      </c>
      <c r="AK227" s="268">
        <f t="shared" ref="AK227" si="148">IF(S227&gt;S230,1,0)</f>
        <v>0</v>
      </c>
      <c r="AL227" s="268">
        <f t="shared" ref="AL227" si="149">IF(T227&gt;T230,1,0)</f>
        <v>0</v>
      </c>
      <c r="AN227" s="268">
        <f t="shared" ref="AN227:AT227" si="150">IF(ISBLANK(N227)=TRUE,"",IF(AF227=1,N230,-N227))</f>
        <v>5</v>
      </c>
      <c r="AO227" s="268">
        <f t="shared" si="150"/>
        <v>8</v>
      </c>
      <c r="AP227" s="268">
        <f t="shared" si="150"/>
        <v>8</v>
      </c>
      <c r="AQ227" s="268" t="str">
        <f t="shared" si="150"/>
        <v/>
      </c>
      <c r="AR227" s="268" t="str">
        <f t="shared" si="150"/>
        <v/>
      </c>
      <c r="AS227" s="268" t="str">
        <f t="shared" si="150"/>
        <v/>
      </c>
      <c r="AT227" s="268" t="str">
        <f t="shared" si="150"/>
        <v/>
      </c>
      <c r="AZ227" s="269" t="s">
        <v>12</v>
      </c>
      <c r="BA227" s="269">
        <v>1</v>
      </c>
    </row>
    <row r="228" spans="1:53" ht="39.950000000000003" customHeight="1">
      <c r="E228" s="264"/>
      <c r="F228" s="265"/>
      <c r="G228" s="509"/>
      <c r="H228" s="495"/>
      <c r="I228" s="487"/>
      <c r="J228" s="487"/>
      <c r="K228" s="487"/>
      <c r="L228" s="487"/>
      <c r="M228" s="263"/>
      <c r="N228" s="490"/>
      <c r="O228" s="490"/>
      <c r="P228" s="490"/>
      <c r="Q228" s="490"/>
      <c r="R228" s="490"/>
      <c r="S228" s="490"/>
      <c r="T228" s="490"/>
      <c r="U228" s="263"/>
      <c r="V228" s="493"/>
      <c r="W228" s="267"/>
      <c r="X228" s="263"/>
      <c r="AE228" s="253" t="str">
        <f>VLOOKUP(I230,vylosovanie!$F$8:$L$190,7,0)</f>
        <v>CH24</v>
      </c>
      <c r="AF228" s="268">
        <f>IF(N230&gt;N227,1,0)</f>
        <v>0</v>
      </c>
      <c r="AG228" s="268">
        <f t="shared" ref="AG228" si="151">IF(O230&gt;O227,1,0)</f>
        <v>0</v>
      </c>
      <c r="AH228" s="268">
        <f t="shared" ref="AH228" si="152">IF(P230&gt;P227,1,0)</f>
        <v>0</v>
      </c>
      <c r="AI228" s="268">
        <f t="shared" ref="AI228" si="153">IF(Q230&gt;Q227,1,0)</f>
        <v>0</v>
      </c>
      <c r="AJ228" s="268">
        <f t="shared" ref="AJ228" si="154">IF(R230&gt;R227,1,0)</f>
        <v>0</v>
      </c>
      <c r="AK228" s="268">
        <f t="shared" ref="AK228" si="155">IF(S230&gt;S227,1,0)</f>
        <v>0</v>
      </c>
      <c r="AL228" s="268">
        <f t="shared" ref="AL228" si="156">IF(T230&gt;T227,1,0)</f>
        <v>0</v>
      </c>
      <c r="AN228" s="268">
        <f t="shared" ref="AN228:AT228" si="157">IF(ISBLANK(N230)=TRUE,"",IF(AF228=1,N227,-N230))</f>
        <v>-5</v>
      </c>
      <c r="AO228" s="268">
        <f t="shared" si="157"/>
        <v>-8</v>
      </c>
      <c r="AP228" s="268">
        <f t="shared" si="157"/>
        <v>-8</v>
      </c>
      <c r="AQ228" s="268" t="str">
        <f t="shared" si="157"/>
        <v/>
      </c>
      <c r="AR228" s="268" t="str">
        <f t="shared" si="157"/>
        <v/>
      </c>
      <c r="AS228" s="268" t="str">
        <f t="shared" si="157"/>
        <v/>
      </c>
      <c r="AT228" s="268" t="str">
        <f t="shared" si="157"/>
        <v/>
      </c>
      <c r="AZ228" s="269" t="s">
        <v>18</v>
      </c>
      <c r="BA228" s="269">
        <v>2</v>
      </c>
    </row>
    <row r="229" spans="1:53" ht="39.950000000000003" customHeight="1">
      <c r="E229" s="264" t="s">
        <v>35</v>
      </c>
      <c r="F229" s="265" t="str">
        <f>VLOOKUP(A225,'zoznam zapasov'!$A$6:$K$77,9,0)</f>
        <v>So</v>
      </c>
      <c r="G229" s="263"/>
      <c r="H229" s="263"/>
      <c r="I229" s="263"/>
      <c r="J229" s="263"/>
      <c r="K229" s="263"/>
      <c r="L229" s="263"/>
      <c r="M229" s="263"/>
      <c r="N229" s="263"/>
      <c r="O229" s="263"/>
      <c r="P229" s="263"/>
      <c r="Q229" s="263"/>
      <c r="R229" s="263"/>
      <c r="S229" s="263"/>
      <c r="T229" s="263"/>
      <c r="U229" s="263"/>
      <c r="V229" s="263"/>
      <c r="W229" s="267"/>
      <c r="X229" s="263"/>
      <c r="AZ229" s="269" t="s">
        <v>38</v>
      </c>
      <c r="BA229" s="269">
        <v>3</v>
      </c>
    </row>
    <row r="230" spans="1:53" ht="39.950000000000003" customHeight="1">
      <c r="A230" s="252" t="str">
        <f>CONCATENATE(F232,VLOOKUP(F234,$AZ$7:$BA$14,2,0),RIGHT(F236,1))</f>
        <v>CH24</v>
      </c>
      <c r="E230" s="264" t="s">
        <v>28</v>
      </c>
      <c r="F230" s="270" t="str">
        <f>VLOOKUP(A225,'zoznam zapasov'!$A$6:$K$77,10,0)</f>
        <v>9.55</v>
      </c>
      <c r="G230" s="508"/>
      <c r="H230" s="486"/>
      <c r="I230" s="487" t="str">
        <f>IF(ISERROR(VLOOKUP(A230,vylosovanie!$A$8:$J$68,6,0))=TRUE,"",VLOOKUP(A230,vylosovanie!$A$8:$J$68,6,0))</f>
        <v>ZAJAC Jakub</v>
      </c>
      <c r="J230" s="487"/>
      <c r="K230" s="487"/>
      <c r="L230" s="487"/>
      <c r="M230" s="263"/>
      <c r="N230" s="489">
        <v>5</v>
      </c>
      <c r="O230" s="489">
        <v>8</v>
      </c>
      <c r="P230" s="489">
        <v>8</v>
      </c>
      <c r="Q230" s="489"/>
      <c r="R230" s="489"/>
      <c r="S230" s="489"/>
      <c r="T230" s="489"/>
      <c r="U230" s="263"/>
      <c r="V230" s="493">
        <f>IF(SUM(AF227:AL228)=0,"",SUM(AF228:AL228))</f>
        <v>0</v>
      </c>
      <c r="W230" s="267"/>
      <c r="X230" s="263"/>
      <c r="AZ230" s="269" t="s">
        <v>39</v>
      </c>
      <c r="BA230" s="269">
        <v>4</v>
      </c>
    </row>
    <row r="231" spans="1:53" ht="39.950000000000003" customHeight="1">
      <c r="E231" s="271"/>
      <c r="F231" s="272"/>
      <c r="G231" s="509"/>
      <c r="H231" s="486"/>
      <c r="I231" s="487"/>
      <c r="J231" s="487"/>
      <c r="K231" s="487"/>
      <c r="L231" s="487"/>
      <c r="M231" s="263"/>
      <c r="N231" s="490"/>
      <c r="O231" s="490"/>
      <c r="P231" s="490"/>
      <c r="Q231" s="490"/>
      <c r="R231" s="490"/>
      <c r="S231" s="490"/>
      <c r="T231" s="490"/>
      <c r="U231" s="263"/>
      <c r="V231" s="493"/>
      <c r="W231" s="267"/>
      <c r="X231" s="263"/>
      <c r="AZ231" s="269" t="s">
        <v>40</v>
      </c>
      <c r="BA231" s="269">
        <v>5</v>
      </c>
    </row>
    <row r="232" spans="1:53" ht="39.950000000000003" customHeight="1">
      <c r="E232" s="264" t="s">
        <v>66</v>
      </c>
      <c r="F232" s="265" t="s">
        <v>65</v>
      </c>
      <c r="G232" s="263"/>
      <c r="H232" s="263"/>
      <c r="I232" s="263"/>
      <c r="J232" s="263"/>
      <c r="K232" s="263"/>
      <c r="L232" s="263"/>
      <c r="M232" s="263"/>
      <c r="N232" s="263"/>
      <c r="O232" s="263"/>
      <c r="P232" s="263"/>
      <c r="Q232" s="263"/>
      <c r="R232" s="263"/>
      <c r="S232" s="263"/>
      <c r="T232" s="263"/>
      <c r="U232" s="263"/>
      <c r="V232" s="263"/>
      <c r="W232" s="267"/>
      <c r="X232" s="263"/>
      <c r="AZ232" s="269" t="s">
        <v>41</v>
      </c>
      <c r="BA232" s="269">
        <v>6</v>
      </c>
    </row>
    <row r="233" spans="1:53" ht="39.950000000000003" customHeight="1">
      <c r="E233" s="271"/>
      <c r="F233" s="272"/>
      <c r="G233" s="263"/>
      <c r="H233" s="263"/>
      <c r="I233" s="263" t="s">
        <v>32</v>
      </c>
      <c r="J233" s="263"/>
      <c r="K233" s="263"/>
      <c r="L233" s="263"/>
      <c r="M233" s="263"/>
      <c r="N233" s="273"/>
      <c r="O233" s="266"/>
      <c r="P233" s="266" t="s">
        <v>34</v>
      </c>
      <c r="Q233" s="266"/>
      <c r="R233" s="266"/>
      <c r="S233" s="266"/>
      <c r="T233" s="266"/>
      <c r="U233" s="263"/>
      <c r="V233" s="263"/>
      <c r="W233" s="267"/>
      <c r="X233" s="263"/>
      <c r="AZ233" s="269" t="s">
        <v>42</v>
      </c>
      <c r="BA233" s="269">
        <v>7</v>
      </c>
    </row>
    <row r="234" spans="1:53" ht="39.950000000000003" customHeight="1">
      <c r="E234" s="264" t="s">
        <v>26</v>
      </c>
      <c r="F234" s="265" t="s">
        <v>18</v>
      </c>
      <c r="G234" s="263"/>
      <c r="H234" s="263"/>
      <c r="I234" s="486"/>
      <c r="J234" s="486"/>
      <c r="K234" s="486"/>
      <c r="L234" s="486"/>
      <c r="M234" s="263"/>
      <c r="N234" s="486" t="str">
        <f>IF(V227&gt;V230,I227,IF(V230&gt;V227,I230,""))</f>
        <v>SUCHA Tomáš</v>
      </c>
      <c r="O234" s="486"/>
      <c r="P234" s="486"/>
      <c r="Q234" s="486"/>
      <c r="R234" s="486"/>
      <c r="S234" s="486"/>
      <c r="T234" s="263"/>
      <c r="U234" s="263"/>
      <c r="V234" s="263"/>
      <c r="W234" s="267"/>
      <c r="X234" s="263"/>
      <c r="AZ234" s="269" t="s">
        <v>43</v>
      </c>
      <c r="BA234" s="269">
        <v>8</v>
      </c>
    </row>
    <row r="235" spans="1:53" ht="39.950000000000003" customHeight="1">
      <c r="E235" s="271"/>
      <c r="F235" s="272"/>
      <c r="G235" s="263"/>
      <c r="H235" s="263"/>
      <c r="I235" s="486"/>
      <c r="J235" s="486"/>
      <c r="K235" s="486"/>
      <c r="L235" s="486"/>
      <c r="M235" s="263"/>
      <c r="N235" s="486"/>
      <c r="O235" s="486"/>
      <c r="P235" s="486"/>
      <c r="Q235" s="486"/>
      <c r="R235" s="486"/>
      <c r="S235" s="486"/>
      <c r="T235" s="263"/>
      <c r="U235" s="263"/>
      <c r="V235" s="263"/>
      <c r="W235" s="267"/>
      <c r="X235" s="263"/>
    </row>
    <row r="236" spans="1:53" ht="39.950000000000003" customHeight="1">
      <c r="E236" s="264" t="s">
        <v>27</v>
      </c>
      <c r="F236" s="274" t="s">
        <v>21</v>
      </c>
      <c r="G236" s="263"/>
      <c r="H236" s="263"/>
      <c r="I236" s="263"/>
      <c r="J236" s="263"/>
      <c r="K236" s="263"/>
      <c r="L236" s="263"/>
      <c r="M236" s="263"/>
      <c r="N236" s="263"/>
      <c r="O236" s="263"/>
      <c r="P236" s="263"/>
      <c r="Q236" s="263"/>
      <c r="R236" s="263"/>
      <c r="S236" s="263"/>
      <c r="T236" s="263"/>
      <c r="U236" s="263"/>
      <c r="V236" s="263"/>
      <c r="W236" s="267"/>
      <c r="X236" s="263"/>
    </row>
    <row r="237" spans="1:53" ht="39.950000000000003" customHeight="1">
      <c r="E237" s="271"/>
      <c r="F237" s="272"/>
      <c r="G237" s="263"/>
      <c r="H237" s="263" t="s">
        <v>33</v>
      </c>
      <c r="I237" s="263"/>
      <c r="J237" s="263"/>
      <c r="K237" s="263"/>
      <c r="L237" s="263"/>
      <c r="M237" s="263"/>
      <c r="N237" s="263"/>
      <c r="O237" s="263"/>
      <c r="P237" s="263"/>
      <c r="Q237" s="263"/>
      <c r="R237" s="263"/>
      <c r="S237" s="263"/>
      <c r="T237" s="263"/>
      <c r="U237" s="263"/>
      <c r="V237" s="263"/>
      <c r="W237" s="267"/>
      <c r="X237" s="263"/>
    </row>
    <row r="238" spans="1:53" ht="39.950000000000003" customHeight="1">
      <c r="E238" s="271"/>
      <c r="F238" s="272"/>
      <c r="G238" s="263"/>
      <c r="H238" s="263"/>
      <c r="I238" s="263"/>
      <c r="J238" s="263"/>
      <c r="K238" s="263"/>
      <c r="L238" s="263"/>
      <c r="M238" s="263"/>
      <c r="N238" s="263"/>
      <c r="O238" s="263"/>
      <c r="P238" s="263"/>
      <c r="Q238" s="263"/>
      <c r="R238" s="263"/>
      <c r="S238" s="263"/>
      <c r="T238" s="263"/>
      <c r="U238" s="263"/>
      <c r="V238" s="263"/>
      <c r="W238" s="267"/>
      <c r="X238" s="263"/>
    </row>
    <row r="239" spans="1:53" ht="39.950000000000003" customHeight="1">
      <c r="E239" s="271"/>
      <c r="F239" s="272"/>
      <c r="G239" s="263"/>
      <c r="H239" s="263"/>
      <c r="I239" s="496" t="str">
        <f>I227</f>
        <v>SUCHA Tomáš</v>
      </c>
      <c r="J239" s="496"/>
      <c r="K239" s="496"/>
      <c r="L239" s="496"/>
      <c r="M239" s="263"/>
      <c r="N239" s="263"/>
      <c r="O239" s="263"/>
      <c r="P239" s="496" t="str">
        <f>I230</f>
        <v>ZAJAC Jakub</v>
      </c>
      <c r="Q239" s="496"/>
      <c r="R239" s="496"/>
      <c r="S239" s="496"/>
      <c r="T239" s="497"/>
      <c r="U239" s="497"/>
      <c r="V239" s="263"/>
      <c r="W239" s="267"/>
      <c r="X239" s="263"/>
    </row>
    <row r="240" spans="1:53" ht="69.95" customHeight="1">
      <c r="E240" s="264"/>
      <c r="F240" s="265"/>
      <c r="G240" s="263"/>
      <c r="H240" s="275" t="s">
        <v>36</v>
      </c>
      <c r="I240" s="483"/>
      <c r="J240" s="494"/>
      <c r="K240" s="494"/>
      <c r="L240" s="495"/>
      <c r="M240" s="263"/>
      <c r="N240" s="263"/>
      <c r="O240" s="275" t="s">
        <v>36</v>
      </c>
      <c r="P240" s="486"/>
      <c r="Q240" s="486"/>
      <c r="R240" s="486"/>
      <c r="S240" s="486"/>
      <c r="T240" s="486"/>
      <c r="U240" s="486"/>
      <c r="V240" s="263"/>
      <c r="W240" s="267"/>
      <c r="X240" s="263"/>
    </row>
    <row r="241" spans="1:53" ht="69.95" customHeight="1">
      <c r="E241" s="264"/>
      <c r="F241" s="265"/>
      <c r="G241" s="263"/>
      <c r="H241" s="275" t="s">
        <v>37</v>
      </c>
      <c r="I241" s="486"/>
      <c r="J241" s="486"/>
      <c r="K241" s="486"/>
      <c r="L241" s="486"/>
      <c r="M241" s="263"/>
      <c r="N241" s="263"/>
      <c r="O241" s="275" t="s">
        <v>37</v>
      </c>
      <c r="P241" s="486"/>
      <c r="Q241" s="486"/>
      <c r="R241" s="486"/>
      <c r="S241" s="486"/>
      <c r="T241" s="486"/>
      <c r="U241" s="486"/>
      <c r="V241" s="263"/>
      <c r="W241" s="267"/>
      <c r="X241" s="263"/>
    </row>
    <row r="242" spans="1:53" ht="69.95" customHeight="1">
      <c r="E242" s="264"/>
      <c r="F242" s="265"/>
      <c r="G242" s="263"/>
      <c r="H242" s="275" t="s">
        <v>37</v>
      </c>
      <c r="I242" s="486"/>
      <c r="J242" s="486"/>
      <c r="K242" s="486"/>
      <c r="L242" s="486"/>
      <c r="M242" s="263"/>
      <c r="N242" s="263"/>
      <c r="O242" s="275" t="s">
        <v>37</v>
      </c>
      <c r="P242" s="486"/>
      <c r="Q242" s="486"/>
      <c r="R242" s="486"/>
      <c r="S242" s="486"/>
      <c r="T242" s="486"/>
      <c r="U242" s="486"/>
      <c r="V242" s="263"/>
      <c r="W242" s="267"/>
      <c r="X242" s="263"/>
    </row>
    <row r="243" spans="1:53" ht="39.950000000000003" customHeight="1" thickBot="1">
      <c r="E243" s="276"/>
      <c r="F243" s="277"/>
      <c r="G243" s="278"/>
      <c r="H243" s="278"/>
      <c r="I243" s="278"/>
      <c r="J243" s="278"/>
      <c r="K243" s="278"/>
      <c r="L243" s="278"/>
      <c r="M243" s="278"/>
      <c r="N243" s="278"/>
      <c r="O243" s="278"/>
      <c r="P243" s="278"/>
      <c r="Q243" s="278"/>
      <c r="R243" s="278"/>
      <c r="S243" s="278"/>
      <c r="T243" s="279"/>
      <c r="U243" s="279"/>
      <c r="V243" s="279"/>
      <c r="W243" s="280"/>
      <c r="X243" s="263"/>
    </row>
    <row r="244" spans="1:53" ht="62.25" thickBot="1"/>
    <row r="245" spans="1:53" ht="39.950000000000003" customHeight="1">
      <c r="A245" s="252" t="str">
        <f>CONCATENATE(F252,F254,F256)</f>
        <v>CHC1-3</v>
      </c>
      <c r="E245" s="259" t="s">
        <v>70</v>
      </c>
      <c r="F245" s="260">
        <f>VLOOKUP(A245,'zoznam zapasov'!$A$6:$K$77,3,0)</f>
        <v>13</v>
      </c>
      <c r="G245" s="261"/>
      <c r="H245" s="322" t="s">
        <v>501</v>
      </c>
      <c r="I245" s="261"/>
      <c r="J245" s="261"/>
      <c r="K245" s="261"/>
      <c r="L245" s="261"/>
      <c r="M245" s="261"/>
      <c r="N245" s="261"/>
      <c r="O245" s="261"/>
      <c r="P245" s="261"/>
      <c r="Q245" s="261"/>
      <c r="R245" s="261"/>
      <c r="S245" s="261"/>
      <c r="T245" s="261"/>
      <c r="U245" s="261"/>
      <c r="V245" s="261" t="s">
        <v>30</v>
      </c>
      <c r="W245" s="262"/>
      <c r="X245" s="263"/>
      <c r="Z245" s="258" t="str">
        <f>CONCATENATE(V247,":",V250)</f>
        <v>3:0</v>
      </c>
      <c r="AE245" s="253" t="s">
        <v>11</v>
      </c>
      <c r="AV245" s="256" t="str">
        <f>CONCATENATE(AN247,",",AO247,",",AP247,",",AQ247,",",AR247,",",AS247,",",AT247)</f>
        <v>8,9,7,,,,</v>
      </c>
    </row>
    <row r="246" spans="1:53" ht="39.950000000000003" customHeight="1">
      <c r="E246" s="264"/>
      <c r="F246" s="265"/>
      <c r="G246" s="321" t="s">
        <v>500</v>
      </c>
      <c r="H246" s="323" t="s">
        <v>502</v>
      </c>
      <c r="I246" s="263"/>
      <c r="J246" s="263"/>
      <c r="K246" s="263"/>
      <c r="L246" s="263"/>
      <c r="M246" s="263"/>
      <c r="N246" s="266">
        <v>1</v>
      </c>
      <c r="O246" s="266">
        <v>2</v>
      </c>
      <c r="P246" s="266">
        <v>3</v>
      </c>
      <c r="Q246" s="266">
        <v>4</v>
      </c>
      <c r="R246" s="266">
        <v>5</v>
      </c>
      <c r="S246" s="266">
        <v>6</v>
      </c>
      <c r="T246" s="266">
        <v>7</v>
      </c>
      <c r="U246" s="263"/>
      <c r="V246" s="266" t="s">
        <v>31</v>
      </c>
      <c r="W246" s="267"/>
      <c r="X246" s="263"/>
      <c r="AE246" s="253" t="s">
        <v>68</v>
      </c>
      <c r="AV246" s="256" t="str">
        <f>CONCATENATE(AN248,",",AO248,",",AP248,",",AQ248,",",AR248,",",AS248,",",AT248)</f>
        <v>-8,-9,-7,,,,</v>
      </c>
    </row>
    <row r="247" spans="1:53" ht="39.950000000000003" customHeight="1">
      <c r="A247" s="252" t="str">
        <f>CONCATENATE(F252,VLOOKUP(F254,$AZ$7:$BA$14,2,0),LEFT(F256,1))</f>
        <v>CH31</v>
      </c>
      <c r="E247" s="264" t="s">
        <v>29</v>
      </c>
      <c r="F247" s="265">
        <f>VLOOKUP(A245,'zoznam zapasov'!$A$6:$K$77,11,0)</f>
        <v>5</v>
      </c>
      <c r="G247" s="508"/>
      <c r="H247" s="495"/>
      <c r="I247" s="487" t="str">
        <f>IF(ISERROR(VLOOKUP(A247,vylosovanie!$A$8:$J$68,6,0))=TRUE,"",VLOOKUP(A247,vylosovanie!$A$8:$J$68,6,0))</f>
        <v>FEČO Samuel</v>
      </c>
      <c r="J247" s="487"/>
      <c r="K247" s="487"/>
      <c r="L247" s="487"/>
      <c r="M247" s="263"/>
      <c r="N247" s="489">
        <v>11</v>
      </c>
      <c r="O247" s="489">
        <v>11</v>
      </c>
      <c r="P247" s="489">
        <v>11</v>
      </c>
      <c r="Q247" s="489"/>
      <c r="R247" s="489"/>
      <c r="S247" s="489"/>
      <c r="T247" s="489"/>
      <c r="U247" s="263"/>
      <c r="V247" s="493">
        <f>IF(SUM(AF247:AL248)=0,"",SUM(AF247:AL247))</f>
        <v>3</v>
      </c>
      <c r="W247" s="267"/>
      <c r="X247" s="263"/>
      <c r="AE247" s="253" t="str">
        <f>VLOOKUP(I247,vylosovanie!$F$8:$L$190,7,0)</f>
        <v>CH31</v>
      </c>
      <c r="AF247" s="268">
        <f>IF(N247&gt;N250,1,0)</f>
        <v>1</v>
      </c>
      <c r="AG247" s="268">
        <f t="shared" ref="AG247" si="158">IF(O247&gt;O250,1,0)</f>
        <v>1</v>
      </c>
      <c r="AH247" s="268">
        <f t="shared" ref="AH247" si="159">IF(P247&gt;P250,1,0)</f>
        <v>1</v>
      </c>
      <c r="AI247" s="268">
        <f t="shared" ref="AI247" si="160">IF(Q247&gt;Q250,1,0)</f>
        <v>0</v>
      </c>
      <c r="AJ247" s="268">
        <f t="shared" ref="AJ247" si="161">IF(R247&gt;R250,1,0)</f>
        <v>0</v>
      </c>
      <c r="AK247" s="268">
        <f t="shared" ref="AK247" si="162">IF(S247&gt;S250,1,0)</f>
        <v>0</v>
      </c>
      <c r="AL247" s="268">
        <f t="shared" ref="AL247" si="163">IF(T247&gt;T250,1,0)</f>
        <v>0</v>
      </c>
      <c r="AN247" s="268">
        <f t="shared" ref="AN247:AT247" si="164">IF(ISBLANK(N247)=TRUE,"",IF(AF247=1,N250,-N247))</f>
        <v>8</v>
      </c>
      <c r="AO247" s="268">
        <f t="shared" si="164"/>
        <v>9</v>
      </c>
      <c r="AP247" s="268">
        <f t="shared" si="164"/>
        <v>7</v>
      </c>
      <c r="AQ247" s="268" t="str">
        <f t="shared" si="164"/>
        <v/>
      </c>
      <c r="AR247" s="268" t="str">
        <f t="shared" si="164"/>
        <v/>
      </c>
      <c r="AS247" s="268" t="str">
        <f t="shared" si="164"/>
        <v/>
      </c>
      <c r="AT247" s="268" t="str">
        <f t="shared" si="164"/>
        <v/>
      </c>
      <c r="AZ247" s="269" t="s">
        <v>12</v>
      </c>
      <c r="BA247" s="269">
        <v>1</v>
      </c>
    </row>
    <row r="248" spans="1:53" ht="39.950000000000003" customHeight="1">
      <c r="E248" s="264"/>
      <c r="F248" s="265"/>
      <c r="G248" s="509"/>
      <c r="H248" s="495"/>
      <c r="I248" s="487"/>
      <c r="J248" s="487"/>
      <c r="K248" s="487"/>
      <c r="L248" s="487"/>
      <c r="M248" s="263"/>
      <c r="N248" s="490"/>
      <c r="O248" s="490"/>
      <c r="P248" s="490"/>
      <c r="Q248" s="490"/>
      <c r="R248" s="490"/>
      <c r="S248" s="490"/>
      <c r="T248" s="490"/>
      <c r="U248" s="263"/>
      <c r="V248" s="493"/>
      <c r="W248" s="267"/>
      <c r="X248" s="263"/>
      <c r="AE248" s="253" t="str">
        <f>VLOOKUP(I250,vylosovanie!$F$8:$L$190,7,0)</f>
        <v>CH33</v>
      </c>
      <c r="AF248" s="268">
        <f>IF(N250&gt;N247,1,0)</f>
        <v>0</v>
      </c>
      <c r="AG248" s="268">
        <f t="shared" ref="AG248" si="165">IF(O250&gt;O247,1,0)</f>
        <v>0</v>
      </c>
      <c r="AH248" s="268">
        <f t="shared" ref="AH248" si="166">IF(P250&gt;P247,1,0)</f>
        <v>0</v>
      </c>
      <c r="AI248" s="268">
        <f t="shared" ref="AI248" si="167">IF(Q250&gt;Q247,1,0)</f>
        <v>0</v>
      </c>
      <c r="AJ248" s="268">
        <f t="shared" ref="AJ248" si="168">IF(R250&gt;R247,1,0)</f>
        <v>0</v>
      </c>
      <c r="AK248" s="268">
        <f t="shared" ref="AK248" si="169">IF(S250&gt;S247,1,0)</f>
        <v>0</v>
      </c>
      <c r="AL248" s="268">
        <f t="shared" ref="AL248" si="170">IF(T250&gt;T247,1,0)</f>
        <v>0</v>
      </c>
      <c r="AN248" s="268">
        <f t="shared" ref="AN248:AT248" si="171">IF(ISBLANK(N250)=TRUE,"",IF(AF248=1,N247,-N250))</f>
        <v>-8</v>
      </c>
      <c r="AO248" s="268">
        <f t="shared" si="171"/>
        <v>-9</v>
      </c>
      <c r="AP248" s="268">
        <f t="shared" si="171"/>
        <v>-7</v>
      </c>
      <c r="AQ248" s="268" t="str">
        <f t="shared" si="171"/>
        <v/>
      </c>
      <c r="AR248" s="268" t="str">
        <f t="shared" si="171"/>
        <v/>
      </c>
      <c r="AS248" s="268" t="str">
        <f t="shared" si="171"/>
        <v/>
      </c>
      <c r="AT248" s="268" t="str">
        <f t="shared" si="171"/>
        <v/>
      </c>
      <c r="AZ248" s="269" t="s">
        <v>18</v>
      </c>
      <c r="BA248" s="269">
        <v>2</v>
      </c>
    </row>
    <row r="249" spans="1:53" ht="39.950000000000003" customHeight="1">
      <c r="E249" s="264" t="s">
        <v>35</v>
      </c>
      <c r="F249" s="265" t="str">
        <f>VLOOKUP(A245,'zoznam zapasov'!$A$6:$K$77,9,0)</f>
        <v>So</v>
      </c>
      <c r="G249" s="263"/>
      <c r="H249" s="263"/>
      <c r="I249" s="263"/>
      <c r="J249" s="263"/>
      <c r="K249" s="263"/>
      <c r="L249" s="263"/>
      <c r="M249" s="263"/>
      <c r="N249" s="263"/>
      <c r="O249" s="263"/>
      <c r="P249" s="263"/>
      <c r="Q249" s="263"/>
      <c r="R249" s="263"/>
      <c r="S249" s="263"/>
      <c r="T249" s="263"/>
      <c r="U249" s="263"/>
      <c r="V249" s="263"/>
      <c r="W249" s="267"/>
      <c r="X249" s="263"/>
      <c r="AZ249" s="269" t="s">
        <v>38</v>
      </c>
      <c r="BA249" s="269">
        <v>3</v>
      </c>
    </row>
    <row r="250" spans="1:53" ht="39.950000000000003" customHeight="1">
      <c r="A250" s="252" t="str">
        <f>CONCATENATE(F252,VLOOKUP(F254,$AZ$7:$BA$14,2,0),RIGHT(F256,1))</f>
        <v>CH33</v>
      </c>
      <c r="E250" s="264" t="s">
        <v>28</v>
      </c>
      <c r="F250" s="270" t="str">
        <f>VLOOKUP(A245,'zoznam zapasov'!$A$6:$K$77,10,0)</f>
        <v>9.55</v>
      </c>
      <c r="G250" s="508"/>
      <c r="H250" s="486"/>
      <c r="I250" s="487" t="str">
        <f>IF(ISERROR(VLOOKUP(A250,vylosovanie!$A$8:$J$68,6,0))=TRUE,"",VLOOKUP(A250,vylosovanie!$A$8:$J$68,6,0))</f>
        <v>FREUND Andrej</v>
      </c>
      <c r="J250" s="487"/>
      <c r="K250" s="487"/>
      <c r="L250" s="487"/>
      <c r="M250" s="263"/>
      <c r="N250" s="489">
        <v>8</v>
      </c>
      <c r="O250" s="489">
        <v>9</v>
      </c>
      <c r="P250" s="489">
        <v>7</v>
      </c>
      <c r="Q250" s="489"/>
      <c r="R250" s="489"/>
      <c r="S250" s="489"/>
      <c r="T250" s="489"/>
      <c r="U250" s="263"/>
      <c r="V250" s="493">
        <f>IF(SUM(AF247:AL248)=0,"",SUM(AF248:AL248))</f>
        <v>0</v>
      </c>
      <c r="W250" s="267"/>
      <c r="X250" s="263"/>
      <c r="AZ250" s="269" t="s">
        <v>39</v>
      </c>
      <c r="BA250" s="269">
        <v>4</v>
      </c>
    </row>
    <row r="251" spans="1:53" ht="39.950000000000003" customHeight="1">
      <c r="E251" s="271"/>
      <c r="F251" s="272"/>
      <c r="G251" s="509"/>
      <c r="H251" s="486"/>
      <c r="I251" s="487"/>
      <c r="J251" s="487"/>
      <c r="K251" s="487"/>
      <c r="L251" s="487"/>
      <c r="M251" s="263"/>
      <c r="N251" s="490"/>
      <c r="O251" s="490"/>
      <c r="P251" s="490"/>
      <c r="Q251" s="490"/>
      <c r="R251" s="490"/>
      <c r="S251" s="490"/>
      <c r="T251" s="490"/>
      <c r="U251" s="263"/>
      <c r="V251" s="493"/>
      <c r="W251" s="267"/>
      <c r="X251" s="263"/>
      <c r="AZ251" s="269" t="s">
        <v>40</v>
      </c>
      <c r="BA251" s="269">
        <v>5</v>
      </c>
    </row>
    <row r="252" spans="1:53" ht="39.950000000000003" customHeight="1">
      <c r="E252" s="264" t="s">
        <v>66</v>
      </c>
      <c r="F252" s="265" t="s">
        <v>65</v>
      </c>
      <c r="G252" s="263"/>
      <c r="H252" s="263"/>
      <c r="I252" s="263"/>
      <c r="J252" s="263"/>
      <c r="K252" s="263"/>
      <c r="L252" s="263"/>
      <c r="M252" s="263"/>
      <c r="N252" s="263"/>
      <c r="O252" s="263"/>
      <c r="P252" s="263"/>
      <c r="Q252" s="263"/>
      <c r="R252" s="263"/>
      <c r="S252" s="263"/>
      <c r="T252" s="263"/>
      <c r="U252" s="263"/>
      <c r="V252" s="263"/>
      <c r="W252" s="267"/>
      <c r="X252" s="263"/>
      <c r="AZ252" s="269" t="s">
        <v>41</v>
      </c>
      <c r="BA252" s="269">
        <v>6</v>
      </c>
    </row>
    <row r="253" spans="1:53" ht="39.950000000000003" customHeight="1">
      <c r="E253" s="271"/>
      <c r="F253" s="272"/>
      <c r="G253" s="263"/>
      <c r="H253" s="263"/>
      <c r="I253" s="263" t="s">
        <v>32</v>
      </c>
      <c r="J253" s="263"/>
      <c r="K253" s="263"/>
      <c r="L253" s="263"/>
      <c r="M253" s="263"/>
      <c r="N253" s="273"/>
      <c r="O253" s="266"/>
      <c r="P253" s="266" t="s">
        <v>34</v>
      </c>
      <c r="Q253" s="266"/>
      <c r="R253" s="266"/>
      <c r="S253" s="266"/>
      <c r="T253" s="266"/>
      <c r="U253" s="263"/>
      <c r="V253" s="263"/>
      <c r="W253" s="267"/>
      <c r="X253" s="263"/>
      <c r="AZ253" s="269" t="s">
        <v>42</v>
      </c>
      <c r="BA253" s="269">
        <v>7</v>
      </c>
    </row>
    <row r="254" spans="1:53" ht="39.950000000000003" customHeight="1">
      <c r="E254" s="264" t="s">
        <v>26</v>
      </c>
      <c r="F254" s="265" t="s">
        <v>38</v>
      </c>
      <c r="G254" s="263"/>
      <c r="H254" s="263"/>
      <c r="I254" s="486"/>
      <c r="J254" s="486"/>
      <c r="K254" s="486"/>
      <c r="L254" s="486"/>
      <c r="M254" s="263"/>
      <c r="N254" s="486" t="str">
        <f>IF(V247&gt;V250,I247,IF(V250&gt;V247,I250,""))</f>
        <v>FEČO Samuel</v>
      </c>
      <c r="O254" s="486"/>
      <c r="P254" s="486"/>
      <c r="Q254" s="486"/>
      <c r="R254" s="486"/>
      <c r="S254" s="486"/>
      <c r="T254" s="263"/>
      <c r="U254" s="263"/>
      <c r="V254" s="263"/>
      <c r="W254" s="267"/>
      <c r="X254" s="263"/>
      <c r="AZ254" s="269" t="s">
        <v>43</v>
      </c>
      <c r="BA254" s="269">
        <v>8</v>
      </c>
    </row>
    <row r="255" spans="1:53" ht="39.950000000000003" customHeight="1">
      <c r="E255" s="271"/>
      <c r="F255" s="272"/>
      <c r="G255" s="263"/>
      <c r="H255" s="263"/>
      <c r="I255" s="486"/>
      <c r="J255" s="486"/>
      <c r="K255" s="486"/>
      <c r="L255" s="486"/>
      <c r="M255" s="263"/>
      <c r="N255" s="486"/>
      <c r="O255" s="486"/>
      <c r="P255" s="486"/>
      <c r="Q255" s="486"/>
      <c r="R255" s="486"/>
      <c r="S255" s="486"/>
      <c r="T255" s="263"/>
      <c r="U255" s="263"/>
      <c r="V255" s="263"/>
      <c r="W255" s="267"/>
      <c r="X255" s="263"/>
    </row>
    <row r="256" spans="1:53" ht="39.950000000000003" customHeight="1">
      <c r="E256" s="264" t="s">
        <v>27</v>
      </c>
      <c r="F256" s="274" t="s">
        <v>20</v>
      </c>
      <c r="G256" s="263"/>
      <c r="H256" s="263"/>
      <c r="I256" s="263"/>
      <c r="J256" s="263"/>
      <c r="K256" s="263"/>
      <c r="L256" s="263"/>
      <c r="M256" s="263"/>
      <c r="N256" s="263"/>
      <c r="O256" s="263"/>
      <c r="P256" s="263"/>
      <c r="Q256" s="263"/>
      <c r="R256" s="263"/>
      <c r="S256" s="263"/>
      <c r="T256" s="263"/>
      <c r="U256" s="263"/>
      <c r="V256" s="263"/>
      <c r="W256" s="267"/>
      <c r="X256" s="263"/>
    </row>
    <row r="257" spans="1:53" ht="39.950000000000003" customHeight="1">
      <c r="E257" s="271"/>
      <c r="F257" s="272"/>
      <c r="G257" s="263"/>
      <c r="H257" s="263" t="s">
        <v>33</v>
      </c>
      <c r="I257" s="263"/>
      <c r="J257" s="263"/>
      <c r="K257" s="263"/>
      <c r="L257" s="263"/>
      <c r="M257" s="263"/>
      <c r="N257" s="263"/>
      <c r="O257" s="263"/>
      <c r="P257" s="263"/>
      <c r="Q257" s="263"/>
      <c r="R257" s="263"/>
      <c r="S257" s="263"/>
      <c r="T257" s="263"/>
      <c r="U257" s="263"/>
      <c r="V257" s="263"/>
      <c r="W257" s="267"/>
      <c r="X257" s="263"/>
    </row>
    <row r="258" spans="1:53" ht="39.950000000000003" customHeight="1">
      <c r="E258" s="271"/>
      <c r="F258" s="272"/>
      <c r="G258" s="263"/>
      <c r="H258" s="263"/>
      <c r="I258" s="263"/>
      <c r="J258" s="263"/>
      <c r="K258" s="263"/>
      <c r="L258" s="263"/>
      <c r="M258" s="263"/>
      <c r="N258" s="263"/>
      <c r="O258" s="263"/>
      <c r="P258" s="263"/>
      <c r="Q258" s="263"/>
      <c r="R258" s="263"/>
      <c r="S258" s="263"/>
      <c r="T258" s="263"/>
      <c r="U258" s="263"/>
      <c r="V258" s="263"/>
      <c r="W258" s="267"/>
      <c r="X258" s="263"/>
    </row>
    <row r="259" spans="1:53" ht="39.950000000000003" customHeight="1">
      <c r="E259" s="271"/>
      <c r="F259" s="272"/>
      <c r="G259" s="263"/>
      <c r="H259" s="263"/>
      <c r="I259" s="496" t="str">
        <f>I247</f>
        <v>FEČO Samuel</v>
      </c>
      <c r="J259" s="496"/>
      <c r="K259" s="496"/>
      <c r="L259" s="496"/>
      <c r="M259" s="263"/>
      <c r="N259" s="263"/>
      <c r="O259" s="263"/>
      <c r="P259" s="496" t="str">
        <f>I250</f>
        <v>FREUND Andrej</v>
      </c>
      <c r="Q259" s="496"/>
      <c r="R259" s="496"/>
      <c r="S259" s="496"/>
      <c r="T259" s="497"/>
      <c r="U259" s="497"/>
      <c r="V259" s="263"/>
      <c r="W259" s="267"/>
      <c r="X259" s="263"/>
    </row>
    <row r="260" spans="1:53" ht="69.95" customHeight="1">
      <c r="E260" s="264"/>
      <c r="F260" s="265"/>
      <c r="G260" s="263"/>
      <c r="H260" s="275" t="s">
        <v>36</v>
      </c>
      <c r="I260" s="483"/>
      <c r="J260" s="494"/>
      <c r="K260" s="494"/>
      <c r="L260" s="495"/>
      <c r="M260" s="263"/>
      <c r="N260" s="263"/>
      <c r="O260" s="275" t="s">
        <v>36</v>
      </c>
      <c r="P260" s="486"/>
      <c r="Q260" s="486"/>
      <c r="R260" s="486"/>
      <c r="S260" s="486"/>
      <c r="T260" s="486"/>
      <c r="U260" s="486"/>
      <c r="V260" s="263"/>
      <c r="W260" s="267"/>
      <c r="X260" s="263"/>
    </row>
    <row r="261" spans="1:53" ht="69.95" customHeight="1">
      <c r="E261" s="264"/>
      <c r="F261" s="265"/>
      <c r="G261" s="263"/>
      <c r="H261" s="275" t="s">
        <v>37</v>
      </c>
      <c r="I261" s="486"/>
      <c r="J261" s="486"/>
      <c r="K261" s="486"/>
      <c r="L261" s="486"/>
      <c r="M261" s="263"/>
      <c r="N261" s="263"/>
      <c r="O261" s="275" t="s">
        <v>37</v>
      </c>
      <c r="P261" s="486"/>
      <c r="Q261" s="486"/>
      <c r="R261" s="486"/>
      <c r="S261" s="486"/>
      <c r="T261" s="486"/>
      <c r="U261" s="486"/>
      <c r="V261" s="263"/>
      <c r="W261" s="267"/>
      <c r="X261" s="263"/>
    </row>
    <row r="262" spans="1:53" ht="69.95" customHeight="1">
      <c r="E262" s="264"/>
      <c r="F262" s="265"/>
      <c r="G262" s="263"/>
      <c r="H262" s="275" t="s">
        <v>37</v>
      </c>
      <c r="I262" s="486"/>
      <c r="J262" s="486"/>
      <c r="K262" s="486"/>
      <c r="L262" s="486"/>
      <c r="M262" s="263"/>
      <c r="N262" s="263"/>
      <c r="O262" s="275" t="s">
        <v>37</v>
      </c>
      <c r="P262" s="486"/>
      <c r="Q262" s="486"/>
      <c r="R262" s="486"/>
      <c r="S262" s="486"/>
      <c r="T262" s="486"/>
      <c r="U262" s="486"/>
      <c r="V262" s="263"/>
      <c r="W262" s="267"/>
      <c r="X262" s="263"/>
    </row>
    <row r="263" spans="1:53" ht="39.950000000000003" customHeight="1" thickBot="1">
      <c r="E263" s="276"/>
      <c r="F263" s="277"/>
      <c r="G263" s="278"/>
      <c r="H263" s="278"/>
      <c r="I263" s="278"/>
      <c r="J263" s="278"/>
      <c r="K263" s="278"/>
      <c r="L263" s="278"/>
      <c r="M263" s="278"/>
      <c r="N263" s="278"/>
      <c r="O263" s="278"/>
      <c r="P263" s="278"/>
      <c r="Q263" s="278"/>
      <c r="R263" s="278"/>
      <c r="S263" s="278"/>
      <c r="T263" s="279"/>
      <c r="U263" s="279"/>
      <c r="V263" s="279"/>
      <c r="W263" s="280"/>
      <c r="X263" s="263"/>
    </row>
    <row r="264" spans="1:53" ht="62.25" thickBot="1"/>
    <row r="265" spans="1:53" ht="39.950000000000003" customHeight="1">
      <c r="A265" s="252" t="str">
        <f>CONCATENATE(F272,F274,F276)</f>
        <v>CHC2-4</v>
      </c>
      <c r="E265" s="259" t="s">
        <v>70</v>
      </c>
      <c r="F265" s="260">
        <f>VLOOKUP(A265,'zoznam zapasov'!$A$6:$K$77,3,0)</f>
        <v>14</v>
      </c>
      <c r="G265" s="261"/>
      <c r="H265" s="322" t="s">
        <v>501</v>
      </c>
      <c r="I265" s="261"/>
      <c r="J265" s="261"/>
      <c r="K265" s="261"/>
      <c r="L265" s="261"/>
      <c r="M265" s="261"/>
      <c r="N265" s="261"/>
      <c r="O265" s="261"/>
      <c r="P265" s="261"/>
      <c r="Q265" s="261"/>
      <c r="R265" s="261"/>
      <c r="S265" s="261"/>
      <c r="T265" s="261"/>
      <c r="U265" s="261"/>
      <c r="V265" s="261" t="s">
        <v>30</v>
      </c>
      <c r="W265" s="262"/>
      <c r="X265" s="263"/>
      <c r="Z265" s="258" t="str">
        <f>CONCATENATE(V267,":",V270)</f>
        <v>3:1</v>
      </c>
      <c r="AE265" s="253" t="s">
        <v>11</v>
      </c>
      <c r="AV265" s="256" t="str">
        <f>CONCATENATE(AN267,",",AO267,",",AP267,",",AQ267,",",AR267,",",AS267,",",AT267)</f>
        <v>5,7,-8,9,,,</v>
      </c>
    </row>
    <row r="266" spans="1:53" ht="39.950000000000003" customHeight="1">
      <c r="E266" s="264"/>
      <c r="F266" s="265"/>
      <c r="G266" s="321" t="s">
        <v>500</v>
      </c>
      <c r="H266" s="323" t="s">
        <v>502</v>
      </c>
      <c r="I266" s="263"/>
      <c r="J266" s="263"/>
      <c r="K266" s="263"/>
      <c r="L266" s="263"/>
      <c r="M266" s="263"/>
      <c r="N266" s="266">
        <v>1</v>
      </c>
      <c r="O266" s="266">
        <v>2</v>
      </c>
      <c r="P266" s="266">
        <v>3</v>
      </c>
      <c r="Q266" s="266">
        <v>4</v>
      </c>
      <c r="R266" s="266">
        <v>5</v>
      </c>
      <c r="S266" s="266">
        <v>6</v>
      </c>
      <c r="T266" s="266">
        <v>7</v>
      </c>
      <c r="U266" s="263"/>
      <c r="V266" s="266" t="s">
        <v>31</v>
      </c>
      <c r="W266" s="267"/>
      <c r="X266" s="263"/>
      <c r="AE266" s="253" t="s">
        <v>68</v>
      </c>
      <c r="AV266" s="256" t="str">
        <f>CONCATENATE(AN268,",",AO268,",",AP268,",",AQ268,",",AR268,",",AS268,",",AT268)</f>
        <v>-5,-7,8,-9,,,</v>
      </c>
    </row>
    <row r="267" spans="1:53" ht="39.950000000000003" customHeight="1">
      <c r="A267" s="252" t="str">
        <f>CONCATENATE(F272,VLOOKUP(F274,$AZ$7:$BA$14,2,0),LEFT(F276,1))</f>
        <v>CH32</v>
      </c>
      <c r="E267" s="264" t="s">
        <v>29</v>
      </c>
      <c r="F267" s="265">
        <f>VLOOKUP(A265,'zoznam zapasov'!$A$6:$K$77,11,0)</f>
        <v>6</v>
      </c>
      <c r="G267" s="508"/>
      <c r="H267" s="495"/>
      <c r="I267" s="487" t="str">
        <f>IF(ISERROR(VLOOKUP(A267,vylosovanie!$A$8:$J$68,6,0))=TRUE,"",VLOOKUP(A267,vylosovanie!$A$8:$J$68,6,0))</f>
        <v>KLAJBER Adam</v>
      </c>
      <c r="J267" s="487"/>
      <c r="K267" s="487"/>
      <c r="L267" s="487"/>
      <c r="M267" s="263"/>
      <c r="N267" s="489">
        <v>11</v>
      </c>
      <c r="O267" s="489">
        <v>11</v>
      </c>
      <c r="P267" s="489">
        <v>8</v>
      </c>
      <c r="Q267" s="489">
        <v>11</v>
      </c>
      <c r="R267" s="489"/>
      <c r="S267" s="489"/>
      <c r="T267" s="489"/>
      <c r="U267" s="263"/>
      <c r="V267" s="493">
        <f>IF(SUM(AF267:AL268)=0,"",SUM(AF267:AL267))</f>
        <v>3</v>
      </c>
      <c r="W267" s="267"/>
      <c r="X267" s="263"/>
      <c r="AE267" s="253" t="str">
        <f>VLOOKUP(I267,vylosovanie!$F$8:$L$190,7,0)</f>
        <v>CH32</v>
      </c>
      <c r="AF267" s="268">
        <f>IF(N267&gt;N270,1,0)</f>
        <v>1</v>
      </c>
      <c r="AG267" s="268">
        <f t="shared" ref="AG267" si="172">IF(O267&gt;O270,1,0)</f>
        <v>1</v>
      </c>
      <c r="AH267" s="268">
        <f t="shared" ref="AH267" si="173">IF(P267&gt;P270,1,0)</f>
        <v>0</v>
      </c>
      <c r="AI267" s="268">
        <f t="shared" ref="AI267" si="174">IF(Q267&gt;Q270,1,0)</f>
        <v>1</v>
      </c>
      <c r="AJ267" s="268">
        <f t="shared" ref="AJ267" si="175">IF(R267&gt;R270,1,0)</f>
        <v>0</v>
      </c>
      <c r="AK267" s="268">
        <f t="shared" ref="AK267" si="176">IF(S267&gt;S270,1,0)</f>
        <v>0</v>
      </c>
      <c r="AL267" s="268">
        <f t="shared" ref="AL267" si="177">IF(T267&gt;T270,1,0)</f>
        <v>0</v>
      </c>
      <c r="AN267" s="268">
        <f t="shared" ref="AN267:AT267" si="178">IF(ISBLANK(N267)=TRUE,"",IF(AF267=1,N270,-N267))</f>
        <v>5</v>
      </c>
      <c r="AO267" s="268">
        <f t="shared" si="178"/>
        <v>7</v>
      </c>
      <c r="AP267" s="268">
        <f t="shared" si="178"/>
        <v>-8</v>
      </c>
      <c r="AQ267" s="268">
        <f t="shared" si="178"/>
        <v>9</v>
      </c>
      <c r="AR267" s="268" t="str">
        <f t="shared" si="178"/>
        <v/>
      </c>
      <c r="AS267" s="268" t="str">
        <f t="shared" si="178"/>
        <v/>
      </c>
      <c r="AT267" s="268" t="str">
        <f t="shared" si="178"/>
        <v/>
      </c>
      <c r="AZ267" s="269" t="s">
        <v>12</v>
      </c>
      <c r="BA267" s="269">
        <v>1</v>
      </c>
    </row>
    <row r="268" spans="1:53" ht="39.950000000000003" customHeight="1">
      <c r="E268" s="264"/>
      <c r="F268" s="265"/>
      <c r="G268" s="509"/>
      <c r="H268" s="495"/>
      <c r="I268" s="487"/>
      <c r="J268" s="487"/>
      <c r="K268" s="487"/>
      <c r="L268" s="487"/>
      <c r="M268" s="263"/>
      <c r="N268" s="490"/>
      <c r="O268" s="490"/>
      <c r="P268" s="490"/>
      <c r="Q268" s="490"/>
      <c r="R268" s="490"/>
      <c r="S268" s="490"/>
      <c r="T268" s="490"/>
      <c r="U268" s="263"/>
      <c r="V268" s="493"/>
      <c r="W268" s="267"/>
      <c r="X268" s="263"/>
      <c r="AE268" s="253" t="str">
        <f>VLOOKUP(I270,vylosovanie!$F$8:$L$190,7,0)</f>
        <v>CH34</v>
      </c>
      <c r="AF268" s="268">
        <f>IF(N270&gt;N267,1,0)</f>
        <v>0</v>
      </c>
      <c r="AG268" s="268">
        <f t="shared" ref="AG268" si="179">IF(O270&gt;O267,1,0)</f>
        <v>0</v>
      </c>
      <c r="AH268" s="268">
        <f t="shared" ref="AH268" si="180">IF(P270&gt;P267,1,0)</f>
        <v>1</v>
      </c>
      <c r="AI268" s="268">
        <f t="shared" ref="AI268" si="181">IF(Q270&gt;Q267,1,0)</f>
        <v>0</v>
      </c>
      <c r="AJ268" s="268">
        <f t="shared" ref="AJ268" si="182">IF(R270&gt;R267,1,0)</f>
        <v>0</v>
      </c>
      <c r="AK268" s="268">
        <f t="shared" ref="AK268" si="183">IF(S270&gt;S267,1,0)</f>
        <v>0</v>
      </c>
      <c r="AL268" s="268">
        <f t="shared" ref="AL268" si="184">IF(T270&gt;T267,1,0)</f>
        <v>0</v>
      </c>
      <c r="AN268" s="268">
        <f t="shared" ref="AN268:AT268" si="185">IF(ISBLANK(N270)=TRUE,"",IF(AF268=1,N267,-N270))</f>
        <v>-5</v>
      </c>
      <c r="AO268" s="268">
        <f t="shared" si="185"/>
        <v>-7</v>
      </c>
      <c r="AP268" s="268">
        <f t="shared" si="185"/>
        <v>8</v>
      </c>
      <c r="AQ268" s="268">
        <f t="shared" si="185"/>
        <v>-9</v>
      </c>
      <c r="AR268" s="268" t="str">
        <f t="shared" si="185"/>
        <v/>
      </c>
      <c r="AS268" s="268" t="str">
        <f t="shared" si="185"/>
        <v/>
      </c>
      <c r="AT268" s="268" t="str">
        <f t="shared" si="185"/>
        <v/>
      </c>
      <c r="AZ268" s="269" t="s">
        <v>18</v>
      </c>
      <c r="BA268" s="269">
        <v>2</v>
      </c>
    </row>
    <row r="269" spans="1:53" ht="39.950000000000003" customHeight="1">
      <c r="E269" s="264" t="s">
        <v>35</v>
      </c>
      <c r="F269" s="265" t="str">
        <f>VLOOKUP(A265,'zoznam zapasov'!$A$6:$K$77,9,0)</f>
        <v>So</v>
      </c>
      <c r="G269" s="263"/>
      <c r="H269" s="263"/>
      <c r="I269" s="263"/>
      <c r="J269" s="263"/>
      <c r="K269" s="263"/>
      <c r="L269" s="263"/>
      <c r="M269" s="263"/>
      <c r="N269" s="263"/>
      <c r="O269" s="263"/>
      <c r="P269" s="263"/>
      <c r="Q269" s="263"/>
      <c r="R269" s="263"/>
      <c r="S269" s="263"/>
      <c r="T269" s="263"/>
      <c r="U269" s="263"/>
      <c r="V269" s="263"/>
      <c r="W269" s="267"/>
      <c r="X269" s="263"/>
      <c r="AZ269" s="269" t="s">
        <v>38</v>
      </c>
      <c r="BA269" s="269">
        <v>3</v>
      </c>
    </row>
    <row r="270" spans="1:53" ht="39.950000000000003" customHeight="1">
      <c r="A270" s="252" t="str">
        <f>CONCATENATE(F272,VLOOKUP(F274,$AZ$7:$BA$14,2,0),RIGHT(F276,1))</f>
        <v>CH34</v>
      </c>
      <c r="E270" s="264" t="s">
        <v>28</v>
      </c>
      <c r="F270" s="270" t="str">
        <f>VLOOKUP(A265,'zoznam zapasov'!$A$6:$K$77,10,0)</f>
        <v>9.55</v>
      </c>
      <c r="G270" s="508"/>
      <c r="H270" s="486"/>
      <c r="I270" s="487" t="str">
        <f>IF(ISERROR(VLOOKUP(A270,vylosovanie!$A$8:$J$68,6,0))=TRUE,"",VLOOKUP(A270,vylosovanie!$A$8:$J$68,6,0))</f>
        <v>KLUČÁR Matej</v>
      </c>
      <c r="J270" s="487"/>
      <c r="K270" s="487"/>
      <c r="L270" s="487"/>
      <c r="M270" s="263"/>
      <c r="N270" s="489">
        <v>5</v>
      </c>
      <c r="O270" s="489">
        <v>7</v>
      </c>
      <c r="P270" s="489">
        <v>11</v>
      </c>
      <c r="Q270" s="489">
        <v>9</v>
      </c>
      <c r="R270" s="489"/>
      <c r="S270" s="489"/>
      <c r="T270" s="489"/>
      <c r="U270" s="263"/>
      <c r="V270" s="493">
        <f>IF(SUM(AF267:AL268)=0,"",SUM(AF268:AL268))</f>
        <v>1</v>
      </c>
      <c r="W270" s="267"/>
      <c r="X270" s="263"/>
      <c r="AZ270" s="269" t="s">
        <v>39</v>
      </c>
      <c r="BA270" s="269">
        <v>4</v>
      </c>
    </row>
    <row r="271" spans="1:53" ht="39.950000000000003" customHeight="1">
      <c r="E271" s="271"/>
      <c r="F271" s="272"/>
      <c r="G271" s="509"/>
      <c r="H271" s="486"/>
      <c r="I271" s="487"/>
      <c r="J271" s="487"/>
      <c r="K271" s="487"/>
      <c r="L271" s="487"/>
      <c r="M271" s="263"/>
      <c r="N271" s="490"/>
      <c r="O271" s="490"/>
      <c r="P271" s="490"/>
      <c r="Q271" s="490"/>
      <c r="R271" s="490"/>
      <c r="S271" s="490"/>
      <c r="T271" s="490"/>
      <c r="U271" s="263"/>
      <c r="V271" s="493"/>
      <c r="W271" s="267"/>
      <c r="X271" s="263"/>
      <c r="AZ271" s="269" t="s">
        <v>40</v>
      </c>
      <c r="BA271" s="269">
        <v>5</v>
      </c>
    </row>
    <row r="272" spans="1:53" ht="39.950000000000003" customHeight="1">
      <c r="E272" s="264" t="s">
        <v>66</v>
      </c>
      <c r="F272" s="265" t="s">
        <v>65</v>
      </c>
      <c r="G272" s="263"/>
      <c r="H272" s="263"/>
      <c r="I272" s="263"/>
      <c r="J272" s="263"/>
      <c r="K272" s="263"/>
      <c r="L272" s="263"/>
      <c r="M272" s="263"/>
      <c r="N272" s="263"/>
      <c r="O272" s="263"/>
      <c r="P272" s="263"/>
      <c r="Q272" s="263"/>
      <c r="R272" s="263"/>
      <c r="S272" s="263"/>
      <c r="T272" s="263"/>
      <c r="U272" s="263"/>
      <c r="V272" s="263"/>
      <c r="W272" s="267"/>
      <c r="X272" s="263"/>
      <c r="AZ272" s="269" t="s">
        <v>41</v>
      </c>
      <c r="BA272" s="269">
        <v>6</v>
      </c>
    </row>
    <row r="273" spans="1:53" ht="39.950000000000003" customHeight="1">
      <c r="E273" s="271"/>
      <c r="F273" s="272"/>
      <c r="G273" s="263"/>
      <c r="H273" s="263"/>
      <c r="I273" s="263" t="s">
        <v>32</v>
      </c>
      <c r="J273" s="263"/>
      <c r="K273" s="263"/>
      <c r="L273" s="263"/>
      <c r="M273" s="263"/>
      <c r="N273" s="273"/>
      <c r="O273" s="266"/>
      <c r="P273" s="266" t="s">
        <v>34</v>
      </c>
      <c r="Q273" s="266"/>
      <c r="R273" s="266"/>
      <c r="S273" s="266"/>
      <c r="T273" s="266"/>
      <c r="U273" s="263"/>
      <c r="V273" s="263"/>
      <c r="W273" s="267"/>
      <c r="X273" s="263"/>
      <c r="AZ273" s="269" t="s">
        <v>42</v>
      </c>
      <c r="BA273" s="269">
        <v>7</v>
      </c>
    </row>
    <row r="274" spans="1:53" ht="39.950000000000003" customHeight="1">
      <c r="E274" s="264" t="s">
        <v>26</v>
      </c>
      <c r="F274" s="265" t="s">
        <v>38</v>
      </c>
      <c r="G274" s="263"/>
      <c r="H274" s="263"/>
      <c r="I274" s="486"/>
      <c r="J274" s="486"/>
      <c r="K274" s="486"/>
      <c r="L274" s="486"/>
      <c r="M274" s="263"/>
      <c r="N274" s="486" t="str">
        <f>IF(V267&gt;V270,I267,IF(V270&gt;V267,I270,""))</f>
        <v>KLAJBER Adam</v>
      </c>
      <c r="O274" s="486"/>
      <c r="P274" s="486"/>
      <c r="Q274" s="486"/>
      <c r="R274" s="486"/>
      <c r="S274" s="486"/>
      <c r="T274" s="263"/>
      <c r="U274" s="263"/>
      <c r="V274" s="263"/>
      <c r="W274" s="267"/>
      <c r="X274" s="263"/>
      <c r="AZ274" s="269" t="s">
        <v>43</v>
      </c>
      <c r="BA274" s="269">
        <v>8</v>
      </c>
    </row>
    <row r="275" spans="1:53" ht="39.950000000000003" customHeight="1">
      <c r="E275" s="271"/>
      <c r="F275" s="272"/>
      <c r="G275" s="263"/>
      <c r="H275" s="263"/>
      <c r="I275" s="486"/>
      <c r="J275" s="486"/>
      <c r="K275" s="486"/>
      <c r="L275" s="486"/>
      <c r="M275" s="263"/>
      <c r="N275" s="486"/>
      <c r="O275" s="486"/>
      <c r="P275" s="486"/>
      <c r="Q275" s="486"/>
      <c r="R275" s="486"/>
      <c r="S275" s="486"/>
      <c r="T275" s="263"/>
      <c r="U275" s="263"/>
      <c r="V275" s="263"/>
      <c r="W275" s="267"/>
      <c r="X275" s="263"/>
    </row>
    <row r="276" spans="1:53" ht="39.950000000000003" customHeight="1">
      <c r="E276" s="264" t="s">
        <v>27</v>
      </c>
      <c r="F276" s="274" t="s">
        <v>21</v>
      </c>
      <c r="G276" s="263"/>
      <c r="H276" s="263"/>
      <c r="I276" s="263"/>
      <c r="J276" s="263"/>
      <c r="K276" s="263"/>
      <c r="L276" s="263"/>
      <c r="M276" s="263"/>
      <c r="N276" s="263"/>
      <c r="O276" s="263"/>
      <c r="P276" s="263"/>
      <c r="Q276" s="263"/>
      <c r="R276" s="263"/>
      <c r="S276" s="263"/>
      <c r="T276" s="263"/>
      <c r="U276" s="263"/>
      <c r="V276" s="263"/>
      <c r="W276" s="267"/>
      <c r="X276" s="263"/>
    </row>
    <row r="277" spans="1:53" ht="39.950000000000003" customHeight="1">
      <c r="E277" s="271"/>
      <c r="F277" s="272"/>
      <c r="G277" s="263"/>
      <c r="H277" s="263" t="s">
        <v>33</v>
      </c>
      <c r="I277" s="263"/>
      <c r="J277" s="263"/>
      <c r="K277" s="263"/>
      <c r="L277" s="263"/>
      <c r="M277" s="263"/>
      <c r="N277" s="263"/>
      <c r="O277" s="263"/>
      <c r="P277" s="263"/>
      <c r="Q277" s="263"/>
      <c r="R277" s="263"/>
      <c r="S277" s="263"/>
      <c r="T277" s="263"/>
      <c r="U277" s="263"/>
      <c r="V277" s="263"/>
      <c r="W277" s="267"/>
      <c r="X277" s="263"/>
    </row>
    <row r="278" spans="1:53" ht="39.950000000000003" customHeight="1">
      <c r="E278" s="271"/>
      <c r="F278" s="272"/>
      <c r="G278" s="263"/>
      <c r="H278" s="263"/>
      <c r="I278" s="263"/>
      <c r="J278" s="263"/>
      <c r="K278" s="263"/>
      <c r="L278" s="263"/>
      <c r="M278" s="263"/>
      <c r="N278" s="263"/>
      <c r="O278" s="263"/>
      <c r="P278" s="263"/>
      <c r="Q278" s="263"/>
      <c r="R278" s="263"/>
      <c r="S278" s="263"/>
      <c r="T278" s="263"/>
      <c r="U278" s="263"/>
      <c r="V278" s="263"/>
      <c r="W278" s="267"/>
      <c r="X278" s="263"/>
    </row>
    <row r="279" spans="1:53" ht="39.950000000000003" customHeight="1">
      <c r="E279" s="271"/>
      <c r="F279" s="272"/>
      <c r="G279" s="263"/>
      <c r="H279" s="263"/>
      <c r="I279" s="496" t="str">
        <f>I267</f>
        <v>KLAJBER Adam</v>
      </c>
      <c r="J279" s="496"/>
      <c r="K279" s="496"/>
      <c r="L279" s="496"/>
      <c r="M279" s="263"/>
      <c r="N279" s="263"/>
      <c r="O279" s="263"/>
      <c r="P279" s="496" t="str">
        <f>I270</f>
        <v>KLUČÁR Matej</v>
      </c>
      <c r="Q279" s="496"/>
      <c r="R279" s="496"/>
      <c r="S279" s="496"/>
      <c r="T279" s="497"/>
      <c r="U279" s="497"/>
      <c r="V279" s="263"/>
      <c r="W279" s="267"/>
      <c r="X279" s="263"/>
    </row>
    <row r="280" spans="1:53" ht="69.95" customHeight="1">
      <c r="E280" s="264"/>
      <c r="F280" s="265"/>
      <c r="G280" s="263"/>
      <c r="H280" s="275" t="s">
        <v>36</v>
      </c>
      <c r="I280" s="483"/>
      <c r="J280" s="494"/>
      <c r="K280" s="494"/>
      <c r="L280" s="495"/>
      <c r="M280" s="263"/>
      <c r="N280" s="263"/>
      <c r="O280" s="275" t="s">
        <v>36</v>
      </c>
      <c r="P280" s="486"/>
      <c r="Q280" s="486"/>
      <c r="R280" s="486"/>
      <c r="S280" s="486"/>
      <c r="T280" s="486"/>
      <c r="U280" s="486"/>
      <c r="V280" s="263"/>
      <c r="W280" s="267"/>
      <c r="X280" s="263"/>
    </row>
    <row r="281" spans="1:53" ht="69.95" customHeight="1">
      <c r="E281" s="264"/>
      <c r="F281" s="265"/>
      <c r="G281" s="263"/>
      <c r="H281" s="275" t="s">
        <v>37</v>
      </c>
      <c r="I281" s="486"/>
      <c r="J281" s="486"/>
      <c r="K281" s="486"/>
      <c r="L281" s="486"/>
      <c r="M281" s="263"/>
      <c r="N281" s="263"/>
      <c r="O281" s="275" t="s">
        <v>37</v>
      </c>
      <c r="P281" s="486"/>
      <c r="Q281" s="486"/>
      <c r="R281" s="486"/>
      <c r="S281" s="486"/>
      <c r="T281" s="486"/>
      <c r="U281" s="486"/>
      <c r="V281" s="263"/>
      <c r="W281" s="267"/>
      <c r="X281" s="263"/>
    </row>
    <row r="282" spans="1:53" ht="69.95" customHeight="1">
      <c r="E282" s="264"/>
      <c r="F282" s="265"/>
      <c r="G282" s="263"/>
      <c r="H282" s="275" t="s">
        <v>37</v>
      </c>
      <c r="I282" s="486"/>
      <c r="J282" s="486"/>
      <c r="K282" s="486"/>
      <c r="L282" s="486"/>
      <c r="M282" s="263"/>
      <c r="N282" s="263"/>
      <c r="O282" s="275" t="s">
        <v>37</v>
      </c>
      <c r="P282" s="486"/>
      <c r="Q282" s="486"/>
      <c r="R282" s="486"/>
      <c r="S282" s="486"/>
      <c r="T282" s="486"/>
      <c r="U282" s="486"/>
      <c r="V282" s="263"/>
      <c r="W282" s="267"/>
      <c r="X282" s="263"/>
    </row>
    <row r="283" spans="1:53" ht="39.950000000000003" customHeight="1" thickBot="1">
      <c r="E283" s="276"/>
      <c r="F283" s="277"/>
      <c r="G283" s="278"/>
      <c r="H283" s="278"/>
      <c r="I283" s="278"/>
      <c r="J283" s="278"/>
      <c r="K283" s="278"/>
      <c r="L283" s="278"/>
      <c r="M283" s="278"/>
      <c r="N283" s="278"/>
      <c r="O283" s="278"/>
      <c r="P283" s="278"/>
      <c r="Q283" s="278"/>
      <c r="R283" s="278"/>
      <c r="S283" s="278"/>
      <c r="T283" s="279"/>
      <c r="U283" s="279"/>
      <c r="V283" s="279"/>
      <c r="W283" s="280"/>
      <c r="X283" s="263"/>
    </row>
    <row r="284" spans="1:53" ht="62.25" thickBot="1"/>
    <row r="285" spans="1:53" ht="39.950000000000003" customHeight="1">
      <c r="A285" s="252" t="str">
        <f>CONCATENATE(F292,F294,F296)</f>
        <v>CHD1-3</v>
      </c>
      <c r="E285" s="259" t="s">
        <v>70</v>
      </c>
      <c r="F285" s="260">
        <f>VLOOKUP(A285,'zoznam zapasov'!$A$6:$K$77,3,0)</f>
        <v>15</v>
      </c>
      <c r="G285" s="261"/>
      <c r="H285" s="322" t="s">
        <v>501</v>
      </c>
      <c r="I285" s="261"/>
      <c r="J285" s="261"/>
      <c r="K285" s="261"/>
      <c r="L285" s="261"/>
      <c r="M285" s="261"/>
      <c r="N285" s="261"/>
      <c r="O285" s="261"/>
      <c r="P285" s="261"/>
      <c r="Q285" s="261"/>
      <c r="R285" s="261"/>
      <c r="S285" s="261"/>
      <c r="T285" s="261"/>
      <c r="U285" s="261"/>
      <c r="V285" s="261" t="s">
        <v>30</v>
      </c>
      <c r="W285" s="262"/>
      <c r="X285" s="263"/>
      <c r="Z285" s="258" t="str">
        <f>CONCATENATE(V287,":",V290)</f>
        <v>3:0</v>
      </c>
      <c r="AE285" s="253" t="s">
        <v>11</v>
      </c>
      <c r="AV285" s="256" t="str">
        <f>CONCATENATE(AN287,",",AO287,",",AP287,",",AQ287,",",AR287,",",AS287,",",AT287)</f>
        <v>5,4,4,,,,</v>
      </c>
    </row>
    <row r="286" spans="1:53" ht="39.950000000000003" customHeight="1">
      <c r="E286" s="264"/>
      <c r="F286" s="265"/>
      <c r="G286" s="321" t="s">
        <v>500</v>
      </c>
      <c r="H286" s="323" t="s">
        <v>502</v>
      </c>
      <c r="I286" s="263"/>
      <c r="J286" s="263"/>
      <c r="K286" s="263"/>
      <c r="L286" s="263"/>
      <c r="M286" s="263"/>
      <c r="N286" s="266">
        <v>1</v>
      </c>
      <c r="O286" s="266">
        <v>2</v>
      </c>
      <c r="P286" s="266">
        <v>3</v>
      </c>
      <c r="Q286" s="266">
        <v>4</v>
      </c>
      <c r="R286" s="266">
        <v>5</v>
      </c>
      <c r="S286" s="266">
        <v>6</v>
      </c>
      <c r="T286" s="266">
        <v>7</v>
      </c>
      <c r="U286" s="263"/>
      <c r="V286" s="266" t="s">
        <v>31</v>
      </c>
      <c r="W286" s="267"/>
      <c r="X286" s="263"/>
      <c r="AE286" s="253" t="s">
        <v>68</v>
      </c>
      <c r="AV286" s="256" t="str">
        <f>CONCATENATE(AN288,",",AO288,",",AP288,",",AQ288,",",AR288,",",AS288,",",AT288)</f>
        <v>-5,-4,-4,,,,</v>
      </c>
    </row>
    <row r="287" spans="1:53" ht="39.950000000000003" customHeight="1">
      <c r="A287" s="252" t="str">
        <f>CONCATENATE(F292,VLOOKUP(F294,$AZ$7:$BA$14,2,0),LEFT(F296,1))</f>
        <v>CH41</v>
      </c>
      <c r="E287" s="264" t="s">
        <v>29</v>
      </c>
      <c r="F287" s="265">
        <f>VLOOKUP(A285,'zoznam zapasov'!$A$6:$K$77,11,0)</f>
        <v>7</v>
      </c>
      <c r="G287" s="508"/>
      <c r="H287" s="495"/>
      <c r="I287" s="487" t="str">
        <f>IF(ISERROR(VLOOKUP(A287,vylosovanie!$A$8:$J$68,6,0))=TRUE,"",VLOOKUP(A287,vylosovanie!$A$8:$J$68,6,0))</f>
        <v>PINDURA Tobiáš</v>
      </c>
      <c r="J287" s="487"/>
      <c r="K287" s="487"/>
      <c r="L287" s="487"/>
      <c r="M287" s="263"/>
      <c r="N287" s="489">
        <v>11</v>
      </c>
      <c r="O287" s="489">
        <v>11</v>
      </c>
      <c r="P287" s="489">
        <v>11</v>
      </c>
      <c r="Q287" s="489"/>
      <c r="R287" s="489"/>
      <c r="S287" s="489"/>
      <c r="T287" s="489"/>
      <c r="U287" s="263"/>
      <c r="V287" s="493">
        <f>IF(SUM(AF287:AL288)=0,"",SUM(AF287:AL287))</f>
        <v>3</v>
      </c>
      <c r="W287" s="267"/>
      <c r="X287" s="263"/>
      <c r="AE287" s="253" t="str">
        <f>VLOOKUP(I287,vylosovanie!$F$8:$L$190,7,0)</f>
        <v>CH41</v>
      </c>
      <c r="AF287" s="268">
        <f>IF(N287&gt;N290,1,0)</f>
        <v>1</v>
      </c>
      <c r="AG287" s="268">
        <f t="shared" ref="AG287" si="186">IF(O287&gt;O290,1,0)</f>
        <v>1</v>
      </c>
      <c r="AH287" s="268">
        <f t="shared" ref="AH287" si="187">IF(P287&gt;P290,1,0)</f>
        <v>1</v>
      </c>
      <c r="AI287" s="268">
        <f t="shared" ref="AI287" si="188">IF(Q287&gt;Q290,1,0)</f>
        <v>0</v>
      </c>
      <c r="AJ287" s="268">
        <f t="shared" ref="AJ287" si="189">IF(R287&gt;R290,1,0)</f>
        <v>0</v>
      </c>
      <c r="AK287" s="268">
        <f t="shared" ref="AK287" si="190">IF(S287&gt;S290,1,0)</f>
        <v>0</v>
      </c>
      <c r="AL287" s="268">
        <f t="shared" ref="AL287" si="191">IF(T287&gt;T290,1,0)</f>
        <v>0</v>
      </c>
      <c r="AN287" s="268">
        <f t="shared" ref="AN287:AT287" si="192">IF(ISBLANK(N287)=TRUE,"",IF(AF287=1,N290,-N287))</f>
        <v>5</v>
      </c>
      <c r="AO287" s="268">
        <f t="shared" si="192"/>
        <v>4</v>
      </c>
      <c r="AP287" s="268">
        <f t="shared" si="192"/>
        <v>4</v>
      </c>
      <c r="AQ287" s="268" t="str">
        <f t="shared" si="192"/>
        <v/>
      </c>
      <c r="AR287" s="268" t="str">
        <f t="shared" si="192"/>
        <v/>
      </c>
      <c r="AS287" s="268" t="str">
        <f t="shared" si="192"/>
        <v/>
      </c>
      <c r="AT287" s="268" t="str">
        <f t="shared" si="192"/>
        <v/>
      </c>
      <c r="AZ287" s="269" t="s">
        <v>12</v>
      </c>
      <c r="BA287" s="269">
        <v>1</v>
      </c>
    </row>
    <row r="288" spans="1:53" ht="39.950000000000003" customHeight="1">
      <c r="E288" s="264"/>
      <c r="F288" s="265"/>
      <c r="G288" s="509"/>
      <c r="H288" s="495"/>
      <c r="I288" s="487"/>
      <c r="J288" s="487"/>
      <c r="K288" s="487"/>
      <c r="L288" s="487"/>
      <c r="M288" s="263"/>
      <c r="N288" s="490"/>
      <c r="O288" s="490"/>
      <c r="P288" s="490"/>
      <c r="Q288" s="490"/>
      <c r="R288" s="490"/>
      <c r="S288" s="490"/>
      <c r="T288" s="490"/>
      <c r="U288" s="263"/>
      <c r="V288" s="493"/>
      <c r="W288" s="267"/>
      <c r="X288" s="263"/>
      <c r="AE288" s="253" t="str">
        <f>VLOOKUP(I290,vylosovanie!$F$8:$L$190,7,0)</f>
        <v>CH43</v>
      </c>
      <c r="AF288" s="268">
        <f>IF(N290&gt;N287,1,0)</f>
        <v>0</v>
      </c>
      <c r="AG288" s="268">
        <f t="shared" ref="AG288" si="193">IF(O290&gt;O287,1,0)</f>
        <v>0</v>
      </c>
      <c r="AH288" s="268">
        <f t="shared" ref="AH288" si="194">IF(P290&gt;P287,1,0)</f>
        <v>0</v>
      </c>
      <c r="AI288" s="268">
        <f t="shared" ref="AI288" si="195">IF(Q290&gt;Q287,1,0)</f>
        <v>0</v>
      </c>
      <c r="AJ288" s="268">
        <f t="shared" ref="AJ288" si="196">IF(R290&gt;R287,1,0)</f>
        <v>0</v>
      </c>
      <c r="AK288" s="268">
        <f t="shared" ref="AK288" si="197">IF(S290&gt;S287,1,0)</f>
        <v>0</v>
      </c>
      <c r="AL288" s="268">
        <f t="shared" ref="AL288" si="198">IF(T290&gt;T287,1,0)</f>
        <v>0</v>
      </c>
      <c r="AN288" s="268">
        <f t="shared" ref="AN288:AT288" si="199">IF(ISBLANK(N290)=TRUE,"",IF(AF288=1,N287,-N290))</f>
        <v>-5</v>
      </c>
      <c r="AO288" s="268">
        <f t="shared" si="199"/>
        <v>-4</v>
      </c>
      <c r="AP288" s="268">
        <f t="shared" si="199"/>
        <v>-4</v>
      </c>
      <c r="AQ288" s="268" t="str">
        <f t="shared" si="199"/>
        <v/>
      </c>
      <c r="AR288" s="268" t="str">
        <f t="shared" si="199"/>
        <v/>
      </c>
      <c r="AS288" s="268" t="str">
        <f t="shared" si="199"/>
        <v/>
      </c>
      <c r="AT288" s="268" t="str">
        <f t="shared" si="199"/>
        <v/>
      </c>
      <c r="AZ288" s="269" t="s">
        <v>18</v>
      </c>
      <c r="BA288" s="269">
        <v>2</v>
      </c>
    </row>
    <row r="289" spans="1:53" ht="39.950000000000003" customHeight="1">
      <c r="E289" s="264" t="s">
        <v>35</v>
      </c>
      <c r="F289" s="265" t="str">
        <f>VLOOKUP(A285,'zoznam zapasov'!$A$6:$K$77,9,0)</f>
        <v>So</v>
      </c>
      <c r="G289" s="263"/>
      <c r="H289" s="263"/>
      <c r="I289" s="263"/>
      <c r="J289" s="263"/>
      <c r="K289" s="263"/>
      <c r="L289" s="263"/>
      <c r="M289" s="263"/>
      <c r="N289" s="263"/>
      <c r="O289" s="263"/>
      <c r="P289" s="263"/>
      <c r="Q289" s="263"/>
      <c r="R289" s="263"/>
      <c r="S289" s="263"/>
      <c r="T289" s="263"/>
      <c r="U289" s="263"/>
      <c r="V289" s="263"/>
      <c r="W289" s="267"/>
      <c r="X289" s="263"/>
      <c r="AZ289" s="269" t="s">
        <v>38</v>
      </c>
      <c r="BA289" s="269">
        <v>3</v>
      </c>
    </row>
    <row r="290" spans="1:53" ht="39.950000000000003" customHeight="1">
      <c r="A290" s="252" t="str">
        <f>CONCATENATE(F292,VLOOKUP(F294,$AZ$7:$BA$14,2,0),RIGHT(F296,1))</f>
        <v>CH43</v>
      </c>
      <c r="E290" s="264" t="s">
        <v>28</v>
      </c>
      <c r="F290" s="270" t="str">
        <f>VLOOKUP(A285,'zoznam zapasov'!$A$6:$K$77,10,0)</f>
        <v>9.55</v>
      </c>
      <c r="G290" s="508"/>
      <c r="H290" s="486"/>
      <c r="I290" s="487" t="str">
        <f>IF(ISERROR(VLOOKUP(A290,vylosovanie!$A$8:$J$68,6,0))=TRUE,"",VLOOKUP(A290,vylosovanie!$A$8:$J$68,6,0))</f>
        <v>DELINČAK Filip</v>
      </c>
      <c r="J290" s="487"/>
      <c r="K290" s="487"/>
      <c r="L290" s="487"/>
      <c r="M290" s="263"/>
      <c r="N290" s="489">
        <v>5</v>
      </c>
      <c r="O290" s="489">
        <v>4</v>
      </c>
      <c r="P290" s="489">
        <v>4</v>
      </c>
      <c r="Q290" s="489"/>
      <c r="R290" s="489"/>
      <c r="S290" s="489"/>
      <c r="T290" s="489"/>
      <c r="U290" s="263"/>
      <c r="V290" s="493">
        <f>IF(SUM(AF287:AL288)=0,"",SUM(AF288:AL288))</f>
        <v>0</v>
      </c>
      <c r="W290" s="267"/>
      <c r="X290" s="263"/>
      <c r="AZ290" s="269" t="s">
        <v>39</v>
      </c>
      <c r="BA290" s="269">
        <v>4</v>
      </c>
    </row>
    <row r="291" spans="1:53" ht="39.950000000000003" customHeight="1">
      <c r="E291" s="271"/>
      <c r="F291" s="272"/>
      <c r="G291" s="509"/>
      <c r="H291" s="486"/>
      <c r="I291" s="487"/>
      <c r="J291" s="487"/>
      <c r="K291" s="487"/>
      <c r="L291" s="487"/>
      <c r="M291" s="263"/>
      <c r="N291" s="490"/>
      <c r="O291" s="490"/>
      <c r="P291" s="490"/>
      <c r="Q291" s="490"/>
      <c r="R291" s="490"/>
      <c r="S291" s="490"/>
      <c r="T291" s="490"/>
      <c r="U291" s="263"/>
      <c r="V291" s="493"/>
      <c r="W291" s="267"/>
      <c r="X291" s="263"/>
      <c r="AZ291" s="269" t="s">
        <v>40</v>
      </c>
      <c r="BA291" s="269">
        <v>5</v>
      </c>
    </row>
    <row r="292" spans="1:53" ht="39.950000000000003" customHeight="1">
      <c r="E292" s="264" t="s">
        <v>66</v>
      </c>
      <c r="F292" s="265" t="s">
        <v>65</v>
      </c>
      <c r="G292" s="263"/>
      <c r="H292" s="263"/>
      <c r="I292" s="263"/>
      <c r="J292" s="263"/>
      <c r="K292" s="263"/>
      <c r="L292" s="263"/>
      <c r="M292" s="263"/>
      <c r="N292" s="263"/>
      <c r="O292" s="263"/>
      <c r="P292" s="263"/>
      <c r="Q292" s="263"/>
      <c r="R292" s="263"/>
      <c r="S292" s="263"/>
      <c r="T292" s="263"/>
      <c r="U292" s="263"/>
      <c r="V292" s="263"/>
      <c r="W292" s="267"/>
      <c r="X292" s="263"/>
      <c r="AZ292" s="269" t="s">
        <v>41</v>
      </c>
      <c r="BA292" s="269">
        <v>6</v>
      </c>
    </row>
    <row r="293" spans="1:53" ht="39.950000000000003" customHeight="1">
      <c r="E293" s="271"/>
      <c r="F293" s="272"/>
      <c r="G293" s="263"/>
      <c r="H293" s="263"/>
      <c r="I293" s="263" t="s">
        <v>32</v>
      </c>
      <c r="J293" s="263"/>
      <c r="K293" s="263"/>
      <c r="L293" s="263"/>
      <c r="M293" s="263"/>
      <c r="N293" s="273"/>
      <c r="O293" s="266"/>
      <c r="P293" s="266" t="s">
        <v>34</v>
      </c>
      <c r="Q293" s="266"/>
      <c r="R293" s="266"/>
      <c r="S293" s="266"/>
      <c r="T293" s="266"/>
      <c r="U293" s="263"/>
      <c r="V293" s="263"/>
      <c r="W293" s="267"/>
      <c r="X293" s="263"/>
      <c r="AZ293" s="269" t="s">
        <v>42</v>
      </c>
      <c r="BA293" s="269">
        <v>7</v>
      </c>
    </row>
    <row r="294" spans="1:53" ht="39.950000000000003" customHeight="1">
      <c r="E294" s="264" t="s">
        <v>26</v>
      </c>
      <c r="F294" s="265" t="s">
        <v>39</v>
      </c>
      <c r="G294" s="263"/>
      <c r="H294" s="263"/>
      <c r="I294" s="486"/>
      <c r="J294" s="486"/>
      <c r="K294" s="486"/>
      <c r="L294" s="486"/>
      <c r="M294" s="263"/>
      <c r="N294" s="486" t="str">
        <f>IF(V287&gt;V290,I287,IF(V290&gt;V287,I290,""))</f>
        <v>PINDURA Tobiáš</v>
      </c>
      <c r="O294" s="486"/>
      <c r="P294" s="486"/>
      <c r="Q294" s="486"/>
      <c r="R294" s="486"/>
      <c r="S294" s="486"/>
      <c r="T294" s="263"/>
      <c r="U294" s="263"/>
      <c r="V294" s="263"/>
      <c r="W294" s="267"/>
      <c r="X294" s="263"/>
      <c r="AZ294" s="269" t="s">
        <v>43</v>
      </c>
      <c r="BA294" s="269">
        <v>8</v>
      </c>
    </row>
    <row r="295" spans="1:53" ht="39.950000000000003" customHeight="1">
      <c r="E295" s="271"/>
      <c r="F295" s="272"/>
      <c r="G295" s="263"/>
      <c r="H295" s="263"/>
      <c r="I295" s="486"/>
      <c r="J295" s="486"/>
      <c r="K295" s="486"/>
      <c r="L295" s="486"/>
      <c r="M295" s="263"/>
      <c r="N295" s="486"/>
      <c r="O295" s="486"/>
      <c r="P295" s="486"/>
      <c r="Q295" s="486"/>
      <c r="R295" s="486"/>
      <c r="S295" s="486"/>
      <c r="T295" s="263"/>
      <c r="U295" s="263"/>
      <c r="V295" s="263"/>
      <c r="W295" s="267"/>
      <c r="X295" s="263"/>
    </row>
    <row r="296" spans="1:53" ht="39.950000000000003" customHeight="1">
      <c r="E296" s="264" t="s">
        <v>27</v>
      </c>
      <c r="F296" s="274" t="s">
        <v>20</v>
      </c>
      <c r="G296" s="263"/>
      <c r="H296" s="263"/>
      <c r="I296" s="263"/>
      <c r="J296" s="263"/>
      <c r="K296" s="263"/>
      <c r="L296" s="263"/>
      <c r="M296" s="263"/>
      <c r="N296" s="263"/>
      <c r="O296" s="263"/>
      <c r="P296" s="263"/>
      <c r="Q296" s="263"/>
      <c r="R296" s="263"/>
      <c r="S296" s="263"/>
      <c r="T296" s="263"/>
      <c r="U296" s="263"/>
      <c r="V296" s="263"/>
      <c r="W296" s="267"/>
      <c r="X296" s="263"/>
    </row>
    <row r="297" spans="1:53" ht="39.950000000000003" customHeight="1">
      <c r="E297" s="271"/>
      <c r="F297" s="272"/>
      <c r="G297" s="263"/>
      <c r="H297" s="263" t="s">
        <v>33</v>
      </c>
      <c r="I297" s="263"/>
      <c r="J297" s="263"/>
      <c r="K297" s="263"/>
      <c r="L297" s="263"/>
      <c r="M297" s="263"/>
      <c r="N297" s="263"/>
      <c r="O297" s="263"/>
      <c r="P297" s="263"/>
      <c r="Q297" s="263"/>
      <c r="R297" s="263"/>
      <c r="S297" s="263"/>
      <c r="T297" s="263"/>
      <c r="U297" s="263"/>
      <c r="V297" s="263"/>
      <c r="W297" s="267"/>
      <c r="X297" s="263"/>
    </row>
    <row r="298" spans="1:53" ht="39.950000000000003" customHeight="1">
      <c r="E298" s="271"/>
      <c r="F298" s="272"/>
      <c r="G298" s="263"/>
      <c r="H298" s="263"/>
      <c r="I298" s="263"/>
      <c r="J298" s="263"/>
      <c r="K298" s="263"/>
      <c r="L298" s="263"/>
      <c r="M298" s="263"/>
      <c r="N298" s="263"/>
      <c r="O298" s="263"/>
      <c r="P298" s="263"/>
      <c r="Q298" s="263"/>
      <c r="R298" s="263"/>
      <c r="S298" s="263"/>
      <c r="T298" s="263"/>
      <c r="U298" s="263"/>
      <c r="V298" s="263"/>
      <c r="W298" s="267"/>
      <c r="X298" s="263"/>
    </row>
    <row r="299" spans="1:53" ht="39.950000000000003" customHeight="1">
      <c r="E299" s="271"/>
      <c r="F299" s="272"/>
      <c r="G299" s="263"/>
      <c r="H299" s="263"/>
      <c r="I299" s="496" t="str">
        <f>I287</f>
        <v>PINDURA Tobiáš</v>
      </c>
      <c r="J299" s="496"/>
      <c r="K299" s="496"/>
      <c r="L299" s="496"/>
      <c r="M299" s="263"/>
      <c r="N299" s="263"/>
      <c r="O299" s="263"/>
      <c r="P299" s="496" t="str">
        <f>I290</f>
        <v>DELINČAK Filip</v>
      </c>
      <c r="Q299" s="496"/>
      <c r="R299" s="496"/>
      <c r="S299" s="496"/>
      <c r="T299" s="497"/>
      <c r="U299" s="497"/>
      <c r="V299" s="263"/>
      <c r="W299" s="267"/>
      <c r="X299" s="263"/>
    </row>
    <row r="300" spans="1:53" ht="69.95" customHeight="1">
      <c r="E300" s="264"/>
      <c r="F300" s="265"/>
      <c r="G300" s="263"/>
      <c r="H300" s="275" t="s">
        <v>36</v>
      </c>
      <c r="I300" s="483"/>
      <c r="J300" s="494"/>
      <c r="K300" s="494"/>
      <c r="L300" s="495"/>
      <c r="M300" s="263"/>
      <c r="N300" s="263"/>
      <c r="O300" s="275" t="s">
        <v>36</v>
      </c>
      <c r="P300" s="486"/>
      <c r="Q300" s="486"/>
      <c r="R300" s="486"/>
      <c r="S300" s="486"/>
      <c r="T300" s="486"/>
      <c r="U300" s="486"/>
      <c r="V300" s="263"/>
      <c r="W300" s="267"/>
      <c r="X300" s="263"/>
    </row>
    <row r="301" spans="1:53" ht="69.95" customHeight="1">
      <c r="E301" s="264"/>
      <c r="F301" s="265"/>
      <c r="G301" s="263"/>
      <c r="H301" s="275" t="s">
        <v>37</v>
      </c>
      <c r="I301" s="486"/>
      <c r="J301" s="486"/>
      <c r="K301" s="486"/>
      <c r="L301" s="486"/>
      <c r="M301" s="263"/>
      <c r="N301" s="263"/>
      <c r="O301" s="275" t="s">
        <v>37</v>
      </c>
      <c r="P301" s="486"/>
      <c r="Q301" s="486"/>
      <c r="R301" s="486"/>
      <c r="S301" s="486"/>
      <c r="T301" s="486"/>
      <c r="U301" s="486"/>
      <c r="V301" s="263"/>
      <c r="W301" s="267"/>
      <c r="X301" s="263"/>
    </row>
    <row r="302" spans="1:53" ht="69.95" customHeight="1">
      <c r="E302" s="264"/>
      <c r="F302" s="265"/>
      <c r="G302" s="263"/>
      <c r="H302" s="275" t="s">
        <v>37</v>
      </c>
      <c r="I302" s="486"/>
      <c r="J302" s="486"/>
      <c r="K302" s="486"/>
      <c r="L302" s="486"/>
      <c r="M302" s="263"/>
      <c r="N302" s="263"/>
      <c r="O302" s="275" t="s">
        <v>37</v>
      </c>
      <c r="P302" s="486"/>
      <c r="Q302" s="486"/>
      <c r="R302" s="486"/>
      <c r="S302" s="486"/>
      <c r="T302" s="486"/>
      <c r="U302" s="486"/>
      <c r="V302" s="263"/>
      <c r="W302" s="267"/>
      <c r="X302" s="263"/>
    </row>
    <row r="303" spans="1:53" ht="39.950000000000003" customHeight="1" thickBot="1">
      <c r="E303" s="276"/>
      <c r="F303" s="277"/>
      <c r="G303" s="278"/>
      <c r="H303" s="278"/>
      <c r="I303" s="278"/>
      <c r="J303" s="278"/>
      <c r="K303" s="278"/>
      <c r="L303" s="278"/>
      <c r="M303" s="278"/>
      <c r="N303" s="278"/>
      <c r="O303" s="278"/>
      <c r="P303" s="278"/>
      <c r="Q303" s="278"/>
      <c r="R303" s="278"/>
      <c r="S303" s="278"/>
      <c r="T303" s="279"/>
      <c r="U303" s="279"/>
      <c r="V303" s="279"/>
      <c r="W303" s="280"/>
      <c r="X303" s="263"/>
    </row>
    <row r="304" spans="1:53" ht="62.25" thickBot="1"/>
    <row r="305" spans="1:53" ht="39.950000000000003" customHeight="1">
      <c r="A305" s="252" t="str">
        <f>CONCATENATE(F312,F314,F316)</f>
        <v>CHD2-4</v>
      </c>
      <c r="E305" s="259" t="s">
        <v>70</v>
      </c>
      <c r="F305" s="260">
        <f>VLOOKUP(A305,'zoznam zapasov'!$A$6:$K$77,3,0)</f>
        <v>16</v>
      </c>
      <c r="G305" s="261"/>
      <c r="H305" s="322" t="s">
        <v>501</v>
      </c>
      <c r="I305" s="261"/>
      <c r="J305" s="261"/>
      <c r="K305" s="261"/>
      <c r="L305" s="261"/>
      <c r="M305" s="261"/>
      <c r="N305" s="261"/>
      <c r="O305" s="261"/>
      <c r="P305" s="261"/>
      <c r="Q305" s="261"/>
      <c r="R305" s="261"/>
      <c r="S305" s="261"/>
      <c r="T305" s="261"/>
      <c r="U305" s="261"/>
      <c r="V305" s="261" t="s">
        <v>30</v>
      </c>
      <c r="W305" s="262"/>
      <c r="X305" s="263"/>
      <c r="Z305" s="258" t="str">
        <f>CONCATENATE(V307,":",V310)</f>
        <v>3:0</v>
      </c>
      <c r="AE305" s="253" t="s">
        <v>11</v>
      </c>
      <c r="AV305" s="256" t="str">
        <f>CONCATENATE(AN307,",",AO307,",",AP307,",",AQ307,",",AR307,",",AS307,",",AT307)</f>
        <v>3,2,8,,,,</v>
      </c>
    </row>
    <row r="306" spans="1:53" ht="39.950000000000003" customHeight="1">
      <c r="E306" s="264"/>
      <c r="F306" s="265"/>
      <c r="G306" s="321" t="s">
        <v>500</v>
      </c>
      <c r="H306" s="323" t="s">
        <v>502</v>
      </c>
      <c r="I306" s="263"/>
      <c r="J306" s="263"/>
      <c r="K306" s="263"/>
      <c r="L306" s="263"/>
      <c r="M306" s="263"/>
      <c r="N306" s="266">
        <v>1</v>
      </c>
      <c r="O306" s="266">
        <v>2</v>
      </c>
      <c r="P306" s="266">
        <v>3</v>
      </c>
      <c r="Q306" s="266">
        <v>4</v>
      </c>
      <c r="R306" s="266">
        <v>5</v>
      </c>
      <c r="S306" s="266">
        <v>6</v>
      </c>
      <c r="T306" s="266">
        <v>7</v>
      </c>
      <c r="U306" s="263"/>
      <c r="V306" s="266" t="s">
        <v>31</v>
      </c>
      <c r="W306" s="267"/>
      <c r="X306" s="263"/>
      <c r="AE306" s="253" t="s">
        <v>68</v>
      </c>
      <c r="AV306" s="256" t="str">
        <f>CONCATENATE(AN308,",",AO308,",",AP308,",",AQ308,",",AR308,",",AS308,",",AT308)</f>
        <v>-3,-2,-8,,,,</v>
      </c>
    </row>
    <row r="307" spans="1:53" ht="39.950000000000003" customHeight="1">
      <c r="A307" s="252" t="str">
        <f>CONCATENATE(F312,VLOOKUP(F314,$AZ$7:$BA$14,2,0),LEFT(F316,1))</f>
        <v>CH42</v>
      </c>
      <c r="E307" s="264" t="s">
        <v>29</v>
      </c>
      <c r="F307" s="265">
        <f>VLOOKUP(A305,'zoznam zapasov'!$A$6:$K$77,11,0)</f>
        <v>8</v>
      </c>
      <c r="G307" s="508"/>
      <c r="H307" s="495"/>
      <c r="I307" s="487" t="str">
        <f>IF(ISERROR(VLOOKUP(A307,vylosovanie!$A$8:$J$68,6,0))=TRUE,"",VLOOKUP(A307,vylosovanie!$A$8:$J$68,6,0))</f>
        <v>HURKA Rastislav</v>
      </c>
      <c r="J307" s="487"/>
      <c r="K307" s="487"/>
      <c r="L307" s="487"/>
      <c r="M307" s="263"/>
      <c r="N307" s="489">
        <v>11</v>
      </c>
      <c r="O307" s="489">
        <v>11</v>
      </c>
      <c r="P307" s="489">
        <v>11</v>
      </c>
      <c r="Q307" s="489"/>
      <c r="R307" s="489"/>
      <c r="S307" s="489"/>
      <c r="T307" s="489"/>
      <c r="U307" s="263"/>
      <c r="V307" s="493">
        <f>IF(SUM(AF307:AL308)=0,"",SUM(AF307:AL307))</f>
        <v>3</v>
      </c>
      <c r="W307" s="267"/>
      <c r="X307" s="263"/>
      <c r="AE307" s="253" t="str">
        <f>VLOOKUP(I307,vylosovanie!$F$8:$L$190,7,0)</f>
        <v>CH42</v>
      </c>
      <c r="AF307" s="268">
        <f>IF(N307&gt;N310,1,0)</f>
        <v>1</v>
      </c>
      <c r="AG307" s="268">
        <f t="shared" ref="AG307" si="200">IF(O307&gt;O310,1,0)</f>
        <v>1</v>
      </c>
      <c r="AH307" s="268">
        <f t="shared" ref="AH307" si="201">IF(P307&gt;P310,1,0)</f>
        <v>1</v>
      </c>
      <c r="AI307" s="268">
        <f t="shared" ref="AI307" si="202">IF(Q307&gt;Q310,1,0)</f>
        <v>0</v>
      </c>
      <c r="AJ307" s="268">
        <f t="shared" ref="AJ307" si="203">IF(R307&gt;R310,1,0)</f>
        <v>0</v>
      </c>
      <c r="AK307" s="268">
        <f t="shared" ref="AK307" si="204">IF(S307&gt;S310,1,0)</f>
        <v>0</v>
      </c>
      <c r="AL307" s="268">
        <f t="shared" ref="AL307" si="205">IF(T307&gt;T310,1,0)</f>
        <v>0</v>
      </c>
      <c r="AN307" s="268">
        <f t="shared" ref="AN307:AT307" si="206">IF(ISBLANK(N307)=TRUE,"",IF(AF307=1,N310,-N307))</f>
        <v>3</v>
      </c>
      <c r="AO307" s="268">
        <f t="shared" si="206"/>
        <v>2</v>
      </c>
      <c r="AP307" s="268">
        <f t="shared" si="206"/>
        <v>8</v>
      </c>
      <c r="AQ307" s="268" t="str">
        <f t="shared" si="206"/>
        <v/>
      </c>
      <c r="AR307" s="268" t="str">
        <f t="shared" si="206"/>
        <v/>
      </c>
      <c r="AS307" s="268" t="str">
        <f t="shared" si="206"/>
        <v/>
      </c>
      <c r="AT307" s="268" t="str">
        <f t="shared" si="206"/>
        <v/>
      </c>
      <c r="AZ307" s="269" t="s">
        <v>12</v>
      </c>
      <c r="BA307" s="269">
        <v>1</v>
      </c>
    </row>
    <row r="308" spans="1:53" ht="39.950000000000003" customHeight="1">
      <c r="E308" s="264"/>
      <c r="F308" s="265"/>
      <c r="G308" s="509"/>
      <c r="H308" s="495"/>
      <c r="I308" s="487"/>
      <c r="J308" s="487"/>
      <c r="K308" s="487"/>
      <c r="L308" s="487"/>
      <c r="M308" s="263"/>
      <c r="N308" s="490"/>
      <c r="O308" s="490"/>
      <c r="P308" s="490"/>
      <c r="Q308" s="490"/>
      <c r="R308" s="490"/>
      <c r="S308" s="490"/>
      <c r="T308" s="490"/>
      <c r="U308" s="263"/>
      <c r="V308" s="493"/>
      <c r="W308" s="267"/>
      <c r="X308" s="263"/>
      <c r="AE308" s="253" t="str">
        <f>VLOOKUP(I310,vylosovanie!$F$8:$L$190,7,0)</f>
        <v>CH44</v>
      </c>
      <c r="AF308" s="268">
        <f>IF(N310&gt;N307,1,0)</f>
        <v>0</v>
      </c>
      <c r="AG308" s="268">
        <f t="shared" ref="AG308" si="207">IF(O310&gt;O307,1,0)</f>
        <v>0</v>
      </c>
      <c r="AH308" s="268">
        <f t="shared" ref="AH308" si="208">IF(P310&gt;P307,1,0)</f>
        <v>0</v>
      </c>
      <c r="AI308" s="268">
        <f t="shared" ref="AI308" si="209">IF(Q310&gt;Q307,1,0)</f>
        <v>0</v>
      </c>
      <c r="AJ308" s="268">
        <f t="shared" ref="AJ308" si="210">IF(R310&gt;R307,1,0)</f>
        <v>0</v>
      </c>
      <c r="AK308" s="268">
        <f t="shared" ref="AK308" si="211">IF(S310&gt;S307,1,0)</f>
        <v>0</v>
      </c>
      <c r="AL308" s="268">
        <f t="shared" ref="AL308" si="212">IF(T310&gt;T307,1,0)</f>
        <v>0</v>
      </c>
      <c r="AN308" s="268">
        <f t="shared" ref="AN308:AT308" si="213">IF(ISBLANK(N310)=TRUE,"",IF(AF308=1,N307,-N310))</f>
        <v>-3</v>
      </c>
      <c r="AO308" s="268">
        <f t="shared" si="213"/>
        <v>-2</v>
      </c>
      <c r="AP308" s="268">
        <f t="shared" si="213"/>
        <v>-8</v>
      </c>
      <c r="AQ308" s="268" t="str">
        <f t="shared" si="213"/>
        <v/>
      </c>
      <c r="AR308" s="268" t="str">
        <f t="shared" si="213"/>
        <v/>
      </c>
      <c r="AS308" s="268" t="str">
        <f t="shared" si="213"/>
        <v/>
      </c>
      <c r="AT308" s="268" t="str">
        <f t="shared" si="213"/>
        <v/>
      </c>
      <c r="AZ308" s="269" t="s">
        <v>18</v>
      </c>
      <c r="BA308" s="269">
        <v>2</v>
      </c>
    </row>
    <row r="309" spans="1:53" ht="39.950000000000003" customHeight="1">
      <c r="E309" s="264" t="s">
        <v>35</v>
      </c>
      <c r="F309" s="265" t="str">
        <f>VLOOKUP(A305,'zoznam zapasov'!$A$6:$K$77,9,0)</f>
        <v>So</v>
      </c>
      <c r="G309" s="263"/>
      <c r="H309" s="263"/>
      <c r="I309" s="263"/>
      <c r="J309" s="263"/>
      <c r="K309" s="263"/>
      <c r="L309" s="263"/>
      <c r="M309" s="263"/>
      <c r="N309" s="263"/>
      <c r="O309" s="263"/>
      <c r="P309" s="263"/>
      <c r="Q309" s="263"/>
      <c r="R309" s="263"/>
      <c r="S309" s="263"/>
      <c r="T309" s="263"/>
      <c r="U309" s="263"/>
      <c r="V309" s="263"/>
      <c r="W309" s="267"/>
      <c r="X309" s="263"/>
      <c r="AZ309" s="269" t="s">
        <v>38</v>
      </c>
      <c r="BA309" s="269">
        <v>3</v>
      </c>
    </row>
    <row r="310" spans="1:53" ht="39.950000000000003" customHeight="1">
      <c r="A310" s="252" t="str">
        <f>CONCATENATE(F312,VLOOKUP(F314,$AZ$7:$BA$14,2,0),RIGHT(F316,1))</f>
        <v>CH44</v>
      </c>
      <c r="E310" s="264" t="s">
        <v>28</v>
      </c>
      <c r="F310" s="270" t="str">
        <f>VLOOKUP(A305,'zoznam zapasov'!$A$6:$K$77,10,0)</f>
        <v>9.55</v>
      </c>
      <c r="G310" s="508"/>
      <c r="H310" s="486"/>
      <c r="I310" s="487" t="str">
        <f>IF(ISERROR(VLOOKUP(A310,vylosovanie!$A$8:$J$68,6,0))=TRUE,"",VLOOKUP(A310,vylosovanie!$A$8:$J$68,6,0))</f>
        <v>TRŇAN Jakub</v>
      </c>
      <c r="J310" s="487"/>
      <c r="K310" s="487"/>
      <c r="L310" s="487"/>
      <c r="M310" s="263"/>
      <c r="N310" s="489">
        <v>3</v>
      </c>
      <c r="O310" s="489">
        <v>2</v>
      </c>
      <c r="P310" s="489">
        <v>8</v>
      </c>
      <c r="Q310" s="489"/>
      <c r="R310" s="489"/>
      <c r="S310" s="489"/>
      <c r="T310" s="489"/>
      <c r="U310" s="263"/>
      <c r="V310" s="493">
        <f>IF(SUM(AF307:AL308)=0,"",SUM(AF308:AL308))</f>
        <v>0</v>
      </c>
      <c r="W310" s="267"/>
      <c r="X310" s="263"/>
      <c r="AZ310" s="269" t="s">
        <v>39</v>
      </c>
      <c r="BA310" s="269">
        <v>4</v>
      </c>
    </row>
    <row r="311" spans="1:53" ht="39.950000000000003" customHeight="1">
      <c r="E311" s="271"/>
      <c r="F311" s="272"/>
      <c r="G311" s="509"/>
      <c r="H311" s="486"/>
      <c r="I311" s="487"/>
      <c r="J311" s="487"/>
      <c r="K311" s="487"/>
      <c r="L311" s="487"/>
      <c r="M311" s="263"/>
      <c r="N311" s="490"/>
      <c r="O311" s="490"/>
      <c r="P311" s="490"/>
      <c r="Q311" s="490"/>
      <c r="R311" s="490"/>
      <c r="S311" s="490"/>
      <c r="T311" s="490"/>
      <c r="U311" s="263"/>
      <c r="V311" s="493"/>
      <c r="W311" s="267"/>
      <c r="X311" s="263"/>
      <c r="AZ311" s="269" t="s">
        <v>40</v>
      </c>
      <c r="BA311" s="269">
        <v>5</v>
      </c>
    </row>
    <row r="312" spans="1:53" ht="39.950000000000003" customHeight="1">
      <c r="E312" s="264" t="s">
        <v>66</v>
      </c>
      <c r="F312" s="265" t="s">
        <v>65</v>
      </c>
      <c r="G312" s="263"/>
      <c r="H312" s="263"/>
      <c r="I312" s="263"/>
      <c r="J312" s="263"/>
      <c r="K312" s="263"/>
      <c r="L312" s="263"/>
      <c r="M312" s="263"/>
      <c r="N312" s="263"/>
      <c r="O312" s="263"/>
      <c r="P312" s="263"/>
      <c r="Q312" s="263"/>
      <c r="R312" s="263"/>
      <c r="S312" s="263"/>
      <c r="T312" s="263"/>
      <c r="U312" s="263"/>
      <c r="V312" s="263"/>
      <c r="W312" s="267"/>
      <c r="X312" s="263"/>
      <c r="AZ312" s="269" t="s">
        <v>41</v>
      </c>
      <c r="BA312" s="269">
        <v>6</v>
      </c>
    </row>
    <row r="313" spans="1:53" ht="39.950000000000003" customHeight="1">
      <c r="E313" s="271"/>
      <c r="F313" s="272"/>
      <c r="G313" s="263"/>
      <c r="H313" s="263"/>
      <c r="I313" s="263" t="s">
        <v>32</v>
      </c>
      <c r="J313" s="263"/>
      <c r="K313" s="263"/>
      <c r="L313" s="263"/>
      <c r="M313" s="263"/>
      <c r="N313" s="273"/>
      <c r="O313" s="266"/>
      <c r="P313" s="266" t="s">
        <v>34</v>
      </c>
      <c r="Q313" s="266"/>
      <c r="R313" s="266"/>
      <c r="S313" s="266"/>
      <c r="T313" s="266"/>
      <c r="U313" s="263"/>
      <c r="V313" s="263"/>
      <c r="W313" s="267"/>
      <c r="X313" s="263"/>
      <c r="AZ313" s="269" t="s">
        <v>42</v>
      </c>
      <c r="BA313" s="269">
        <v>7</v>
      </c>
    </row>
    <row r="314" spans="1:53" ht="39.950000000000003" customHeight="1">
      <c r="E314" s="264" t="s">
        <v>26</v>
      </c>
      <c r="F314" s="265" t="s">
        <v>39</v>
      </c>
      <c r="G314" s="263"/>
      <c r="H314" s="263"/>
      <c r="I314" s="486"/>
      <c r="J314" s="486"/>
      <c r="K314" s="486"/>
      <c r="L314" s="486"/>
      <c r="M314" s="263"/>
      <c r="N314" s="486" t="str">
        <f>IF(V307&gt;V310,I307,IF(V310&gt;V307,I310,""))</f>
        <v>HURKA Rastislav</v>
      </c>
      <c r="O314" s="486"/>
      <c r="P314" s="486"/>
      <c r="Q314" s="486"/>
      <c r="R314" s="486"/>
      <c r="S314" s="486"/>
      <c r="T314" s="263"/>
      <c r="U314" s="263"/>
      <c r="V314" s="263"/>
      <c r="W314" s="267"/>
      <c r="X314" s="263"/>
      <c r="AZ314" s="269" t="s">
        <v>43</v>
      </c>
      <c r="BA314" s="269">
        <v>8</v>
      </c>
    </row>
    <row r="315" spans="1:53" ht="39.950000000000003" customHeight="1">
      <c r="E315" s="271"/>
      <c r="F315" s="272"/>
      <c r="G315" s="263"/>
      <c r="H315" s="263"/>
      <c r="I315" s="486"/>
      <c r="J315" s="486"/>
      <c r="K315" s="486"/>
      <c r="L315" s="486"/>
      <c r="M315" s="263"/>
      <c r="N315" s="486"/>
      <c r="O315" s="486"/>
      <c r="P315" s="486"/>
      <c r="Q315" s="486"/>
      <c r="R315" s="486"/>
      <c r="S315" s="486"/>
      <c r="T315" s="263"/>
      <c r="U315" s="263"/>
      <c r="V315" s="263"/>
      <c r="W315" s="267"/>
      <c r="X315" s="263"/>
    </row>
    <row r="316" spans="1:53" ht="39.950000000000003" customHeight="1">
      <c r="E316" s="264" t="s">
        <v>27</v>
      </c>
      <c r="F316" s="274" t="s">
        <v>21</v>
      </c>
      <c r="G316" s="263"/>
      <c r="H316" s="263"/>
      <c r="I316" s="263"/>
      <c r="J316" s="263"/>
      <c r="K316" s="263"/>
      <c r="L316" s="263"/>
      <c r="M316" s="263"/>
      <c r="N316" s="263"/>
      <c r="O316" s="263"/>
      <c r="P316" s="263"/>
      <c r="Q316" s="263"/>
      <c r="R316" s="263"/>
      <c r="S316" s="263"/>
      <c r="T316" s="263"/>
      <c r="U316" s="263"/>
      <c r="V316" s="263"/>
      <c r="W316" s="267"/>
      <c r="X316" s="263"/>
    </row>
    <row r="317" spans="1:53" ht="39.950000000000003" customHeight="1">
      <c r="E317" s="271"/>
      <c r="F317" s="272"/>
      <c r="G317" s="263"/>
      <c r="H317" s="263" t="s">
        <v>33</v>
      </c>
      <c r="I317" s="263"/>
      <c r="J317" s="263"/>
      <c r="K317" s="263"/>
      <c r="L317" s="263"/>
      <c r="M317" s="263"/>
      <c r="N317" s="263"/>
      <c r="O317" s="263"/>
      <c r="P317" s="263"/>
      <c r="Q317" s="263"/>
      <c r="R317" s="263"/>
      <c r="S317" s="263"/>
      <c r="T317" s="263"/>
      <c r="U317" s="263"/>
      <c r="V317" s="263"/>
      <c r="W317" s="267"/>
      <c r="X317" s="263"/>
    </row>
    <row r="318" spans="1:53" ht="39.950000000000003" customHeight="1">
      <c r="E318" s="271"/>
      <c r="F318" s="272"/>
      <c r="G318" s="263"/>
      <c r="H318" s="263"/>
      <c r="I318" s="263"/>
      <c r="J318" s="263"/>
      <c r="K318" s="263"/>
      <c r="L318" s="263"/>
      <c r="M318" s="263"/>
      <c r="N318" s="263"/>
      <c r="O318" s="263"/>
      <c r="P318" s="263"/>
      <c r="Q318" s="263"/>
      <c r="R318" s="263"/>
      <c r="S318" s="263"/>
      <c r="T318" s="263"/>
      <c r="U318" s="263"/>
      <c r="V318" s="263"/>
      <c r="W318" s="267"/>
      <c r="X318" s="263"/>
    </row>
    <row r="319" spans="1:53" ht="39.950000000000003" customHeight="1">
      <c r="E319" s="271"/>
      <c r="F319" s="272"/>
      <c r="G319" s="263"/>
      <c r="H319" s="263"/>
      <c r="I319" s="496" t="str">
        <f>I307</f>
        <v>HURKA Rastislav</v>
      </c>
      <c r="J319" s="496"/>
      <c r="K319" s="496"/>
      <c r="L319" s="496"/>
      <c r="M319" s="263"/>
      <c r="N319" s="263"/>
      <c r="O319" s="263"/>
      <c r="P319" s="496" t="str">
        <f>I310</f>
        <v>TRŇAN Jakub</v>
      </c>
      <c r="Q319" s="496"/>
      <c r="R319" s="496"/>
      <c r="S319" s="496"/>
      <c r="T319" s="497"/>
      <c r="U319" s="497"/>
      <c r="V319" s="263"/>
      <c r="W319" s="267"/>
      <c r="X319" s="263"/>
    </row>
    <row r="320" spans="1:53" ht="69.95" customHeight="1">
      <c r="E320" s="264"/>
      <c r="F320" s="265"/>
      <c r="G320" s="263"/>
      <c r="H320" s="275" t="s">
        <v>36</v>
      </c>
      <c r="I320" s="483"/>
      <c r="J320" s="494"/>
      <c r="K320" s="494"/>
      <c r="L320" s="495"/>
      <c r="M320" s="263"/>
      <c r="N320" s="263"/>
      <c r="O320" s="275" t="s">
        <v>36</v>
      </c>
      <c r="P320" s="486"/>
      <c r="Q320" s="486"/>
      <c r="R320" s="486"/>
      <c r="S320" s="486"/>
      <c r="T320" s="486"/>
      <c r="U320" s="486"/>
      <c r="V320" s="263"/>
      <c r="W320" s="267"/>
      <c r="X320" s="263"/>
    </row>
    <row r="321" spans="1:53" ht="69.95" customHeight="1">
      <c r="E321" s="264"/>
      <c r="F321" s="265"/>
      <c r="G321" s="263"/>
      <c r="H321" s="275" t="s">
        <v>37</v>
      </c>
      <c r="I321" s="486"/>
      <c r="J321" s="486"/>
      <c r="K321" s="486"/>
      <c r="L321" s="486"/>
      <c r="M321" s="263"/>
      <c r="N321" s="263"/>
      <c r="O321" s="275" t="s">
        <v>37</v>
      </c>
      <c r="P321" s="486"/>
      <c r="Q321" s="486"/>
      <c r="R321" s="486"/>
      <c r="S321" s="486"/>
      <c r="T321" s="486"/>
      <c r="U321" s="486"/>
      <c r="V321" s="263"/>
      <c r="W321" s="267"/>
      <c r="X321" s="263"/>
    </row>
    <row r="322" spans="1:53" ht="69.95" customHeight="1">
      <c r="E322" s="264"/>
      <c r="F322" s="265"/>
      <c r="G322" s="263"/>
      <c r="H322" s="275" t="s">
        <v>37</v>
      </c>
      <c r="I322" s="486"/>
      <c r="J322" s="486"/>
      <c r="K322" s="486"/>
      <c r="L322" s="486"/>
      <c r="M322" s="263"/>
      <c r="N322" s="263"/>
      <c r="O322" s="275" t="s">
        <v>37</v>
      </c>
      <c r="P322" s="486"/>
      <c r="Q322" s="486"/>
      <c r="R322" s="486"/>
      <c r="S322" s="486"/>
      <c r="T322" s="486"/>
      <c r="U322" s="486"/>
      <c r="V322" s="263"/>
      <c r="W322" s="267"/>
      <c r="X322" s="263"/>
    </row>
    <row r="323" spans="1:53" ht="39.950000000000003" customHeight="1" thickBot="1">
      <c r="E323" s="276"/>
      <c r="F323" s="277"/>
      <c r="G323" s="278"/>
      <c r="H323" s="278"/>
      <c r="I323" s="278"/>
      <c r="J323" s="278"/>
      <c r="K323" s="278"/>
      <c r="L323" s="278"/>
      <c r="M323" s="278"/>
      <c r="N323" s="278"/>
      <c r="O323" s="278"/>
      <c r="P323" s="278"/>
      <c r="Q323" s="278"/>
      <c r="R323" s="278"/>
      <c r="S323" s="278"/>
      <c r="T323" s="279"/>
      <c r="U323" s="279"/>
      <c r="V323" s="279"/>
      <c r="W323" s="280"/>
      <c r="X323" s="263"/>
    </row>
    <row r="324" spans="1:53" ht="62.25" thickBot="1"/>
    <row r="325" spans="1:53" ht="39.950000000000003" customHeight="1">
      <c r="A325" s="252" t="str">
        <f>CONCATENATE(F332,F334,F336)</f>
        <v>CHE1-3</v>
      </c>
      <c r="E325" s="259" t="s">
        <v>70</v>
      </c>
      <c r="F325" s="260">
        <f>VLOOKUP(A325,'zoznam zapasov'!$A$6:$K$77,3,0)</f>
        <v>17</v>
      </c>
      <c r="G325" s="261"/>
      <c r="H325" s="322" t="s">
        <v>501</v>
      </c>
      <c r="I325" s="261"/>
      <c r="J325" s="261"/>
      <c r="K325" s="261"/>
      <c r="L325" s="261"/>
      <c r="M325" s="261"/>
      <c r="N325" s="261"/>
      <c r="O325" s="261"/>
      <c r="P325" s="261"/>
      <c r="Q325" s="261"/>
      <c r="R325" s="261"/>
      <c r="S325" s="261"/>
      <c r="T325" s="261"/>
      <c r="U325" s="261"/>
      <c r="V325" s="261" t="s">
        <v>30</v>
      </c>
      <c r="W325" s="262"/>
      <c r="X325" s="263"/>
      <c r="Z325" s="258" t="str">
        <f>CONCATENATE(V327,":",V330)</f>
        <v>3:0</v>
      </c>
      <c r="AE325" s="253" t="s">
        <v>11</v>
      </c>
      <c r="AV325" s="256" t="str">
        <f>CONCATENATE(AN327,",",AO327,",",AP327,",",AQ327,",",AR327,",",AS327,",",AT327)</f>
        <v>7,5,6,,,,</v>
      </c>
    </row>
    <row r="326" spans="1:53" ht="39.950000000000003" customHeight="1">
      <c r="E326" s="264"/>
      <c r="F326" s="265"/>
      <c r="G326" s="321" t="s">
        <v>500</v>
      </c>
      <c r="H326" s="323" t="s">
        <v>502</v>
      </c>
      <c r="I326" s="263"/>
      <c r="J326" s="263"/>
      <c r="K326" s="263"/>
      <c r="L326" s="263"/>
      <c r="M326" s="263"/>
      <c r="N326" s="266">
        <v>1</v>
      </c>
      <c r="O326" s="266">
        <v>2</v>
      </c>
      <c r="P326" s="266">
        <v>3</v>
      </c>
      <c r="Q326" s="266">
        <v>4</v>
      </c>
      <c r="R326" s="266">
        <v>5</v>
      </c>
      <c r="S326" s="266">
        <v>6</v>
      </c>
      <c r="T326" s="266">
        <v>7</v>
      </c>
      <c r="U326" s="263"/>
      <c r="V326" s="266" t="s">
        <v>31</v>
      </c>
      <c r="W326" s="267"/>
      <c r="X326" s="263"/>
      <c r="AE326" s="253" t="s">
        <v>68</v>
      </c>
      <c r="AV326" s="256" t="str">
        <f>CONCATENATE(AN328,",",AO328,",",AP328,",",AQ328,",",AR328,",",AS328,",",AT328)</f>
        <v>-7,-5,-6,,,,</v>
      </c>
    </row>
    <row r="327" spans="1:53" ht="39.950000000000003" customHeight="1">
      <c r="A327" s="252" t="str">
        <f>CONCATENATE(F332,VLOOKUP(F334,$AZ$7:$BA$14,2,0),LEFT(F336,1))</f>
        <v>CH51</v>
      </c>
      <c r="E327" s="264" t="s">
        <v>29</v>
      </c>
      <c r="F327" s="265">
        <f>VLOOKUP(A325,'zoznam zapasov'!$A$6:$K$77,11,0)</f>
        <v>1</v>
      </c>
      <c r="G327" s="508"/>
      <c r="H327" s="495"/>
      <c r="I327" s="487" t="str">
        <f>IF(ISERROR(VLOOKUP(A327,vylosovanie!$A$8:$J$68,6,0))=TRUE,"",VLOOKUP(A327,vylosovanie!$A$8:$J$68,6,0))</f>
        <v>PETRÍK Filip</v>
      </c>
      <c r="J327" s="487"/>
      <c r="K327" s="487"/>
      <c r="L327" s="487"/>
      <c r="M327" s="263"/>
      <c r="N327" s="489">
        <v>11</v>
      </c>
      <c r="O327" s="489">
        <v>11</v>
      </c>
      <c r="P327" s="489">
        <v>11</v>
      </c>
      <c r="Q327" s="489"/>
      <c r="R327" s="489"/>
      <c r="S327" s="489"/>
      <c r="T327" s="489"/>
      <c r="U327" s="263"/>
      <c r="V327" s="493">
        <f>IF(SUM(AF327:AL328)=0,"",SUM(AF327:AL327))</f>
        <v>3</v>
      </c>
      <c r="W327" s="267"/>
      <c r="X327" s="263"/>
      <c r="AE327" s="253" t="str">
        <f>VLOOKUP(I327,vylosovanie!$F$8:$L$190,7,0)</f>
        <v>CH51</v>
      </c>
      <c r="AF327" s="268">
        <f>IF(N327&gt;N330,1,0)</f>
        <v>1</v>
      </c>
      <c r="AG327" s="268">
        <f t="shared" ref="AG327" si="214">IF(O327&gt;O330,1,0)</f>
        <v>1</v>
      </c>
      <c r="AH327" s="268">
        <f t="shared" ref="AH327" si="215">IF(P327&gt;P330,1,0)</f>
        <v>1</v>
      </c>
      <c r="AI327" s="268">
        <f t="shared" ref="AI327" si="216">IF(Q327&gt;Q330,1,0)</f>
        <v>0</v>
      </c>
      <c r="AJ327" s="268">
        <f t="shared" ref="AJ327" si="217">IF(R327&gt;R330,1,0)</f>
        <v>0</v>
      </c>
      <c r="AK327" s="268">
        <f t="shared" ref="AK327" si="218">IF(S327&gt;S330,1,0)</f>
        <v>0</v>
      </c>
      <c r="AL327" s="268">
        <f t="shared" ref="AL327" si="219">IF(T327&gt;T330,1,0)</f>
        <v>0</v>
      </c>
      <c r="AN327" s="268">
        <f t="shared" ref="AN327:AT327" si="220">IF(ISBLANK(N327)=TRUE,"",IF(AF327=1,N330,-N327))</f>
        <v>7</v>
      </c>
      <c r="AO327" s="268">
        <f t="shared" si="220"/>
        <v>5</v>
      </c>
      <c r="AP327" s="268">
        <f t="shared" si="220"/>
        <v>6</v>
      </c>
      <c r="AQ327" s="268" t="str">
        <f t="shared" si="220"/>
        <v/>
      </c>
      <c r="AR327" s="268" t="str">
        <f t="shared" si="220"/>
        <v/>
      </c>
      <c r="AS327" s="268" t="str">
        <f t="shared" si="220"/>
        <v/>
      </c>
      <c r="AT327" s="268" t="str">
        <f t="shared" si="220"/>
        <v/>
      </c>
      <c r="AZ327" s="269" t="s">
        <v>12</v>
      </c>
      <c r="BA327" s="269">
        <v>1</v>
      </c>
    </row>
    <row r="328" spans="1:53" ht="39.950000000000003" customHeight="1">
      <c r="E328" s="264"/>
      <c r="F328" s="265"/>
      <c r="G328" s="509"/>
      <c r="H328" s="495"/>
      <c r="I328" s="487"/>
      <c r="J328" s="487"/>
      <c r="K328" s="487"/>
      <c r="L328" s="487"/>
      <c r="M328" s="263"/>
      <c r="N328" s="490"/>
      <c r="O328" s="490"/>
      <c r="P328" s="490"/>
      <c r="Q328" s="490"/>
      <c r="R328" s="490"/>
      <c r="S328" s="490"/>
      <c r="T328" s="490"/>
      <c r="U328" s="263"/>
      <c r="V328" s="493"/>
      <c r="W328" s="267"/>
      <c r="X328" s="263"/>
      <c r="AE328" s="253" t="str">
        <f>VLOOKUP(I330,vylosovanie!$F$8:$L$190,7,0)</f>
        <v>CH53</v>
      </c>
      <c r="AF328" s="268">
        <f>IF(N330&gt;N327,1,0)</f>
        <v>0</v>
      </c>
      <c r="AG328" s="268">
        <f t="shared" ref="AG328" si="221">IF(O330&gt;O327,1,0)</f>
        <v>0</v>
      </c>
      <c r="AH328" s="268">
        <f t="shared" ref="AH328" si="222">IF(P330&gt;P327,1,0)</f>
        <v>0</v>
      </c>
      <c r="AI328" s="268">
        <f t="shared" ref="AI328" si="223">IF(Q330&gt;Q327,1,0)</f>
        <v>0</v>
      </c>
      <c r="AJ328" s="268">
        <f t="shared" ref="AJ328" si="224">IF(R330&gt;R327,1,0)</f>
        <v>0</v>
      </c>
      <c r="AK328" s="268">
        <f t="shared" ref="AK328" si="225">IF(S330&gt;S327,1,0)</f>
        <v>0</v>
      </c>
      <c r="AL328" s="268">
        <f t="shared" ref="AL328" si="226">IF(T330&gt;T327,1,0)</f>
        <v>0</v>
      </c>
      <c r="AN328" s="268">
        <f t="shared" ref="AN328:AT328" si="227">IF(ISBLANK(N330)=TRUE,"",IF(AF328=1,N327,-N330))</f>
        <v>-7</v>
      </c>
      <c r="AO328" s="268">
        <f t="shared" si="227"/>
        <v>-5</v>
      </c>
      <c r="AP328" s="268">
        <f t="shared" si="227"/>
        <v>-6</v>
      </c>
      <c r="AQ328" s="268" t="str">
        <f t="shared" si="227"/>
        <v/>
      </c>
      <c r="AR328" s="268" t="str">
        <f t="shared" si="227"/>
        <v/>
      </c>
      <c r="AS328" s="268" t="str">
        <f t="shared" si="227"/>
        <v/>
      </c>
      <c r="AT328" s="268" t="str">
        <f t="shared" si="227"/>
        <v/>
      </c>
      <c r="AZ328" s="269" t="s">
        <v>18</v>
      </c>
      <c r="BA328" s="269">
        <v>2</v>
      </c>
    </row>
    <row r="329" spans="1:53" ht="39.950000000000003" customHeight="1">
      <c r="E329" s="264" t="s">
        <v>35</v>
      </c>
      <c r="F329" s="265" t="str">
        <f>VLOOKUP(A325,'zoznam zapasov'!$A$6:$K$77,9,0)</f>
        <v>So</v>
      </c>
      <c r="G329" s="263"/>
      <c r="H329" s="263"/>
      <c r="I329" s="263"/>
      <c r="J329" s="263"/>
      <c r="K329" s="263"/>
      <c r="L329" s="263"/>
      <c r="M329" s="263"/>
      <c r="N329" s="263"/>
      <c r="O329" s="263"/>
      <c r="P329" s="263"/>
      <c r="Q329" s="263"/>
      <c r="R329" s="263"/>
      <c r="S329" s="263"/>
      <c r="T329" s="263"/>
      <c r="U329" s="263"/>
      <c r="V329" s="263"/>
      <c r="W329" s="267"/>
      <c r="X329" s="263"/>
      <c r="AZ329" s="269" t="s">
        <v>38</v>
      </c>
      <c r="BA329" s="269">
        <v>3</v>
      </c>
    </row>
    <row r="330" spans="1:53" ht="39.950000000000003" customHeight="1">
      <c r="A330" s="252" t="str">
        <f>CONCATENATE(F332,VLOOKUP(F334,$AZ$7:$BA$14,2,0),RIGHT(F336,1))</f>
        <v>CH53</v>
      </c>
      <c r="E330" s="264" t="s">
        <v>28</v>
      </c>
      <c r="F330" s="270" t="str">
        <f>VLOOKUP(A325,'zoznam zapasov'!$A$6:$K$77,10,0)</f>
        <v>10.20</v>
      </c>
      <c r="G330" s="508"/>
      <c r="H330" s="486"/>
      <c r="I330" s="487" t="str">
        <f>IF(ISERROR(VLOOKUP(A330,vylosovanie!$A$8:$J$68,6,0))=TRUE,"",VLOOKUP(A330,vylosovanie!$A$8:$J$68,6,0))</f>
        <v>VICO Dávid</v>
      </c>
      <c r="J330" s="487"/>
      <c r="K330" s="487"/>
      <c r="L330" s="487"/>
      <c r="M330" s="263"/>
      <c r="N330" s="489">
        <v>7</v>
      </c>
      <c r="O330" s="489">
        <v>5</v>
      </c>
      <c r="P330" s="489">
        <v>6</v>
      </c>
      <c r="Q330" s="489"/>
      <c r="R330" s="489"/>
      <c r="S330" s="489"/>
      <c r="T330" s="489"/>
      <c r="U330" s="263"/>
      <c r="V330" s="493">
        <f>IF(SUM(AF327:AL328)=0,"",SUM(AF328:AL328))</f>
        <v>0</v>
      </c>
      <c r="W330" s="267"/>
      <c r="X330" s="263"/>
      <c r="AZ330" s="269" t="s">
        <v>39</v>
      </c>
      <c r="BA330" s="269">
        <v>4</v>
      </c>
    </row>
    <row r="331" spans="1:53" ht="39.950000000000003" customHeight="1">
      <c r="E331" s="271"/>
      <c r="F331" s="272"/>
      <c r="G331" s="509"/>
      <c r="H331" s="486"/>
      <c r="I331" s="487"/>
      <c r="J331" s="487"/>
      <c r="K331" s="487"/>
      <c r="L331" s="487"/>
      <c r="M331" s="263"/>
      <c r="N331" s="490"/>
      <c r="O331" s="490"/>
      <c r="P331" s="490"/>
      <c r="Q331" s="490"/>
      <c r="R331" s="490"/>
      <c r="S331" s="490"/>
      <c r="T331" s="490"/>
      <c r="U331" s="263"/>
      <c r="V331" s="493"/>
      <c r="W331" s="267"/>
      <c r="X331" s="263"/>
      <c r="AZ331" s="269" t="s">
        <v>40</v>
      </c>
      <c r="BA331" s="269">
        <v>5</v>
      </c>
    </row>
    <row r="332" spans="1:53" ht="39.950000000000003" customHeight="1">
      <c r="E332" s="264" t="s">
        <v>66</v>
      </c>
      <c r="F332" s="265" t="s">
        <v>65</v>
      </c>
      <c r="G332" s="263"/>
      <c r="H332" s="263"/>
      <c r="I332" s="263"/>
      <c r="J332" s="263"/>
      <c r="K332" s="263"/>
      <c r="L332" s="263"/>
      <c r="M332" s="263"/>
      <c r="N332" s="263"/>
      <c r="O332" s="263"/>
      <c r="P332" s="263"/>
      <c r="Q332" s="263"/>
      <c r="R332" s="263"/>
      <c r="S332" s="263"/>
      <c r="T332" s="263"/>
      <c r="U332" s="263"/>
      <c r="V332" s="263"/>
      <c r="W332" s="267"/>
      <c r="X332" s="263"/>
      <c r="AZ332" s="269" t="s">
        <v>41</v>
      </c>
      <c r="BA332" s="269">
        <v>6</v>
      </c>
    </row>
    <row r="333" spans="1:53" ht="39.950000000000003" customHeight="1">
      <c r="E333" s="271"/>
      <c r="F333" s="272"/>
      <c r="G333" s="263"/>
      <c r="H333" s="263"/>
      <c r="I333" s="263" t="s">
        <v>32</v>
      </c>
      <c r="J333" s="263"/>
      <c r="K333" s="263"/>
      <c r="L333" s="263"/>
      <c r="M333" s="263"/>
      <c r="N333" s="273"/>
      <c r="O333" s="266"/>
      <c r="P333" s="266" t="s">
        <v>34</v>
      </c>
      <c r="Q333" s="266"/>
      <c r="R333" s="266"/>
      <c r="S333" s="266"/>
      <c r="T333" s="266"/>
      <c r="U333" s="263"/>
      <c r="V333" s="263"/>
      <c r="W333" s="267"/>
      <c r="X333" s="263"/>
      <c r="AZ333" s="269" t="s">
        <v>42</v>
      </c>
      <c r="BA333" s="269">
        <v>7</v>
      </c>
    </row>
    <row r="334" spans="1:53" ht="39.950000000000003" customHeight="1">
      <c r="E334" s="264" t="s">
        <v>26</v>
      </c>
      <c r="F334" s="265" t="s">
        <v>40</v>
      </c>
      <c r="G334" s="263"/>
      <c r="H334" s="263"/>
      <c r="I334" s="486"/>
      <c r="J334" s="486"/>
      <c r="K334" s="486"/>
      <c r="L334" s="486"/>
      <c r="M334" s="263"/>
      <c r="N334" s="486" t="str">
        <f>IF(V327&gt;V330,I327,IF(V330&gt;V327,I330,""))</f>
        <v>PETRÍK Filip</v>
      </c>
      <c r="O334" s="486"/>
      <c r="P334" s="486"/>
      <c r="Q334" s="486"/>
      <c r="R334" s="486"/>
      <c r="S334" s="486"/>
      <c r="T334" s="263"/>
      <c r="U334" s="263"/>
      <c r="V334" s="263"/>
      <c r="W334" s="267"/>
      <c r="X334" s="263"/>
      <c r="AZ334" s="269" t="s">
        <v>43</v>
      </c>
      <c r="BA334" s="269">
        <v>8</v>
      </c>
    </row>
    <row r="335" spans="1:53" ht="39.950000000000003" customHeight="1">
      <c r="E335" s="271"/>
      <c r="F335" s="272"/>
      <c r="G335" s="263"/>
      <c r="H335" s="263"/>
      <c r="I335" s="486"/>
      <c r="J335" s="486"/>
      <c r="K335" s="486"/>
      <c r="L335" s="486"/>
      <c r="M335" s="263"/>
      <c r="N335" s="486"/>
      <c r="O335" s="486"/>
      <c r="P335" s="486"/>
      <c r="Q335" s="486"/>
      <c r="R335" s="486"/>
      <c r="S335" s="486"/>
      <c r="T335" s="263"/>
      <c r="U335" s="263"/>
      <c r="V335" s="263"/>
      <c r="W335" s="267"/>
      <c r="X335" s="263"/>
    </row>
    <row r="336" spans="1:53" ht="39.950000000000003" customHeight="1">
      <c r="E336" s="264" t="s">
        <v>27</v>
      </c>
      <c r="F336" s="274" t="s">
        <v>20</v>
      </c>
      <c r="G336" s="263"/>
      <c r="H336" s="263"/>
      <c r="I336" s="263"/>
      <c r="J336" s="263"/>
      <c r="K336" s="263"/>
      <c r="L336" s="263"/>
      <c r="M336" s="263"/>
      <c r="N336" s="263"/>
      <c r="O336" s="263"/>
      <c r="P336" s="263"/>
      <c r="Q336" s="263"/>
      <c r="R336" s="263"/>
      <c r="S336" s="263"/>
      <c r="T336" s="263"/>
      <c r="U336" s="263"/>
      <c r="V336" s="263"/>
      <c r="W336" s="267"/>
      <c r="X336" s="263"/>
    </row>
    <row r="337" spans="1:53" ht="39.950000000000003" customHeight="1">
      <c r="E337" s="271"/>
      <c r="F337" s="272"/>
      <c r="G337" s="263"/>
      <c r="H337" s="263" t="s">
        <v>33</v>
      </c>
      <c r="I337" s="263"/>
      <c r="J337" s="263"/>
      <c r="K337" s="263"/>
      <c r="L337" s="263"/>
      <c r="M337" s="263"/>
      <c r="N337" s="263"/>
      <c r="O337" s="263"/>
      <c r="P337" s="263"/>
      <c r="Q337" s="263"/>
      <c r="R337" s="263"/>
      <c r="S337" s="263"/>
      <c r="T337" s="263"/>
      <c r="U337" s="263"/>
      <c r="V337" s="263"/>
      <c r="W337" s="267"/>
      <c r="X337" s="263"/>
    </row>
    <row r="338" spans="1:53" ht="39.950000000000003" customHeight="1">
      <c r="E338" s="271"/>
      <c r="F338" s="272"/>
      <c r="G338" s="263"/>
      <c r="H338" s="263"/>
      <c r="I338" s="263"/>
      <c r="J338" s="263"/>
      <c r="K338" s="263"/>
      <c r="L338" s="263"/>
      <c r="M338" s="263"/>
      <c r="N338" s="263"/>
      <c r="O338" s="263"/>
      <c r="P338" s="263"/>
      <c r="Q338" s="263"/>
      <c r="R338" s="263"/>
      <c r="S338" s="263"/>
      <c r="T338" s="263"/>
      <c r="U338" s="263"/>
      <c r="V338" s="263"/>
      <c r="W338" s="267"/>
      <c r="X338" s="263"/>
    </row>
    <row r="339" spans="1:53" ht="39.950000000000003" customHeight="1">
      <c r="E339" s="271"/>
      <c r="F339" s="272"/>
      <c r="G339" s="263"/>
      <c r="H339" s="263"/>
      <c r="I339" s="496" t="str">
        <f>I327</f>
        <v>PETRÍK Filip</v>
      </c>
      <c r="J339" s="496"/>
      <c r="K339" s="496"/>
      <c r="L339" s="496"/>
      <c r="M339" s="263"/>
      <c r="N339" s="263"/>
      <c r="O339" s="263"/>
      <c r="P339" s="496" t="str">
        <f>I330</f>
        <v>VICO Dávid</v>
      </c>
      <c r="Q339" s="496"/>
      <c r="R339" s="496"/>
      <c r="S339" s="496"/>
      <c r="T339" s="497"/>
      <c r="U339" s="497"/>
      <c r="V339" s="263"/>
      <c r="W339" s="267"/>
      <c r="X339" s="263"/>
    </row>
    <row r="340" spans="1:53" ht="69.95" customHeight="1">
      <c r="E340" s="264"/>
      <c r="F340" s="265"/>
      <c r="G340" s="263"/>
      <c r="H340" s="275" t="s">
        <v>36</v>
      </c>
      <c r="I340" s="483"/>
      <c r="J340" s="494"/>
      <c r="K340" s="494"/>
      <c r="L340" s="495"/>
      <c r="M340" s="263"/>
      <c r="N340" s="263"/>
      <c r="O340" s="275" t="s">
        <v>36</v>
      </c>
      <c r="P340" s="486"/>
      <c r="Q340" s="486"/>
      <c r="R340" s="486"/>
      <c r="S340" s="486"/>
      <c r="T340" s="486"/>
      <c r="U340" s="486"/>
      <c r="V340" s="263"/>
      <c r="W340" s="267"/>
      <c r="X340" s="263"/>
    </row>
    <row r="341" spans="1:53" ht="69.95" customHeight="1">
      <c r="E341" s="264"/>
      <c r="F341" s="265"/>
      <c r="G341" s="263"/>
      <c r="H341" s="275" t="s">
        <v>37</v>
      </c>
      <c r="I341" s="486"/>
      <c r="J341" s="486"/>
      <c r="K341" s="486"/>
      <c r="L341" s="486"/>
      <c r="M341" s="263"/>
      <c r="N341" s="263"/>
      <c r="O341" s="275" t="s">
        <v>37</v>
      </c>
      <c r="P341" s="486"/>
      <c r="Q341" s="486"/>
      <c r="R341" s="486"/>
      <c r="S341" s="486"/>
      <c r="T341" s="486"/>
      <c r="U341" s="486"/>
      <c r="V341" s="263"/>
      <c r="W341" s="267"/>
      <c r="X341" s="263"/>
    </row>
    <row r="342" spans="1:53" ht="69.95" customHeight="1">
      <c r="E342" s="264"/>
      <c r="F342" s="265"/>
      <c r="G342" s="263"/>
      <c r="H342" s="275" t="s">
        <v>37</v>
      </c>
      <c r="I342" s="486"/>
      <c r="J342" s="486"/>
      <c r="K342" s="486"/>
      <c r="L342" s="486"/>
      <c r="M342" s="263"/>
      <c r="N342" s="263"/>
      <c r="O342" s="275" t="s">
        <v>37</v>
      </c>
      <c r="P342" s="486"/>
      <c r="Q342" s="486"/>
      <c r="R342" s="486"/>
      <c r="S342" s="486"/>
      <c r="T342" s="486"/>
      <c r="U342" s="486"/>
      <c r="V342" s="263"/>
      <c r="W342" s="267"/>
      <c r="X342" s="263"/>
    </row>
    <row r="343" spans="1:53" ht="39.950000000000003" customHeight="1" thickBot="1">
      <c r="E343" s="276"/>
      <c r="F343" s="277"/>
      <c r="G343" s="278"/>
      <c r="H343" s="278"/>
      <c r="I343" s="278"/>
      <c r="J343" s="278"/>
      <c r="K343" s="278"/>
      <c r="L343" s="278"/>
      <c r="M343" s="278"/>
      <c r="N343" s="278"/>
      <c r="O343" s="278"/>
      <c r="P343" s="278"/>
      <c r="Q343" s="278"/>
      <c r="R343" s="278"/>
      <c r="S343" s="278"/>
      <c r="T343" s="279"/>
      <c r="U343" s="279"/>
      <c r="V343" s="279"/>
      <c r="W343" s="280"/>
      <c r="X343" s="263"/>
    </row>
    <row r="344" spans="1:53" ht="62.25" thickBot="1">
      <c r="A344" s="252" t="s">
        <v>62</v>
      </c>
    </row>
    <row r="345" spans="1:53" ht="39.950000000000003" customHeight="1">
      <c r="A345" s="252" t="str">
        <f>CONCATENATE(F352,F354,F356)</f>
        <v>CHE2-4</v>
      </c>
      <c r="E345" s="259" t="s">
        <v>70</v>
      </c>
      <c r="F345" s="260">
        <f>VLOOKUP(A345,'zoznam zapasov'!$A$6:$K$77,3,0)</f>
        <v>18</v>
      </c>
      <c r="G345" s="261"/>
      <c r="H345" s="322" t="s">
        <v>501</v>
      </c>
      <c r="I345" s="261"/>
      <c r="J345" s="261"/>
      <c r="K345" s="261"/>
      <c r="L345" s="261"/>
      <c r="M345" s="261"/>
      <c r="N345" s="261"/>
      <c r="O345" s="261"/>
      <c r="P345" s="261"/>
      <c r="Q345" s="261"/>
      <c r="R345" s="261"/>
      <c r="S345" s="261"/>
      <c r="T345" s="261"/>
      <c r="U345" s="261"/>
      <c r="V345" s="261" t="s">
        <v>30</v>
      </c>
      <c r="W345" s="262"/>
      <c r="X345" s="263"/>
      <c r="Z345" s="258" t="str">
        <f>CONCATENATE(V347,":",V350)</f>
        <v>3:0</v>
      </c>
      <c r="AE345" s="253" t="s">
        <v>11</v>
      </c>
      <c r="AV345" s="256" t="str">
        <f>CONCATENATE(AN347,",",AO347,",",AP347,",",AQ347,",",AR347,",",AS347,",",AT347)</f>
        <v>11,4,6,,,,</v>
      </c>
    </row>
    <row r="346" spans="1:53" ht="39.950000000000003" customHeight="1">
      <c r="E346" s="264"/>
      <c r="F346" s="265"/>
      <c r="G346" s="321" t="s">
        <v>500</v>
      </c>
      <c r="H346" s="323" t="s">
        <v>502</v>
      </c>
      <c r="I346" s="263"/>
      <c r="J346" s="263"/>
      <c r="K346" s="263"/>
      <c r="L346" s="263"/>
      <c r="M346" s="263"/>
      <c r="N346" s="266">
        <v>1</v>
      </c>
      <c r="O346" s="266">
        <v>2</v>
      </c>
      <c r="P346" s="266">
        <v>3</v>
      </c>
      <c r="Q346" s="266">
        <v>4</v>
      </c>
      <c r="R346" s="266">
        <v>5</v>
      </c>
      <c r="S346" s="266">
        <v>6</v>
      </c>
      <c r="T346" s="266">
        <v>7</v>
      </c>
      <c r="U346" s="263"/>
      <c r="V346" s="266" t="s">
        <v>31</v>
      </c>
      <c r="W346" s="267"/>
      <c r="X346" s="263"/>
      <c r="AE346" s="253" t="s">
        <v>68</v>
      </c>
      <c r="AV346" s="256" t="str">
        <f>CONCATENATE(AN348,",",AO348,",",AP348,",",AQ348,",",AR348,",",AS348,",",AT348)</f>
        <v>-11,-4,-6,,,,</v>
      </c>
    </row>
    <row r="347" spans="1:53" ht="39.950000000000003" customHeight="1">
      <c r="A347" s="252" t="str">
        <f>CONCATENATE(F352,VLOOKUP(F354,$AZ$7:$BA$14,2,0),LEFT(F356,1))</f>
        <v>CH52</v>
      </c>
      <c r="E347" s="264" t="s">
        <v>29</v>
      </c>
      <c r="F347" s="265">
        <f>VLOOKUP(A345,'zoznam zapasov'!$A$6:$K$77,11,0)</f>
        <v>2</v>
      </c>
      <c r="G347" s="508"/>
      <c r="H347" s="495"/>
      <c r="I347" s="487" t="str">
        <f>IF(ISERROR(VLOOKUP(A347,vylosovanie!$A$8:$J$68,6,0))=TRUE,"",VLOOKUP(A347,vylosovanie!$A$8:$J$68,6,0))</f>
        <v>ĎANOVSKÝ Martin</v>
      </c>
      <c r="J347" s="487"/>
      <c r="K347" s="487"/>
      <c r="L347" s="487"/>
      <c r="M347" s="263"/>
      <c r="N347" s="489">
        <v>13</v>
      </c>
      <c r="O347" s="489">
        <v>11</v>
      </c>
      <c r="P347" s="489">
        <v>11</v>
      </c>
      <c r="Q347" s="489"/>
      <c r="R347" s="489"/>
      <c r="S347" s="489"/>
      <c r="T347" s="489"/>
      <c r="U347" s="263"/>
      <c r="V347" s="493">
        <f>IF(SUM(AF347:AL348)=0,"",SUM(AF347:AL347))</f>
        <v>3</v>
      </c>
      <c r="W347" s="267"/>
      <c r="X347" s="263"/>
      <c r="AE347" s="253" t="str">
        <f>VLOOKUP(I347,vylosovanie!$F$8:$L$190,7,0)</f>
        <v>CH52</v>
      </c>
      <c r="AF347" s="268">
        <f>IF(N347&gt;N350,1,0)</f>
        <v>1</v>
      </c>
      <c r="AG347" s="268">
        <f t="shared" ref="AG347" si="228">IF(O347&gt;O350,1,0)</f>
        <v>1</v>
      </c>
      <c r="AH347" s="268">
        <f t="shared" ref="AH347" si="229">IF(P347&gt;P350,1,0)</f>
        <v>1</v>
      </c>
      <c r="AI347" s="268">
        <f t="shared" ref="AI347" si="230">IF(Q347&gt;Q350,1,0)</f>
        <v>0</v>
      </c>
      <c r="AJ347" s="268">
        <f t="shared" ref="AJ347" si="231">IF(R347&gt;R350,1,0)</f>
        <v>0</v>
      </c>
      <c r="AK347" s="268">
        <f t="shared" ref="AK347" si="232">IF(S347&gt;S350,1,0)</f>
        <v>0</v>
      </c>
      <c r="AL347" s="268">
        <f t="shared" ref="AL347" si="233">IF(T347&gt;T350,1,0)</f>
        <v>0</v>
      </c>
      <c r="AN347" s="268">
        <f t="shared" ref="AN347:AT347" si="234">IF(ISBLANK(N347)=TRUE,"",IF(AF347=1,N350,-N347))</f>
        <v>11</v>
      </c>
      <c r="AO347" s="268">
        <f t="shared" si="234"/>
        <v>4</v>
      </c>
      <c r="AP347" s="268">
        <f t="shared" si="234"/>
        <v>6</v>
      </c>
      <c r="AQ347" s="268" t="str">
        <f t="shared" si="234"/>
        <v/>
      </c>
      <c r="AR347" s="268" t="str">
        <f t="shared" si="234"/>
        <v/>
      </c>
      <c r="AS347" s="268" t="str">
        <f t="shared" si="234"/>
        <v/>
      </c>
      <c r="AT347" s="268" t="str">
        <f t="shared" si="234"/>
        <v/>
      </c>
      <c r="AZ347" s="269" t="s">
        <v>12</v>
      </c>
      <c r="BA347" s="269">
        <v>1</v>
      </c>
    </row>
    <row r="348" spans="1:53" ht="39.950000000000003" customHeight="1">
      <c r="E348" s="264"/>
      <c r="F348" s="265"/>
      <c r="G348" s="509"/>
      <c r="H348" s="495"/>
      <c r="I348" s="487"/>
      <c r="J348" s="487"/>
      <c r="K348" s="487"/>
      <c r="L348" s="487"/>
      <c r="M348" s="263"/>
      <c r="N348" s="490"/>
      <c r="O348" s="490"/>
      <c r="P348" s="490"/>
      <c r="Q348" s="490"/>
      <c r="R348" s="490"/>
      <c r="S348" s="490"/>
      <c r="T348" s="490"/>
      <c r="U348" s="263"/>
      <c r="V348" s="493"/>
      <c r="W348" s="267"/>
      <c r="X348" s="263"/>
      <c r="AE348" s="253" t="str">
        <f>VLOOKUP(I350,vylosovanie!$F$8:$L$190,7,0)</f>
        <v>CH54</v>
      </c>
      <c r="AF348" s="268">
        <f>IF(N350&gt;N347,1,0)</f>
        <v>0</v>
      </c>
      <c r="AG348" s="268">
        <f t="shared" ref="AG348" si="235">IF(O350&gt;O347,1,0)</f>
        <v>0</v>
      </c>
      <c r="AH348" s="268">
        <f t="shared" ref="AH348" si="236">IF(P350&gt;P347,1,0)</f>
        <v>0</v>
      </c>
      <c r="AI348" s="268">
        <f t="shared" ref="AI348" si="237">IF(Q350&gt;Q347,1,0)</f>
        <v>0</v>
      </c>
      <c r="AJ348" s="268">
        <f t="shared" ref="AJ348" si="238">IF(R350&gt;R347,1,0)</f>
        <v>0</v>
      </c>
      <c r="AK348" s="268">
        <f t="shared" ref="AK348" si="239">IF(S350&gt;S347,1,0)</f>
        <v>0</v>
      </c>
      <c r="AL348" s="268">
        <f t="shared" ref="AL348" si="240">IF(T350&gt;T347,1,0)</f>
        <v>0</v>
      </c>
      <c r="AN348" s="268">
        <f t="shared" ref="AN348:AT348" si="241">IF(ISBLANK(N350)=TRUE,"",IF(AF348=1,N347,-N350))</f>
        <v>-11</v>
      </c>
      <c r="AO348" s="268">
        <f t="shared" si="241"/>
        <v>-4</v>
      </c>
      <c r="AP348" s="268">
        <f t="shared" si="241"/>
        <v>-6</v>
      </c>
      <c r="AQ348" s="268" t="str">
        <f t="shared" si="241"/>
        <v/>
      </c>
      <c r="AR348" s="268" t="str">
        <f t="shared" si="241"/>
        <v/>
      </c>
      <c r="AS348" s="268" t="str">
        <f t="shared" si="241"/>
        <v/>
      </c>
      <c r="AT348" s="268" t="str">
        <f t="shared" si="241"/>
        <v/>
      </c>
      <c r="AZ348" s="269" t="s">
        <v>18</v>
      </c>
      <c r="BA348" s="269">
        <v>2</v>
      </c>
    </row>
    <row r="349" spans="1:53" ht="39.950000000000003" customHeight="1">
      <c r="E349" s="264" t="s">
        <v>35</v>
      </c>
      <c r="F349" s="265" t="str">
        <f>VLOOKUP(A345,'zoznam zapasov'!$A$6:$K$77,9,0)</f>
        <v>So</v>
      </c>
      <c r="G349" s="263"/>
      <c r="H349" s="263"/>
      <c r="I349" s="263"/>
      <c r="J349" s="263"/>
      <c r="K349" s="263"/>
      <c r="L349" s="263"/>
      <c r="M349" s="263"/>
      <c r="N349" s="263"/>
      <c r="O349" s="263"/>
      <c r="P349" s="263"/>
      <c r="Q349" s="263"/>
      <c r="R349" s="263"/>
      <c r="S349" s="263"/>
      <c r="T349" s="263"/>
      <c r="U349" s="263"/>
      <c r="V349" s="263"/>
      <c r="W349" s="267"/>
      <c r="X349" s="263"/>
      <c r="AZ349" s="269" t="s">
        <v>38</v>
      </c>
      <c r="BA349" s="269">
        <v>3</v>
      </c>
    </row>
    <row r="350" spans="1:53" ht="39.950000000000003" customHeight="1">
      <c r="A350" s="252" t="str">
        <f>CONCATENATE(F352,VLOOKUP(F354,$AZ$7:$BA$14,2,0),RIGHT(F356,1))</f>
        <v>CH54</v>
      </c>
      <c r="E350" s="264" t="s">
        <v>28</v>
      </c>
      <c r="F350" s="270" t="str">
        <f>VLOOKUP(A345,'zoznam zapasov'!$A$6:$K$77,10,0)</f>
        <v>10.20</v>
      </c>
      <c r="G350" s="508"/>
      <c r="H350" s="486"/>
      <c r="I350" s="487" t="str">
        <f>IF(ISERROR(VLOOKUP(A350,vylosovanie!$A$8:$J$68,6,0))=TRUE,"",VLOOKUP(A350,vylosovanie!$A$8:$J$68,6,0))</f>
        <v>MACKO Miroslav</v>
      </c>
      <c r="J350" s="487"/>
      <c r="K350" s="487"/>
      <c r="L350" s="487"/>
      <c r="M350" s="263"/>
      <c r="N350" s="489">
        <v>11</v>
      </c>
      <c r="O350" s="489">
        <v>4</v>
      </c>
      <c r="P350" s="489">
        <v>6</v>
      </c>
      <c r="Q350" s="489"/>
      <c r="R350" s="489"/>
      <c r="S350" s="489"/>
      <c r="T350" s="489"/>
      <c r="U350" s="263"/>
      <c r="V350" s="493">
        <f>IF(SUM(AF347:AL348)=0,"",SUM(AF348:AL348))</f>
        <v>0</v>
      </c>
      <c r="W350" s="267"/>
      <c r="X350" s="263"/>
      <c r="AZ350" s="269" t="s">
        <v>39</v>
      </c>
      <c r="BA350" s="269">
        <v>4</v>
      </c>
    </row>
    <row r="351" spans="1:53" ht="39.950000000000003" customHeight="1">
      <c r="E351" s="271"/>
      <c r="F351" s="272"/>
      <c r="G351" s="509"/>
      <c r="H351" s="486"/>
      <c r="I351" s="487"/>
      <c r="J351" s="487"/>
      <c r="K351" s="487"/>
      <c r="L351" s="487"/>
      <c r="M351" s="263"/>
      <c r="N351" s="490"/>
      <c r="O351" s="490"/>
      <c r="P351" s="490"/>
      <c r="Q351" s="490"/>
      <c r="R351" s="490"/>
      <c r="S351" s="490"/>
      <c r="T351" s="490"/>
      <c r="U351" s="263"/>
      <c r="V351" s="493"/>
      <c r="W351" s="267"/>
      <c r="X351" s="263"/>
      <c r="AZ351" s="269" t="s">
        <v>40</v>
      </c>
      <c r="BA351" s="269">
        <v>5</v>
      </c>
    </row>
    <row r="352" spans="1:53" ht="39.950000000000003" customHeight="1">
      <c r="E352" s="264" t="s">
        <v>66</v>
      </c>
      <c r="F352" s="265" t="s">
        <v>65</v>
      </c>
      <c r="G352" s="263"/>
      <c r="H352" s="263"/>
      <c r="I352" s="263"/>
      <c r="J352" s="263"/>
      <c r="K352" s="263"/>
      <c r="L352" s="263"/>
      <c r="M352" s="263"/>
      <c r="N352" s="263"/>
      <c r="O352" s="263"/>
      <c r="P352" s="263"/>
      <c r="Q352" s="263"/>
      <c r="R352" s="263"/>
      <c r="S352" s="263"/>
      <c r="T352" s="263"/>
      <c r="U352" s="263"/>
      <c r="V352" s="263"/>
      <c r="W352" s="267"/>
      <c r="X352" s="263"/>
      <c r="AZ352" s="269" t="s">
        <v>41</v>
      </c>
      <c r="BA352" s="269">
        <v>6</v>
      </c>
    </row>
    <row r="353" spans="1:53" ht="39.950000000000003" customHeight="1">
      <c r="E353" s="271"/>
      <c r="F353" s="272"/>
      <c r="G353" s="263"/>
      <c r="H353" s="263"/>
      <c r="I353" s="263" t="s">
        <v>32</v>
      </c>
      <c r="J353" s="263"/>
      <c r="K353" s="263"/>
      <c r="L353" s="263"/>
      <c r="M353" s="263"/>
      <c r="N353" s="273"/>
      <c r="O353" s="266"/>
      <c r="P353" s="266" t="s">
        <v>34</v>
      </c>
      <c r="Q353" s="266"/>
      <c r="R353" s="266"/>
      <c r="S353" s="266"/>
      <c r="T353" s="266"/>
      <c r="U353" s="263"/>
      <c r="V353" s="263"/>
      <c r="W353" s="267"/>
      <c r="X353" s="263"/>
      <c r="AZ353" s="269" t="s">
        <v>42</v>
      </c>
      <c r="BA353" s="269">
        <v>7</v>
      </c>
    </row>
    <row r="354" spans="1:53" ht="39.950000000000003" customHeight="1">
      <c r="E354" s="264" t="s">
        <v>26</v>
      </c>
      <c r="F354" s="265" t="s">
        <v>40</v>
      </c>
      <c r="G354" s="263"/>
      <c r="H354" s="263"/>
      <c r="I354" s="486"/>
      <c r="J354" s="486"/>
      <c r="K354" s="486"/>
      <c r="L354" s="486"/>
      <c r="M354" s="263"/>
      <c r="N354" s="486" t="str">
        <f>IF(V347&gt;V350,I347,IF(V350&gt;V347,I350,""))</f>
        <v>ĎANOVSKÝ Martin</v>
      </c>
      <c r="O354" s="486"/>
      <c r="P354" s="486"/>
      <c r="Q354" s="486"/>
      <c r="R354" s="486"/>
      <c r="S354" s="486"/>
      <c r="T354" s="263"/>
      <c r="U354" s="263"/>
      <c r="V354" s="263"/>
      <c r="W354" s="267"/>
      <c r="X354" s="263"/>
      <c r="AZ354" s="269" t="s">
        <v>43</v>
      </c>
      <c r="BA354" s="269">
        <v>8</v>
      </c>
    </row>
    <row r="355" spans="1:53" ht="39.950000000000003" customHeight="1">
      <c r="E355" s="271"/>
      <c r="F355" s="272"/>
      <c r="G355" s="263"/>
      <c r="H355" s="263"/>
      <c r="I355" s="486"/>
      <c r="J355" s="486"/>
      <c r="K355" s="486"/>
      <c r="L355" s="486"/>
      <c r="M355" s="263"/>
      <c r="N355" s="486"/>
      <c r="O355" s="486"/>
      <c r="P355" s="486"/>
      <c r="Q355" s="486"/>
      <c r="R355" s="486"/>
      <c r="S355" s="486"/>
      <c r="T355" s="263"/>
      <c r="U355" s="263"/>
      <c r="V355" s="263"/>
      <c r="W355" s="267"/>
      <c r="X355" s="263"/>
    </row>
    <row r="356" spans="1:53" ht="39.950000000000003" customHeight="1">
      <c r="E356" s="264" t="s">
        <v>27</v>
      </c>
      <c r="F356" s="274" t="s">
        <v>21</v>
      </c>
      <c r="G356" s="263"/>
      <c r="H356" s="263"/>
      <c r="I356" s="263"/>
      <c r="J356" s="263"/>
      <c r="K356" s="263"/>
      <c r="L356" s="263"/>
      <c r="M356" s="263"/>
      <c r="N356" s="263"/>
      <c r="O356" s="263"/>
      <c r="P356" s="263"/>
      <c r="Q356" s="263"/>
      <c r="R356" s="263"/>
      <c r="S356" s="263"/>
      <c r="T356" s="263"/>
      <c r="U356" s="263"/>
      <c r="V356" s="263"/>
      <c r="W356" s="267"/>
      <c r="X356" s="263"/>
    </row>
    <row r="357" spans="1:53" ht="39.950000000000003" customHeight="1">
      <c r="E357" s="271"/>
      <c r="F357" s="272"/>
      <c r="G357" s="263"/>
      <c r="H357" s="263" t="s">
        <v>33</v>
      </c>
      <c r="I357" s="263"/>
      <c r="J357" s="263"/>
      <c r="K357" s="263"/>
      <c r="L357" s="263"/>
      <c r="M357" s="263"/>
      <c r="N357" s="263"/>
      <c r="O357" s="263"/>
      <c r="P357" s="263"/>
      <c r="Q357" s="263"/>
      <c r="R357" s="263"/>
      <c r="S357" s="263"/>
      <c r="T357" s="263"/>
      <c r="U357" s="263"/>
      <c r="V357" s="263"/>
      <c r="W357" s="267"/>
      <c r="X357" s="263"/>
    </row>
    <row r="358" spans="1:53" ht="39.950000000000003" customHeight="1">
      <c r="E358" s="271"/>
      <c r="F358" s="272"/>
      <c r="G358" s="263"/>
      <c r="H358" s="263"/>
      <c r="I358" s="263"/>
      <c r="J358" s="263"/>
      <c r="K358" s="263"/>
      <c r="L358" s="263"/>
      <c r="M358" s="263"/>
      <c r="N358" s="263"/>
      <c r="O358" s="263"/>
      <c r="P358" s="263"/>
      <c r="Q358" s="263"/>
      <c r="R358" s="263"/>
      <c r="S358" s="263"/>
      <c r="T358" s="263"/>
      <c r="U358" s="263"/>
      <c r="V358" s="263"/>
      <c r="W358" s="267"/>
      <c r="X358" s="263"/>
    </row>
    <row r="359" spans="1:53" ht="39.950000000000003" customHeight="1">
      <c r="E359" s="271"/>
      <c r="F359" s="272"/>
      <c r="G359" s="263"/>
      <c r="H359" s="263"/>
      <c r="I359" s="496" t="str">
        <f>I347</f>
        <v>ĎANOVSKÝ Martin</v>
      </c>
      <c r="J359" s="496"/>
      <c r="K359" s="496"/>
      <c r="L359" s="496"/>
      <c r="M359" s="263"/>
      <c r="N359" s="263"/>
      <c r="O359" s="263"/>
      <c r="P359" s="496" t="str">
        <f>I350</f>
        <v>MACKO Miroslav</v>
      </c>
      <c r="Q359" s="496"/>
      <c r="R359" s="496"/>
      <c r="S359" s="496"/>
      <c r="T359" s="497"/>
      <c r="U359" s="497"/>
      <c r="V359" s="263"/>
      <c r="W359" s="267"/>
      <c r="X359" s="263"/>
    </row>
    <row r="360" spans="1:53" ht="69.95" customHeight="1">
      <c r="E360" s="264"/>
      <c r="F360" s="265"/>
      <c r="G360" s="263"/>
      <c r="H360" s="275" t="s">
        <v>36</v>
      </c>
      <c r="I360" s="483"/>
      <c r="J360" s="494"/>
      <c r="K360" s="494"/>
      <c r="L360" s="495"/>
      <c r="M360" s="263"/>
      <c r="N360" s="263"/>
      <c r="O360" s="275" t="s">
        <v>36</v>
      </c>
      <c r="P360" s="486"/>
      <c r="Q360" s="486"/>
      <c r="R360" s="486"/>
      <c r="S360" s="486"/>
      <c r="T360" s="486"/>
      <c r="U360" s="486"/>
      <c r="V360" s="263"/>
      <c r="W360" s="267"/>
      <c r="X360" s="263"/>
    </row>
    <row r="361" spans="1:53" ht="69.95" customHeight="1">
      <c r="E361" s="264"/>
      <c r="F361" s="265"/>
      <c r="G361" s="263"/>
      <c r="H361" s="275" t="s">
        <v>37</v>
      </c>
      <c r="I361" s="486"/>
      <c r="J361" s="486"/>
      <c r="K361" s="486"/>
      <c r="L361" s="486"/>
      <c r="M361" s="263"/>
      <c r="N361" s="263"/>
      <c r="O361" s="275" t="s">
        <v>37</v>
      </c>
      <c r="P361" s="486"/>
      <c r="Q361" s="486"/>
      <c r="R361" s="486"/>
      <c r="S361" s="486"/>
      <c r="T361" s="486"/>
      <c r="U361" s="486"/>
      <c r="V361" s="263"/>
      <c r="W361" s="267"/>
      <c r="X361" s="263"/>
    </row>
    <row r="362" spans="1:53" ht="69.95" customHeight="1">
      <c r="E362" s="264"/>
      <c r="F362" s="265"/>
      <c r="G362" s="263"/>
      <c r="H362" s="275" t="s">
        <v>37</v>
      </c>
      <c r="I362" s="486"/>
      <c r="J362" s="486"/>
      <c r="K362" s="486"/>
      <c r="L362" s="486"/>
      <c r="M362" s="263"/>
      <c r="N362" s="263"/>
      <c r="O362" s="275" t="s">
        <v>37</v>
      </c>
      <c r="P362" s="486"/>
      <c r="Q362" s="486"/>
      <c r="R362" s="486"/>
      <c r="S362" s="486"/>
      <c r="T362" s="486"/>
      <c r="U362" s="486"/>
      <c r="V362" s="263"/>
      <c r="W362" s="267"/>
      <c r="X362" s="263"/>
    </row>
    <row r="363" spans="1:53" ht="39.950000000000003" customHeight="1" thickBot="1">
      <c r="E363" s="276"/>
      <c r="F363" s="277"/>
      <c r="G363" s="278"/>
      <c r="H363" s="278"/>
      <c r="I363" s="278"/>
      <c r="J363" s="278"/>
      <c r="K363" s="278"/>
      <c r="L363" s="278"/>
      <c r="M363" s="278"/>
      <c r="N363" s="278"/>
      <c r="O363" s="278"/>
      <c r="P363" s="278"/>
      <c r="Q363" s="278"/>
      <c r="R363" s="278"/>
      <c r="S363" s="278"/>
      <c r="T363" s="279"/>
      <c r="U363" s="279"/>
      <c r="V363" s="279"/>
      <c r="W363" s="280"/>
      <c r="X363" s="263"/>
    </row>
    <row r="364" spans="1:53" ht="62.25" thickBot="1">
      <c r="A364" s="252" t="s">
        <v>62</v>
      </c>
    </row>
    <row r="365" spans="1:53" ht="39.950000000000003" customHeight="1">
      <c r="A365" s="252" t="str">
        <f>CONCATENATE(F372,F374,F376)</f>
        <v>CHF1-3</v>
      </c>
      <c r="E365" s="259" t="s">
        <v>70</v>
      </c>
      <c r="F365" s="260">
        <f>VLOOKUP(A365,'zoznam zapasov'!$A$6:$K$77,3,0)</f>
        <v>19</v>
      </c>
      <c r="G365" s="261"/>
      <c r="H365" s="322" t="s">
        <v>501</v>
      </c>
      <c r="I365" s="261"/>
      <c r="J365" s="261"/>
      <c r="K365" s="261"/>
      <c r="L365" s="261"/>
      <c r="M365" s="261"/>
      <c r="N365" s="261"/>
      <c r="O365" s="261"/>
      <c r="P365" s="261"/>
      <c r="Q365" s="261"/>
      <c r="R365" s="261"/>
      <c r="S365" s="261"/>
      <c r="T365" s="261"/>
      <c r="U365" s="261"/>
      <c r="V365" s="261" t="s">
        <v>30</v>
      </c>
      <c r="W365" s="262"/>
      <c r="X365" s="263"/>
      <c r="Z365" s="258" t="str">
        <f>CONCATENATE(V367,":",V370)</f>
        <v>3:0</v>
      </c>
      <c r="AE365" s="253" t="s">
        <v>11</v>
      </c>
      <c r="AV365" s="256" t="str">
        <f>CONCATENATE(AN367,",",AO367,",",AP367,",",AQ367,",",AR367,",",AS367,",",AT367)</f>
        <v>8,11,9,,,,</v>
      </c>
    </row>
    <row r="366" spans="1:53" ht="39.950000000000003" customHeight="1">
      <c r="E366" s="264"/>
      <c r="F366" s="265"/>
      <c r="G366" s="321" t="s">
        <v>500</v>
      </c>
      <c r="H366" s="323" t="s">
        <v>502</v>
      </c>
      <c r="I366" s="263"/>
      <c r="J366" s="263"/>
      <c r="K366" s="263"/>
      <c r="L366" s="263"/>
      <c r="M366" s="263"/>
      <c r="N366" s="266">
        <v>1</v>
      </c>
      <c r="O366" s="266">
        <v>2</v>
      </c>
      <c r="P366" s="266">
        <v>3</v>
      </c>
      <c r="Q366" s="266">
        <v>4</v>
      </c>
      <c r="R366" s="266">
        <v>5</v>
      </c>
      <c r="S366" s="266">
        <v>6</v>
      </c>
      <c r="T366" s="266">
        <v>7</v>
      </c>
      <c r="U366" s="263"/>
      <c r="V366" s="266" t="s">
        <v>31</v>
      </c>
      <c r="W366" s="267"/>
      <c r="X366" s="263"/>
      <c r="AE366" s="253" t="s">
        <v>68</v>
      </c>
      <c r="AV366" s="256" t="str">
        <f>CONCATENATE(AN368,",",AO368,",",AP368,",",AQ368,",",AR368,",",AS368,",",AT368)</f>
        <v>-8,-11,-9,,,,</v>
      </c>
    </row>
    <row r="367" spans="1:53" ht="39.950000000000003" customHeight="1">
      <c r="A367" s="252" t="str">
        <f>CONCATENATE(F372,VLOOKUP(F374,$AZ$7:$BA$14,2,0),LEFT(F376,1))</f>
        <v>CH61</v>
      </c>
      <c r="E367" s="264" t="s">
        <v>29</v>
      </c>
      <c r="F367" s="265">
        <f>VLOOKUP(A365,'zoznam zapasov'!$A$6:$K$77,11,0)</f>
        <v>3</v>
      </c>
      <c r="G367" s="508"/>
      <c r="H367" s="495"/>
      <c r="I367" s="487" t="str">
        <f>IF(ISERROR(VLOOKUP(A367,vylosovanie!$A$8:$J$68,6,0))=TRUE,"",VLOOKUP(A367,vylosovanie!$A$8:$J$68,6,0))</f>
        <v>CYPRICH Samuel</v>
      </c>
      <c r="J367" s="487"/>
      <c r="K367" s="487"/>
      <c r="L367" s="487"/>
      <c r="M367" s="263"/>
      <c r="N367" s="489">
        <v>11</v>
      </c>
      <c r="O367" s="489">
        <v>13</v>
      </c>
      <c r="P367" s="489">
        <v>11</v>
      </c>
      <c r="Q367" s="489"/>
      <c r="R367" s="489"/>
      <c r="S367" s="489"/>
      <c r="T367" s="489"/>
      <c r="U367" s="263"/>
      <c r="V367" s="493">
        <f>IF(SUM(AF367:AL368)=0,"",SUM(AF367:AL367))</f>
        <v>3</v>
      </c>
      <c r="W367" s="267"/>
      <c r="X367" s="263"/>
      <c r="AE367" s="253" t="str">
        <f>VLOOKUP(I367,vylosovanie!$F$8:$L$190,7,0)</f>
        <v>CH61</v>
      </c>
      <c r="AF367" s="268">
        <f>IF(N367&gt;N370,1,0)</f>
        <v>1</v>
      </c>
      <c r="AG367" s="268">
        <f t="shared" ref="AG367" si="242">IF(O367&gt;O370,1,0)</f>
        <v>1</v>
      </c>
      <c r="AH367" s="268">
        <f t="shared" ref="AH367" si="243">IF(P367&gt;P370,1,0)</f>
        <v>1</v>
      </c>
      <c r="AI367" s="268">
        <f t="shared" ref="AI367" si="244">IF(Q367&gt;Q370,1,0)</f>
        <v>0</v>
      </c>
      <c r="AJ367" s="268">
        <f t="shared" ref="AJ367" si="245">IF(R367&gt;R370,1,0)</f>
        <v>0</v>
      </c>
      <c r="AK367" s="268">
        <f t="shared" ref="AK367" si="246">IF(S367&gt;S370,1,0)</f>
        <v>0</v>
      </c>
      <c r="AL367" s="268">
        <f t="shared" ref="AL367" si="247">IF(T367&gt;T370,1,0)</f>
        <v>0</v>
      </c>
      <c r="AN367" s="268">
        <f t="shared" ref="AN367:AT367" si="248">IF(ISBLANK(N367)=TRUE,"",IF(AF367=1,N370,-N367))</f>
        <v>8</v>
      </c>
      <c r="AO367" s="268">
        <f t="shared" si="248"/>
        <v>11</v>
      </c>
      <c r="AP367" s="268">
        <f t="shared" si="248"/>
        <v>9</v>
      </c>
      <c r="AQ367" s="268" t="str">
        <f t="shared" si="248"/>
        <v/>
      </c>
      <c r="AR367" s="268" t="str">
        <f t="shared" si="248"/>
        <v/>
      </c>
      <c r="AS367" s="268" t="str">
        <f t="shared" si="248"/>
        <v/>
      </c>
      <c r="AT367" s="268" t="str">
        <f t="shared" si="248"/>
        <v/>
      </c>
      <c r="AZ367" s="269" t="s">
        <v>12</v>
      </c>
      <c r="BA367" s="269">
        <v>1</v>
      </c>
    </row>
    <row r="368" spans="1:53" ht="39.950000000000003" customHeight="1">
      <c r="E368" s="264"/>
      <c r="F368" s="265"/>
      <c r="G368" s="509"/>
      <c r="H368" s="495"/>
      <c r="I368" s="487"/>
      <c r="J368" s="487"/>
      <c r="K368" s="487"/>
      <c r="L368" s="487"/>
      <c r="M368" s="263"/>
      <c r="N368" s="490"/>
      <c r="O368" s="490"/>
      <c r="P368" s="490"/>
      <c r="Q368" s="490"/>
      <c r="R368" s="490"/>
      <c r="S368" s="490"/>
      <c r="T368" s="490"/>
      <c r="U368" s="263"/>
      <c r="V368" s="493"/>
      <c r="W368" s="267"/>
      <c r="X368" s="263"/>
      <c r="AE368" s="253" t="str">
        <f>VLOOKUP(I370,vylosovanie!$F$8:$L$190,7,0)</f>
        <v>CH63</v>
      </c>
      <c r="AF368" s="268">
        <f>IF(N370&gt;N367,1,0)</f>
        <v>0</v>
      </c>
      <c r="AG368" s="268">
        <f t="shared" ref="AG368" si="249">IF(O370&gt;O367,1,0)</f>
        <v>0</v>
      </c>
      <c r="AH368" s="268">
        <f t="shared" ref="AH368" si="250">IF(P370&gt;P367,1,0)</f>
        <v>0</v>
      </c>
      <c r="AI368" s="268">
        <f t="shared" ref="AI368" si="251">IF(Q370&gt;Q367,1,0)</f>
        <v>0</v>
      </c>
      <c r="AJ368" s="268">
        <f t="shared" ref="AJ368" si="252">IF(R370&gt;R367,1,0)</f>
        <v>0</v>
      </c>
      <c r="AK368" s="268">
        <f t="shared" ref="AK368" si="253">IF(S370&gt;S367,1,0)</f>
        <v>0</v>
      </c>
      <c r="AL368" s="268">
        <f t="shared" ref="AL368" si="254">IF(T370&gt;T367,1,0)</f>
        <v>0</v>
      </c>
      <c r="AN368" s="268">
        <f t="shared" ref="AN368:AT368" si="255">IF(ISBLANK(N370)=TRUE,"",IF(AF368=1,N367,-N370))</f>
        <v>-8</v>
      </c>
      <c r="AO368" s="268">
        <f t="shared" si="255"/>
        <v>-11</v>
      </c>
      <c r="AP368" s="268">
        <f t="shared" si="255"/>
        <v>-9</v>
      </c>
      <c r="AQ368" s="268" t="str">
        <f t="shared" si="255"/>
        <v/>
      </c>
      <c r="AR368" s="268" t="str">
        <f t="shared" si="255"/>
        <v/>
      </c>
      <c r="AS368" s="268" t="str">
        <f t="shared" si="255"/>
        <v/>
      </c>
      <c r="AT368" s="268" t="str">
        <f t="shared" si="255"/>
        <v/>
      </c>
      <c r="AZ368" s="269" t="s">
        <v>18</v>
      </c>
      <c r="BA368" s="269">
        <v>2</v>
      </c>
    </row>
    <row r="369" spans="1:53" ht="39.950000000000003" customHeight="1">
      <c r="E369" s="264" t="s">
        <v>35</v>
      </c>
      <c r="F369" s="265" t="str">
        <f>VLOOKUP(A365,'zoznam zapasov'!$A$6:$K$77,9,0)</f>
        <v>So</v>
      </c>
      <c r="G369" s="263"/>
      <c r="H369" s="263"/>
      <c r="I369" s="263"/>
      <c r="J369" s="263"/>
      <c r="K369" s="263"/>
      <c r="L369" s="263"/>
      <c r="M369" s="263"/>
      <c r="N369" s="263"/>
      <c r="O369" s="263"/>
      <c r="P369" s="263"/>
      <c r="Q369" s="263"/>
      <c r="R369" s="263"/>
      <c r="S369" s="263"/>
      <c r="T369" s="263"/>
      <c r="U369" s="263"/>
      <c r="V369" s="263"/>
      <c r="W369" s="267"/>
      <c r="X369" s="263"/>
      <c r="AZ369" s="269" t="s">
        <v>38</v>
      </c>
      <c r="BA369" s="269">
        <v>3</v>
      </c>
    </row>
    <row r="370" spans="1:53" ht="39.950000000000003" customHeight="1">
      <c r="A370" s="252" t="str">
        <f>CONCATENATE(F372,VLOOKUP(F374,$AZ$7:$BA$14,2,0),RIGHT(F376,1))</f>
        <v>CH63</v>
      </c>
      <c r="E370" s="264" t="s">
        <v>28</v>
      </c>
      <c r="F370" s="270" t="str">
        <f>VLOOKUP(A365,'zoznam zapasov'!$A$6:$K$77,10,0)</f>
        <v>10.20</v>
      </c>
      <c r="G370" s="508"/>
      <c r="H370" s="486"/>
      <c r="I370" s="487" t="str">
        <f>IF(ISERROR(VLOOKUP(A370,vylosovanie!$A$8:$J$68,6,0))=TRUE,"",VLOOKUP(A370,vylosovanie!$A$8:$J$68,6,0))</f>
        <v>PACH Kamil</v>
      </c>
      <c r="J370" s="487"/>
      <c r="K370" s="487"/>
      <c r="L370" s="487"/>
      <c r="M370" s="263"/>
      <c r="N370" s="489">
        <v>8</v>
      </c>
      <c r="O370" s="489">
        <v>11</v>
      </c>
      <c r="P370" s="489">
        <v>9</v>
      </c>
      <c r="Q370" s="489"/>
      <c r="R370" s="489"/>
      <c r="S370" s="489"/>
      <c r="T370" s="489"/>
      <c r="U370" s="263"/>
      <c r="V370" s="493">
        <f>IF(SUM(AF367:AL368)=0,"",SUM(AF368:AL368))</f>
        <v>0</v>
      </c>
      <c r="W370" s="267"/>
      <c r="X370" s="263"/>
      <c r="AZ370" s="269" t="s">
        <v>39</v>
      </c>
      <c r="BA370" s="269">
        <v>4</v>
      </c>
    </row>
    <row r="371" spans="1:53" ht="39.950000000000003" customHeight="1">
      <c r="E371" s="271"/>
      <c r="F371" s="272"/>
      <c r="G371" s="509"/>
      <c r="H371" s="486"/>
      <c r="I371" s="487"/>
      <c r="J371" s="487"/>
      <c r="K371" s="487"/>
      <c r="L371" s="487"/>
      <c r="M371" s="263"/>
      <c r="N371" s="490"/>
      <c r="O371" s="490"/>
      <c r="P371" s="490"/>
      <c r="Q371" s="490"/>
      <c r="R371" s="490"/>
      <c r="S371" s="490"/>
      <c r="T371" s="490"/>
      <c r="U371" s="263"/>
      <c r="V371" s="493"/>
      <c r="W371" s="267"/>
      <c r="X371" s="263"/>
      <c r="AZ371" s="269" t="s">
        <v>40</v>
      </c>
      <c r="BA371" s="269">
        <v>5</v>
      </c>
    </row>
    <row r="372" spans="1:53" ht="39.950000000000003" customHeight="1">
      <c r="E372" s="264" t="s">
        <v>66</v>
      </c>
      <c r="F372" s="265" t="s">
        <v>65</v>
      </c>
      <c r="G372" s="263"/>
      <c r="H372" s="263"/>
      <c r="I372" s="263"/>
      <c r="J372" s="263"/>
      <c r="K372" s="263"/>
      <c r="L372" s="263"/>
      <c r="M372" s="263"/>
      <c r="N372" s="263"/>
      <c r="O372" s="263"/>
      <c r="P372" s="263"/>
      <c r="Q372" s="263"/>
      <c r="R372" s="263"/>
      <c r="S372" s="263"/>
      <c r="T372" s="263"/>
      <c r="U372" s="263"/>
      <c r="V372" s="263"/>
      <c r="W372" s="267"/>
      <c r="X372" s="263"/>
      <c r="AZ372" s="269" t="s">
        <v>41</v>
      </c>
      <c r="BA372" s="269">
        <v>6</v>
      </c>
    </row>
    <row r="373" spans="1:53" ht="39.950000000000003" customHeight="1">
      <c r="E373" s="271"/>
      <c r="F373" s="272"/>
      <c r="G373" s="263"/>
      <c r="H373" s="263"/>
      <c r="I373" s="263" t="s">
        <v>32</v>
      </c>
      <c r="J373" s="263"/>
      <c r="K373" s="263"/>
      <c r="L373" s="263"/>
      <c r="M373" s="263"/>
      <c r="N373" s="273"/>
      <c r="O373" s="266"/>
      <c r="P373" s="266" t="s">
        <v>34</v>
      </c>
      <c r="Q373" s="266"/>
      <c r="R373" s="266"/>
      <c r="S373" s="266"/>
      <c r="T373" s="266"/>
      <c r="U373" s="263"/>
      <c r="V373" s="263"/>
      <c r="W373" s="267"/>
      <c r="X373" s="263"/>
      <c r="AZ373" s="269" t="s">
        <v>42</v>
      </c>
      <c r="BA373" s="269">
        <v>7</v>
      </c>
    </row>
    <row r="374" spans="1:53" ht="39.950000000000003" customHeight="1">
      <c r="E374" s="264" t="s">
        <v>26</v>
      </c>
      <c r="F374" s="265" t="s">
        <v>41</v>
      </c>
      <c r="G374" s="263"/>
      <c r="H374" s="263"/>
      <c r="I374" s="486"/>
      <c r="J374" s="486"/>
      <c r="K374" s="486"/>
      <c r="L374" s="486"/>
      <c r="M374" s="263"/>
      <c r="N374" s="486" t="str">
        <f>IF(V367&gt;V370,I367,IF(V370&gt;V367,I370,""))</f>
        <v>CYPRICH Samuel</v>
      </c>
      <c r="O374" s="486"/>
      <c r="P374" s="486"/>
      <c r="Q374" s="486"/>
      <c r="R374" s="486"/>
      <c r="S374" s="486"/>
      <c r="T374" s="263"/>
      <c r="U374" s="263"/>
      <c r="V374" s="263"/>
      <c r="W374" s="267"/>
      <c r="X374" s="263"/>
      <c r="AZ374" s="269" t="s">
        <v>43</v>
      </c>
      <c r="BA374" s="269">
        <v>8</v>
      </c>
    </row>
    <row r="375" spans="1:53" ht="39.950000000000003" customHeight="1">
      <c r="E375" s="271"/>
      <c r="F375" s="272"/>
      <c r="G375" s="263"/>
      <c r="H375" s="263"/>
      <c r="I375" s="486"/>
      <c r="J375" s="486"/>
      <c r="K375" s="486"/>
      <c r="L375" s="486"/>
      <c r="M375" s="263"/>
      <c r="N375" s="486"/>
      <c r="O375" s="486"/>
      <c r="P375" s="486"/>
      <c r="Q375" s="486"/>
      <c r="R375" s="486"/>
      <c r="S375" s="486"/>
      <c r="T375" s="263"/>
      <c r="U375" s="263"/>
      <c r="V375" s="263"/>
      <c r="W375" s="267"/>
      <c r="X375" s="263"/>
    </row>
    <row r="376" spans="1:53" ht="39.950000000000003" customHeight="1">
      <c r="E376" s="264" t="s">
        <v>27</v>
      </c>
      <c r="F376" s="274" t="s">
        <v>20</v>
      </c>
      <c r="G376" s="263"/>
      <c r="H376" s="263"/>
      <c r="I376" s="263"/>
      <c r="J376" s="263"/>
      <c r="K376" s="263"/>
      <c r="L376" s="263"/>
      <c r="M376" s="263"/>
      <c r="N376" s="263"/>
      <c r="O376" s="263"/>
      <c r="P376" s="263"/>
      <c r="Q376" s="263"/>
      <c r="R376" s="263"/>
      <c r="S376" s="263"/>
      <c r="T376" s="263"/>
      <c r="U376" s="263"/>
      <c r="V376" s="263"/>
      <c r="W376" s="267"/>
      <c r="X376" s="263"/>
    </row>
    <row r="377" spans="1:53" ht="39.950000000000003" customHeight="1">
      <c r="E377" s="271"/>
      <c r="F377" s="272"/>
      <c r="G377" s="263"/>
      <c r="H377" s="263" t="s">
        <v>33</v>
      </c>
      <c r="I377" s="263"/>
      <c r="J377" s="263"/>
      <c r="K377" s="263"/>
      <c r="L377" s="263"/>
      <c r="M377" s="263"/>
      <c r="N377" s="263"/>
      <c r="O377" s="263"/>
      <c r="P377" s="263"/>
      <c r="Q377" s="263"/>
      <c r="R377" s="263"/>
      <c r="S377" s="263"/>
      <c r="T377" s="263"/>
      <c r="U377" s="263"/>
      <c r="V377" s="263"/>
      <c r="W377" s="267"/>
      <c r="X377" s="263"/>
    </row>
    <row r="378" spans="1:53" ht="39.950000000000003" customHeight="1">
      <c r="E378" s="271"/>
      <c r="F378" s="272"/>
      <c r="G378" s="263"/>
      <c r="H378" s="263"/>
      <c r="I378" s="263"/>
      <c r="J378" s="263"/>
      <c r="K378" s="263"/>
      <c r="L378" s="263"/>
      <c r="M378" s="263"/>
      <c r="N378" s="263"/>
      <c r="O378" s="263"/>
      <c r="P378" s="263"/>
      <c r="Q378" s="263"/>
      <c r="R378" s="263"/>
      <c r="S378" s="263"/>
      <c r="T378" s="263"/>
      <c r="U378" s="263"/>
      <c r="V378" s="263"/>
      <c r="W378" s="267"/>
      <c r="X378" s="263"/>
    </row>
    <row r="379" spans="1:53" ht="39.950000000000003" customHeight="1">
      <c r="E379" s="271"/>
      <c r="F379" s="272"/>
      <c r="G379" s="263"/>
      <c r="H379" s="263"/>
      <c r="I379" s="496" t="str">
        <f>I367</f>
        <v>CYPRICH Samuel</v>
      </c>
      <c r="J379" s="496"/>
      <c r="K379" s="496"/>
      <c r="L379" s="496"/>
      <c r="M379" s="263"/>
      <c r="N379" s="263"/>
      <c r="O379" s="263"/>
      <c r="P379" s="496" t="str">
        <f>I370</f>
        <v>PACH Kamil</v>
      </c>
      <c r="Q379" s="496"/>
      <c r="R379" s="496"/>
      <c r="S379" s="496"/>
      <c r="T379" s="497"/>
      <c r="U379" s="497"/>
      <c r="V379" s="263"/>
      <c r="W379" s="267"/>
      <c r="X379" s="263"/>
    </row>
    <row r="380" spans="1:53" ht="69.95" customHeight="1">
      <c r="E380" s="264"/>
      <c r="F380" s="265"/>
      <c r="G380" s="263"/>
      <c r="H380" s="275" t="s">
        <v>36</v>
      </c>
      <c r="I380" s="483"/>
      <c r="J380" s="494"/>
      <c r="K380" s="494"/>
      <c r="L380" s="495"/>
      <c r="M380" s="263"/>
      <c r="N380" s="263"/>
      <c r="O380" s="275" t="s">
        <v>36</v>
      </c>
      <c r="P380" s="486"/>
      <c r="Q380" s="486"/>
      <c r="R380" s="486"/>
      <c r="S380" s="486"/>
      <c r="T380" s="486"/>
      <c r="U380" s="486"/>
      <c r="V380" s="263"/>
      <c r="W380" s="267"/>
      <c r="X380" s="263"/>
    </row>
    <row r="381" spans="1:53" ht="69.95" customHeight="1">
      <c r="E381" s="264"/>
      <c r="F381" s="265"/>
      <c r="G381" s="263"/>
      <c r="H381" s="275" t="s">
        <v>37</v>
      </c>
      <c r="I381" s="486"/>
      <c r="J381" s="486"/>
      <c r="K381" s="486"/>
      <c r="L381" s="486"/>
      <c r="M381" s="263"/>
      <c r="N381" s="263"/>
      <c r="O381" s="275" t="s">
        <v>37</v>
      </c>
      <c r="P381" s="486"/>
      <c r="Q381" s="486"/>
      <c r="R381" s="486"/>
      <c r="S381" s="486"/>
      <c r="T381" s="486"/>
      <c r="U381" s="486"/>
      <c r="V381" s="263"/>
      <c r="W381" s="267"/>
      <c r="X381" s="263"/>
    </row>
    <row r="382" spans="1:53" ht="69.95" customHeight="1">
      <c r="E382" s="264"/>
      <c r="F382" s="265"/>
      <c r="G382" s="263"/>
      <c r="H382" s="275" t="s">
        <v>37</v>
      </c>
      <c r="I382" s="486"/>
      <c r="J382" s="486"/>
      <c r="K382" s="486"/>
      <c r="L382" s="486"/>
      <c r="M382" s="263"/>
      <c r="N382" s="263"/>
      <c r="O382" s="275" t="s">
        <v>37</v>
      </c>
      <c r="P382" s="486"/>
      <c r="Q382" s="486"/>
      <c r="R382" s="486"/>
      <c r="S382" s="486"/>
      <c r="T382" s="486"/>
      <c r="U382" s="486"/>
      <c r="V382" s="263"/>
      <c r="W382" s="267"/>
      <c r="X382" s="263"/>
    </row>
    <row r="383" spans="1:53" ht="39.950000000000003" customHeight="1" thickBot="1">
      <c r="E383" s="276"/>
      <c r="F383" s="277"/>
      <c r="G383" s="278"/>
      <c r="H383" s="278"/>
      <c r="I383" s="278"/>
      <c r="J383" s="278"/>
      <c r="K383" s="278"/>
      <c r="L383" s="278"/>
      <c r="M383" s="278"/>
      <c r="N383" s="278"/>
      <c r="O383" s="278"/>
      <c r="P383" s="278"/>
      <c r="Q383" s="278"/>
      <c r="R383" s="278"/>
      <c r="S383" s="278"/>
      <c r="T383" s="279"/>
      <c r="U383" s="279"/>
      <c r="V383" s="279"/>
      <c r="W383" s="280"/>
      <c r="X383" s="263"/>
    </row>
    <row r="384" spans="1:53" ht="62.25" thickBot="1"/>
    <row r="385" spans="1:53" ht="39.950000000000003" customHeight="1">
      <c r="A385" s="252" t="str">
        <f>CONCATENATE(F392,F394,F396)</f>
        <v>CHF2-4</v>
      </c>
      <c r="E385" s="259" t="s">
        <v>70</v>
      </c>
      <c r="F385" s="260">
        <f>VLOOKUP(A385,'zoznam zapasov'!$A$6:$K$77,3,0)</f>
        <v>20</v>
      </c>
      <c r="G385" s="261"/>
      <c r="H385" s="322" t="s">
        <v>501</v>
      </c>
      <c r="I385" s="261"/>
      <c r="J385" s="261"/>
      <c r="K385" s="261"/>
      <c r="L385" s="261"/>
      <c r="M385" s="261"/>
      <c r="N385" s="261"/>
      <c r="O385" s="261"/>
      <c r="P385" s="261"/>
      <c r="Q385" s="261"/>
      <c r="R385" s="261"/>
      <c r="S385" s="261"/>
      <c r="T385" s="261"/>
      <c r="U385" s="261"/>
      <c r="V385" s="261" t="s">
        <v>30</v>
      </c>
      <c r="W385" s="262"/>
      <c r="X385" s="263"/>
      <c r="Z385" s="258" t="str">
        <f>CONCATENATE(V387,":",V390)</f>
        <v>3:1</v>
      </c>
      <c r="AE385" s="253" t="s">
        <v>11</v>
      </c>
      <c r="AV385" s="256" t="str">
        <f>CONCATENATE(AN387,",",AO387,",",AP387,",",AQ387,",",AR387,",",AS387,",",AT387)</f>
        <v>-9,7,6,1,,,</v>
      </c>
    </row>
    <row r="386" spans="1:53" ht="39.950000000000003" customHeight="1">
      <c r="E386" s="264"/>
      <c r="F386" s="265"/>
      <c r="G386" s="321" t="s">
        <v>500</v>
      </c>
      <c r="H386" s="323" t="s">
        <v>502</v>
      </c>
      <c r="I386" s="263"/>
      <c r="J386" s="263"/>
      <c r="K386" s="263"/>
      <c r="L386" s="263"/>
      <c r="M386" s="263"/>
      <c r="N386" s="266">
        <v>1</v>
      </c>
      <c r="O386" s="266">
        <v>2</v>
      </c>
      <c r="P386" s="266">
        <v>3</v>
      </c>
      <c r="Q386" s="266">
        <v>4</v>
      </c>
      <c r="R386" s="266">
        <v>5</v>
      </c>
      <c r="S386" s="266">
        <v>6</v>
      </c>
      <c r="T386" s="266">
        <v>7</v>
      </c>
      <c r="U386" s="263"/>
      <c r="V386" s="266" t="s">
        <v>31</v>
      </c>
      <c r="W386" s="267"/>
      <c r="X386" s="263"/>
      <c r="AE386" s="253" t="s">
        <v>68</v>
      </c>
      <c r="AV386" s="256" t="str">
        <f>CONCATENATE(AN388,",",AO388,",",AP388,",",AQ388,",",AR388,",",AS388,",",AT388)</f>
        <v>9,-7,-6,-1,,,</v>
      </c>
    </row>
    <row r="387" spans="1:53" ht="39.950000000000003" customHeight="1">
      <c r="A387" s="252" t="str">
        <f>CONCATENATE(F392,VLOOKUP(F394,$AZ$7:$BA$14,2,0),LEFT(F396,1))</f>
        <v>CH62</v>
      </c>
      <c r="E387" s="264" t="s">
        <v>29</v>
      </c>
      <c r="F387" s="265">
        <f>VLOOKUP(A385,'zoznam zapasov'!$A$6:$K$77,11,0)</f>
        <v>4</v>
      </c>
      <c r="G387" s="508"/>
      <c r="H387" s="495"/>
      <c r="I387" s="487" t="str">
        <f>IF(ISERROR(VLOOKUP(A387,vylosovanie!$A$8:$J$68,6,0))=TRUE,"",VLOOKUP(A387,vylosovanie!$A$8:$J$68,6,0))</f>
        <v>MILAN Martin</v>
      </c>
      <c r="J387" s="487"/>
      <c r="K387" s="487"/>
      <c r="L387" s="487"/>
      <c r="M387" s="263"/>
      <c r="N387" s="489">
        <v>9</v>
      </c>
      <c r="O387" s="489">
        <v>11</v>
      </c>
      <c r="P387" s="489">
        <v>11</v>
      </c>
      <c r="Q387" s="489">
        <v>11</v>
      </c>
      <c r="R387" s="489"/>
      <c r="S387" s="489"/>
      <c r="T387" s="489"/>
      <c r="U387" s="263"/>
      <c r="V387" s="493">
        <f>IF(SUM(AF387:AL388)=0,"",SUM(AF387:AL387))</f>
        <v>3</v>
      </c>
      <c r="W387" s="267"/>
      <c r="X387" s="263"/>
      <c r="AE387" s="253" t="str">
        <f>VLOOKUP(I387,vylosovanie!$F$8:$L$190,7,0)</f>
        <v>CH62</v>
      </c>
      <c r="AF387" s="268">
        <f>IF(N387&gt;N390,1,0)</f>
        <v>0</v>
      </c>
      <c r="AG387" s="268">
        <f t="shared" ref="AG387" si="256">IF(O387&gt;O390,1,0)</f>
        <v>1</v>
      </c>
      <c r="AH387" s="268">
        <f t="shared" ref="AH387" si="257">IF(P387&gt;P390,1,0)</f>
        <v>1</v>
      </c>
      <c r="AI387" s="268">
        <f t="shared" ref="AI387" si="258">IF(Q387&gt;Q390,1,0)</f>
        <v>1</v>
      </c>
      <c r="AJ387" s="268">
        <f t="shared" ref="AJ387" si="259">IF(R387&gt;R390,1,0)</f>
        <v>0</v>
      </c>
      <c r="AK387" s="268">
        <f t="shared" ref="AK387" si="260">IF(S387&gt;S390,1,0)</f>
        <v>0</v>
      </c>
      <c r="AL387" s="268">
        <f t="shared" ref="AL387" si="261">IF(T387&gt;T390,1,0)</f>
        <v>0</v>
      </c>
      <c r="AN387" s="268">
        <f t="shared" ref="AN387:AT387" si="262">IF(ISBLANK(N387)=TRUE,"",IF(AF387=1,N390,-N387))</f>
        <v>-9</v>
      </c>
      <c r="AO387" s="268">
        <f t="shared" si="262"/>
        <v>7</v>
      </c>
      <c r="AP387" s="268">
        <f t="shared" si="262"/>
        <v>6</v>
      </c>
      <c r="AQ387" s="268">
        <f t="shared" si="262"/>
        <v>1</v>
      </c>
      <c r="AR387" s="268" t="str">
        <f t="shared" si="262"/>
        <v/>
      </c>
      <c r="AS387" s="268" t="str">
        <f t="shared" si="262"/>
        <v/>
      </c>
      <c r="AT387" s="268" t="str">
        <f t="shared" si="262"/>
        <v/>
      </c>
      <c r="AZ387" s="269" t="s">
        <v>12</v>
      </c>
      <c r="BA387" s="269">
        <v>1</v>
      </c>
    </row>
    <row r="388" spans="1:53" ht="39.950000000000003" customHeight="1">
      <c r="E388" s="264"/>
      <c r="F388" s="265"/>
      <c r="G388" s="509"/>
      <c r="H388" s="495"/>
      <c r="I388" s="487"/>
      <c r="J388" s="487"/>
      <c r="K388" s="487"/>
      <c r="L388" s="487"/>
      <c r="M388" s="263"/>
      <c r="N388" s="490"/>
      <c r="O388" s="490"/>
      <c r="P388" s="490"/>
      <c r="Q388" s="490"/>
      <c r="R388" s="490"/>
      <c r="S388" s="490"/>
      <c r="T388" s="490"/>
      <c r="U388" s="263"/>
      <c r="V388" s="493"/>
      <c r="W388" s="267"/>
      <c r="X388" s="263"/>
      <c r="AE388" s="253" t="str">
        <f>VLOOKUP(I390,vylosovanie!$F$8:$L$190,7,0)</f>
        <v>CH64</v>
      </c>
      <c r="AF388" s="268">
        <f>IF(N390&gt;N387,1,0)</f>
        <v>1</v>
      </c>
      <c r="AG388" s="268">
        <f t="shared" ref="AG388" si="263">IF(O390&gt;O387,1,0)</f>
        <v>0</v>
      </c>
      <c r="AH388" s="268">
        <f t="shared" ref="AH388" si="264">IF(P390&gt;P387,1,0)</f>
        <v>0</v>
      </c>
      <c r="AI388" s="268">
        <f t="shared" ref="AI388" si="265">IF(Q390&gt;Q387,1,0)</f>
        <v>0</v>
      </c>
      <c r="AJ388" s="268">
        <f t="shared" ref="AJ388" si="266">IF(R390&gt;R387,1,0)</f>
        <v>0</v>
      </c>
      <c r="AK388" s="268">
        <f t="shared" ref="AK388" si="267">IF(S390&gt;S387,1,0)</f>
        <v>0</v>
      </c>
      <c r="AL388" s="268">
        <f t="shared" ref="AL388" si="268">IF(T390&gt;T387,1,0)</f>
        <v>0</v>
      </c>
      <c r="AN388" s="268">
        <f t="shared" ref="AN388:AT388" si="269">IF(ISBLANK(N390)=TRUE,"",IF(AF388=1,N387,-N390))</f>
        <v>9</v>
      </c>
      <c r="AO388" s="268">
        <f t="shared" si="269"/>
        <v>-7</v>
      </c>
      <c r="AP388" s="268">
        <f t="shared" si="269"/>
        <v>-6</v>
      </c>
      <c r="AQ388" s="268">
        <f t="shared" si="269"/>
        <v>-1</v>
      </c>
      <c r="AR388" s="268" t="str">
        <f t="shared" si="269"/>
        <v/>
      </c>
      <c r="AS388" s="268" t="str">
        <f t="shared" si="269"/>
        <v/>
      </c>
      <c r="AT388" s="268" t="str">
        <f t="shared" si="269"/>
        <v/>
      </c>
      <c r="AZ388" s="269" t="s">
        <v>18</v>
      </c>
      <c r="BA388" s="269">
        <v>2</v>
      </c>
    </row>
    <row r="389" spans="1:53" ht="39.950000000000003" customHeight="1">
      <c r="E389" s="264" t="s">
        <v>35</v>
      </c>
      <c r="F389" s="265" t="str">
        <f>VLOOKUP(A385,'zoznam zapasov'!$A$6:$K$77,9,0)</f>
        <v>So</v>
      </c>
      <c r="G389" s="263"/>
      <c r="H389" s="263"/>
      <c r="I389" s="263"/>
      <c r="J389" s="263"/>
      <c r="K389" s="263"/>
      <c r="L389" s="263"/>
      <c r="M389" s="263"/>
      <c r="N389" s="263"/>
      <c r="O389" s="263"/>
      <c r="P389" s="263"/>
      <c r="Q389" s="263"/>
      <c r="R389" s="263"/>
      <c r="S389" s="263"/>
      <c r="T389" s="263"/>
      <c r="U389" s="263"/>
      <c r="V389" s="263"/>
      <c r="W389" s="267"/>
      <c r="X389" s="263"/>
      <c r="AZ389" s="269" t="s">
        <v>38</v>
      </c>
      <c r="BA389" s="269">
        <v>3</v>
      </c>
    </row>
    <row r="390" spans="1:53" ht="39.950000000000003" customHeight="1">
      <c r="A390" s="252" t="str">
        <f>CONCATENATE(F392,VLOOKUP(F394,$AZ$7:$BA$14,2,0),RIGHT(F396,1))</f>
        <v>CH64</v>
      </c>
      <c r="E390" s="264" t="s">
        <v>28</v>
      </c>
      <c r="F390" s="270" t="str">
        <f>VLOOKUP(A385,'zoznam zapasov'!$A$6:$K$77,10,0)</f>
        <v>10.20</v>
      </c>
      <c r="G390" s="508"/>
      <c r="H390" s="486"/>
      <c r="I390" s="487" t="str">
        <f>IF(ISERROR(VLOOKUP(A390,vylosovanie!$A$8:$J$68,6,0))=TRUE,"",VLOOKUP(A390,vylosovanie!$A$8:$J$68,6,0))</f>
        <v>KALINKA Timotej</v>
      </c>
      <c r="J390" s="487"/>
      <c r="K390" s="487"/>
      <c r="L390" s="487"/>
      <c r="M390" s="263"/>
      <c r="N390" s="489">
        <v>11</v>
      </c>
      <c r="O390" s="489">
        <v>7</v>
      </c>
      <c r="P390" s="489">
        <v>6</v>
      </c>
      <c r="Q390" s="489">
        <v>1</v>
      </c>
      <c r="R390" s="489"/>
      <c r="S390" s="489"/>
      <c r="T390" s="489"/>
      <c r="U390" s="263"/>
      <c r="V390" s="493">
        <f>IF(SUM(AF387:AL388)=0,"",SUM(AF388:AL388))</f>
        <v>1</v>
      </c>
      <c r="W390" s="267"/>
      <c r="X390" s="263"/>
      <c r="AZ390" s="269" t="s">
        <v>39</v>
      </c>
      <c r="BA390" s="269">
        <v>4</v>
      </c>
    </row>
    <row r="391" spans="1:53" ht="39.950000000000003" customHeight="1">
      <c r="E391" s="271"/>
      <c r="F391" s="272"/>
      <c r="G391" s="509"/>
      <c r="H391" s="486"/>
      <c r="I391" s="487"/>
      <c r="J391" s="487"/>
      <c r="K391" s="487"/>
      <c r="L391" s="487"/>
      <c r="M391" s="263"/>
      <c r="N391" s="490"/>
      <c r="O391" s="490"/>
      <c r="P391" s="490"/>
      <c r="Q391" s="490"/>
      <c r="R391" s="490"/>
      <c r="S391" s="490"/>
      <c r="T391" s="490"/>
      <c r="U391" s="263"/>
      <c r="V391" s="493"/>
      <c r="W391" s="267"/>
      <c r="X391" s="263"/>
      <c r="AZ391" s="269" t="s">
        <v>40</v>
      </c>
      <c r="BA391" s="269">
        <v>5</v>
      </c>
    </row>
    <row r="392" spans="1:53" ht="39.950000000000003" customHeight="1">
      <c r="E392" s="264" t="s">
        <v>66</v>
      </c>
      <c r="F392" s="265" t="s">
        <v>65</v>
      </c>
      <c r="G392" s="263"/>
      <c r="H392" s="263"/>
      <c r="I392" s="263"/>
      <c r="J392" s="263"/>
      <c r="K392" s="263"/>
      <c r="L392" s="263"/>
      <c r="M392" s="263"/>
      <c r="N392" s="263"/>
      <c r="O392" s="263"/>
      <c r="P392" s="263"/>
      <c r="Q392" s="263"/>
      <c r="R392" s="263"/>
      <c r="S392" s="263"/>
      <c r="T392" s="263"/>
      <c r="U392" s="263"/>
      <c r="V392" s="263"/>
      <c r="W392" s="267"/>
      <c r="X392" s="263"/>
      <c r="AZ392" s="269" t="s">
        <v>41</v>
      </c>
      <c r="BA392" s="269">
        <v>6</v>
      </c>
    </row>
    <row r="393" spans="1:53" ht="39.950000000000003" customHeight="1">
      <c r="E393" s="271"/>
      <c r="F393" s="272"/>
      <c r="G393" s="263"/>
      <c r="H393" s="263"/>
      <c r="I393" s="263" t="s">
        <v>32</v>
      </c>
      <c r="J393" s="263"/>
      <c r="K393" s="263"/>
      <c r="L393" s="263"/>
      <c r="M393" s="263"/>
      <c r="N393" s="273"/>
      <c r="O393" s="266"/>
      <c r="P393" s="266" t="s">
        <v>34</v>
      </c>
      <c r="Q393" s="266"/>
      <c r="R393" s="266"/>
      <c r="S393" s="266"/>
      <c r="T393" s="266"/>
      <c r="U393" s="263"/>
      <c r="V393" s="263"/>
      <c r="W393" s="267"/>
      <c r="X393" s="263"/>
      <c r="AZ393" s="269" t="s">
        <v>42</v>
      </c>
      <c r="BA393" s="269">
        <v>7</v>
      </c>
    </row>
    <row r="394" spans="1:53" ht="39.950000000000003" customHeight="1">
      <c r="E394" s="264" t="s">
        <v>26</v>
      </c>
      <c r="F394" s="265" t="s">
        <v>41</v>
      </c>
      <c r="G394" s="263"/>
      <c r="H394" s="263"/>
      <c r="I394" s="486"/>
      <c r="J394" s="486"/>
      <c r="K394" s="486"/>
      <c r="L394" s="486"/>
      <c r="M394" s="263"/>
      <c r="N394" s="486" t="str">
        <f>IF(V387&gt;V390,I387,IF(V390&gt;V387,I390,""))</f>
        <v>MILAN Martin</v>
      </c>
      <c r="O394" s="486"/>
      <c r="P394" s="486"/>
      <c r="Q394" s="486"/>
      <c r="R394" s="486"/>
      <c r="S394" s="486"/>
      <c r="T394" s="263"/>
      <c r="U394" s="263"/>
      <c r="V394" s="263"/>
      <c r="W394" s="267"/>
      <c r="X394" s="263"/>
      <c r="AZ394" s="269" t="s">
        <v>43</v>
      </c>
      <c r="BA394" s="269">
        <v>8</v>
      </c>
    </row>
    <row r="395" spans="1:53" ht="39.950000000000003" customHeight="1">
      <c r="E395" s="271"/>
      <c r="F395" s="272"/>
      <c r="G395" s="263"/>
      <c r="H395" s="263"/>
      <c r="I395" s="486"/>
      <c r="J395" s="486"/>
      <c r="K395" s="486"/>
      <c r="L395" s="486"/>
      <c r="M395" s="263"/>
      <c r="N395" s="486"/>
      <c r="O395" s="486"/>
      <c r="P395" s="486"/>
      <c r="Q395" s="486"/>
      <c r="R395" s="486"/>
      <c r="S395" s="486"/>
      <c r="T395" s="263"/>
      <c r="U395" s="263"/>
      <c r="V395" s="263"/>
      <c r="W395" s="267"/>
      <c r="X395" s="263"/>
    </row>
    <row r="396" spans="1:53" ht="39.950000000000003" customHeight="1">
      <c r="E396" s="264" t="s">
        <v>27</v>
      </c>
      <c r="F396" s="274" t="s">
        <v>21</v>
      </c>
      <c r="G396" s="263"/>
      <c r="H396" s="263"/>
      <c r="I396" s="263"/>
      <c r="J396" s="263"/>
      <c r="K396" s="263"/>
      <c r="L396" s="263"/>
      <c r="M396" s="263"/>
      <c r="N396" s="263"/>
      <c r="O396" s="263"/>
      <c r="P396" s="263"/>
      <c r="Q396" s="263"/>
      <c r="R396" s="263"/>
      <c r="S396" s="263"/>
      <c r="T396" s="263"/>
      <c r="U396" s="263"/>
      <c r="V396" s="263"/>
      <c r="W396" s="267"/>
      <c r="X396" s="263"/>
    </row>
    <row r="397" spans="1:53" ht="39.950000000000003" customHeight="1">
      <c r="E397" s="271"/>
      <c r="F397" s="272"/>
      <c r="G397" s="263"/>
      <c r="H397" s="263" t="s">
        <v>33</v>
      </c>
      <c r="I397" s="263"/>
      <c r="J397" s="263"/>
      <c r="K397" s="263"/>
      <c r="L397" s="263"/>
      <c r="M397" s="263"/>
      <c r="N397" s="263"/>
      <c r="O397" s="263"/>
      <c r="P397" s="263"/>
      <c r="Q397" s="263"/>
      <c r="R397" s="263"/>
      <c r="S397" s="263"/>
      <c r="T397" s="263"/>
      <c r="U397" s="263"/>
      <c r="V397" s="263"/>
      <c r="W397" s="267"/>
      <c r="X397" s="263"/>
    </row>
    <row r="398" spans="1:53" ht="39.950000000000003" customHeight="1">
      <c r="E398" s="271"/>
      <c r="F398" s="272"/>
      <c r="G398" s="263"/>
      <c r="H398" s="263"/>
      <c r="I398" s="263"/>
      <c r="J398" s="263"/>
      <c r="K398" s="263"/>
      <c r="L398" s="263"/>
      <c r="M398" s="263"/>
      <c r="N398" s="263"/>
      <c r="O398" s="263"/>
      <c r="P398" s="263"/>
      <c r="Q398" s="263"/>
      <c r="R398" s="263"/>
      <c r="S398" s="263"/>
      <c r="T398" s="263"/>
      <c r="U398" s="263"/>
      <c r="V398" s="263"/>
      <c r="W398" s="267"/>
      <c r="X398" s="263"/>
    </row>
    <row r="399" spans="1:53" ht="39.950000000000003" customHeight="1">
      <c r="E399" s="271"/>
      <c r="F399" s="272"/>
      <c r="G399" s="263"/>
      <c r="H399" s="263"/>
      <c r="I399" s="496" t="str">
        <f>I387</f>
        <v>MILAN Martin</v>
      </c>
      <c r="J399" s="496"/>
      <c r="K399" s="496"/>
      <c r="L399" s="496"/>
      <c r="M399" s="263"/>
      <c r="N399" s="263"/>
      <c r="O399" s="263"/>
      <c r="P399" s="496" t="str">
        <f>I390</f>
        <v>KALINKA Timotej</v>
      </c>
      <c r="Q399" s="496"/>
      <c r="R399" s="496"/>
      <c r="S399" s="496"/>
      <c r="T399" s="497"/>
      <c r="U399" s="497"/>
      <c r="V399" s="263"/>
      <c r="W399" s="267"/>
      <c r="X399" s="263"/>
    </row>
    <row r="400" spans="1:53" ht="69.95" customHeight="1">
      <c r="E400" s="264"/>
      <c r="F400" s="265"/>
      <c r="G400" s="263"/>
      <c r="H400" s="275" t="s">
        <v>36</v>
      </c>
      <c r="I400" s="483"/>
      <c r="J400" s="494"/>
      <c r="K400" s="494"/>
      <c r="L400" s="495"/>
      <c r="M400" s="263"/>
      <c r="N400" s="263"/>
      <c r="O400" s="275" t="s">
        <v>36</v>
      </c>
      <c r="P400" s="486"/>
      <c r="Q400" s="486"/>
      <c r="R400" s="486"/>
      <c r="S400" s="486"/>
      <c r="T400" s="486"/>
      <c r="U400" s="486"/>
      <c r="V400" s="263"/>
      <c r="W400" s="267"/>
      <c r="X400" s="263"/>
    </row>
    <row r="401" spans="1:53" ht="69.95" customHeight="1">
      <c r="E401" s="264"/>
      <c r="F401" s="265"/>
      <c r="G401" s="263"/>
      <c r="H401" s="275" t="s">
        <v>37</v>
      </c>
      <c r="I401" s="486"/>
      <c r="J401" s="486"/>
      <c r="K401" s="486"/>
      <c r="L401" s="486"/>
      <c r="M401" s="263"/>
      <c r="N401" s="263"/>
      <c r="O401" s="275" t="s">
        <v>37</v>
      </c>
      <c r="P401" s="486"/>
      <c r="Q401" s="486"/>
      <c r="R401" s="486"/>
      <c r="S401" s="486"/>
      <c r="T401" s="486"/>
      <c r="U401" s="486"/>
      <c r="V401" s="263"/>
      <c r="W401" s="267"/>
      <c r="X401" s="263"/>
    </row>
    <row r="402" spans="1:53" ht="69.95" customHeight="1">
      <c r="E402" s="264"/>
      <c r="F402" s="265"/>
      <c r="G402" s="263"/>
      <c r="H402" s="275" t="s">
        <v>37</v>
      </c>
      <c r="I402" s="486"/>
      <c r="J402" s="486"/>
      <c r="K402" s="486"/>
      <c r="L402" s="486"/>
      <c r="M402" s="263"/>
      <c r="N402" s="263"/>
      <c r="O402" s="275" t="s">
        <v>37</v>
      </c>
      <c r="P402" s="486"/>
      <c r="Q402" s="486"/>
      <c r="R402" s="486"/>
      <c r="S402" s="486"/>
      <c r="T402" s="486"/>
      <c r="U402" s="486"/>
      <c r="V402" s="263"/>
      <c r="W402" s="267"/>
      <c r="X402" s="263"/>
    </row>
    <row r="403" spans="1:53" ht="39.950000000000003" customHeight="1" thickBot="1">
      <c r="E403" s="276"/>
      <c r="F403" s="277"/>
      <c r="G403" s="278"/>
      <c r="H403" s="278"/>
      <c r="I403" s="278"/>
      <c r="J403" s="278"/>
      <c r="K403" s="278"/>
      <c r="L403" s="278"/>
      <c r="M403" s="278"/>
      <c r="N403" s="278"/>
      <c r="O403" s="278"/>
      <c r="P403" s="278"/>
      <c r="Q403" s="278"/>
      <c r="R403" s="278"/>
      <c r="S403" s="278"/>
      <c r="T403" s="279"/>
      <c r="U403" s="279"/>
      <c r="V403" s="279"/>
      <c r="W403" s="280"/>
      <c r="X403" s="263"/>
    </row>
    <row r="404" spans="1:53" ht="62.25" thickBot="1"/>
    <row r="405" spans="1:53" ht="39.950000000000003" customHeight="1">
      <c r="A405" s="252" t="str">
        <f>CONCATENATE(F412,F414,F416)</f>
        <v>CHG1-3</v>
      </c>
      <c r="E405" s="259" t="s">
        <v>70</v>
      </c>
      <c r="F405" s="260">
        <f>VLOOKUP(A405,'zoznam zapasov'!$A$6:$K$77,3,0)</f>
        <v>21</v>
      </c>
      <c r="G405" s="261"/>
      <c r="H405" s="322" t="s">
        <v>501</v>
      </c>
      <c r="I405" s="261"/>
      <c r="J405" s="261"/>
      <c r="K405" s="261"/>
      <c r="L405" s="261"/>
      <c r="M405" s="261"/>
      <c r="N405" s="261"/>
      <c r="O405" s="261"/>
      <c r="P405" s="261"/>
      <c r="Q405" s="261"/>
      <c r="R405" s="261"/>
      <c r="S405" s="261"/>
      <c r="T405" s="261"/>
      <c r="U405" s="261"/>
      <c r="V405" s="261" t="s">
        <v>30</v>
      </c>
      <c r="W405" s="262"/>
      <c r="X405" s="263"/>
      <c r="Z405" s="258" t="str">
        <f>CONCATENATE(V407,":",V410)</f>
        <v>1:3</v>
      </c>
      <c r="AE405" s="253" t="s">
        <v>11</v>
      </c>
      <c r="AV405" s="256" t="str">
        <f>CONCATENATE(AN407,",",AO407,",",AP407,",",AQ407,",",AR407,",",AS407,",",AT407)</f>
        <v>-11,-5,7,-5,,,</v>
      </c>
    </row>
    <row r="406" spans="1:53" ht="39.950000000000003" customHeight="1">
      <c r="E406" s="264"/>
      <c r="F406" s="265"/>
      <c r="G406" s="321" t="s">
        <v>500</v>
      </c>
      <c r="H406" s="323" t="s">
        <v>502</v>
      </c>
      <c r="I406" s="263"/>
      <c r="J406" s="263"/>
      <c r="K406" s="263"/>
      <c r="L406" s="263"/>
      <c r="M406" s="263"/>
      <c r="N406" s="266">
        <v>1</v>
      </c>
      <c r="O406" s="266">
        <v>2</v>
      </c>
      <c r="P406" s="266">
        <v>3</v>
      </c>
      <c r="Q406" s="266">
        <v>4</v>
      </c>
      <c r="R406" s="266">
        <v>5</v>
      </c>
      <c r="S406" s="266">
        <v>6</v>
      </c>
      <c r="T406" s="266">
        <v>7</v>
      </c>
      <c r="U406" s="263"/>
      <c r="V406" s="266" t="s">
        <v>31</v>
      </c>
      <c r="W406" s="267"/>
      <c r="X406" s="263"/>
      <c r="AE406" s="253" t="s">
        <v>68</v>
      </c>
      <c r="AV406" s="256" t="str">
        <f>CONCATENATE(AN408,",",AO408,",",AP408,",",AQ408,",",AR408,",",AS408,",",AT408)</f>
        <v>11,5,-7,5,,,</v>
      </c>
    </row>
    <row r="407" spans="1:53" ht="39.950000000000003" customHeight="1">
      <c r="A407" s="252" t="str">
        <f>CONCATENATE(F412,VLOOKUP(F414,$AZ$7:$BA$14,2,0),LEFT(F416,1))</f>
        <v>CH71</v>
      </c>
      <c r="E407" s="264" t="s">
        <v>29</v>
      </c>
      <c r="F407" s="265">
        <f>VLOOKUP(A405,'zoznam zapasov'!$A$6:$K$77,11,0)</f>
        <v>5</v>
      </c>
      <c r="G407" s="508"/>
      <c r="H407" s="495"/>
      <c r="I407" s="487" t="str">
        <f>IF(ISERROR(VLOOKUP(A407,vylosovanie!$A$8:$J$68,6,0))=TRUE,"",VLOOKUP(A407,vylosovanie!$A$8:$J$68,6,0))</f>
        <v>TUREK Teodor</v>
      </c>
      <c r="J407" s="487"/>
      <c r="K407" s="487"/>
      <c r="L407" s="487"/>
      <c r="M407" s="263"/>
      <c r="N407" s="489">
        <v>11</v>
      </c>
      <c r="O407" s="489">
        <v>5</v>
      </c>
      <c r="P407" s="489">
        <v>11</v>
      </c>
      <c r="Q407" s="489">
        <v>5</v>
      </c>
      <c r="R407" s="489"/>
      <c r="S407" s="489"/>
      <c r="T407" s="489"/>
      <c r="U407" s="263"/>
      <c r="V407" s="493">
        <f>IF(SUM(AF407:AL408)=0,"",SUM(AF407:AL407))</f>
        <v>1</v>
      </c>
      <c r="W407" s="267"/>
      <c r="X407" s="263"/>
      <c r="AE407" s="253" t="str">
        <f>VLOOKUP(I407,vylosovanie!$F$8:$L$190,7,0)</f>
        <v>CH71</v>
      </c>
      <c r="AF407" s="268">
        <f>IF(N407&gt;N410,1,0)</f>
        <v>0</v>
      </c>
      <c r="AG407" s="268">
        <f t="shared" ref="AG407" si="270">IF(O407&gt;O410,1,0)</f>
        <v>0</v>
      </c>
      <c r="AH407" s="268">
        <f t="shared" ref="AH407" si="271">IF(P407&gt;P410,1,0)</f>
        <v>1</v>
      </c>
      <c r="AI407" s="268">
        <f t="shared" ref="AI407" si="272">IF(Q407&gt;Q410,1,0)</f>
        <v>0</v>
      </c>
      <c r="AJ407" s="268">
        <f t="shared" ref="AJ407" si="273">IF(R407&gt;R410,1,0)</f>
        <v>0</v>
      </c>
      <c r="AK407" s="268">
        <f t="shared" ref="AK407" si="274">IF(S407&gt;S410,1,0)</f>
        <v>0</v>
      </c>
      <c r="AL407" s="268">
        <f t="shared" ref="AL407" si="275">IF(T407&gt;T410,1,0)</f>
        <v>0</v>
      </c>
      <c r="AN407" s="268">
        <f t="shared" ref="AN407:AT407" si="276">IF(ISBLANK(N407)=TRUE,"",IF(AF407=1,N410,-N407))</f>
        <v>-11</v>
      </c>
      <c r="AO407" s="268">
        <f t="shared" si="276"/>
        <v>-5</v>
      </c>
      <c r="AP407" s="268">
        <f t="shared" si="276"/>
        <v>7</v>
      </c>
      <c r="AQ407" s="268">
        <f t="shared" si="276"/>
        <v>-5</v>
      </c>
      <c r="AR407" s="268" t="str">
        <f t="shared" si="276"/>
        <v/>
      </c>
      <c r="AS407" s="268" t="str">
        <f t="shared" si="276"/>
        <v/>
      </c>
      <c r="AT407" s="268" t="str">
        <f t="shared" si="276"/>
        <v/>
      </c>
      <c r="AZ407" s="269" t="s">
        <v>12</v>
      </c>
      <c r="BA407" s="269">
        <v>1</v>
      </c>
    </row>
    <row r="408" spans="1:53" ht="39.950000000000003" customHeight="1">
      <c r="E408" s="264"/>
      <c r="F408" s="265"/>
      <c r="G408" s="509"/>
      <c r="H408" s="495"/>
      <c r="I408" s="487"/>
      <c r="J408" s="487"/>
      <c r="K408" s="487"/>
      <c r="L408" s="487"/>
      <c r="M408" s="263"/>
      <c r="N408" s="490"/>
      <c r="O408" s="490"/>
      <c r="P408" s="490"/>
      <c r="Q408" s="490"/>
      <c r="R408" s="490"/>
      <c r="S408" s="490"/>
      <c r="T408" s="490"/>
      <c r="U408" s="263"/>
      <c r="V408" s="493"/>
      <c r="W408" s="267"/>
      <c r="X408" s="263"/>
      <c r="AE408" s="253" t="str">
        <f>VLOOKUP(I410,vylosovanie!$F$8:$L$190,7,0)</f>
        <v>CH73</v>
      </c>
      <c r="AF408" s="268">
        <f>IF(N410&gt;N407,1,0)</f>
        <v>1</v>
      </c>
      <c r="AG408" s="268">
        <f t="shared" ref="AG408" si="277">IF(O410&gt;O407,1,0)</f>
        <v>1</v>
      </c>
      <c r="AH408" s="268">
        <f t="shared" ref="AH408" si="278">IF(P410&gt;P407,1,0)</f>
        <v>0</v>
      </c>
      <c r="AI408" s="268">
        <f t="shared" ref="AI408" si="279">IF(Q410&gt;Q407,1,0)</f>
        <v>1</v>
      </c>
      <c r="AJ408" s="268">
        <f t="shared" ref="AJ408" si="280">IF(R410&gt;R407,1,0)</f>
        <v>0</v>
      </c>
      <c r="AK408" s="268">
        <f t="shared" ref="AK408" si="281">IF(S410&gt;S407,1,0)</f>
        <v>0</v>
      </c>
      <c r="AL408" s="268">
        <f t="shared" ref="AL408" si="282">IF(T410&gt;T407,1,0)</f>
        <v>0</v>
      </c>
      <c r="AN408" s="268">
        <f t="shared" ref="AN408:AT408" si="283">IF(ISBLANK(N410)=TRUE,"",IF(AF408=1,N407,-N410))</f>
        <v>11</v>
      </c>
      <c r="AO408" s="268">
        <f t="shared" si="283"/>
        <v>5</v>
      </c>
      <c r="AP408" s="268">
        <f t="shared" si="283"/>
        <v>-7</v>
      </c>
      <c r="AQ408" s="268">
        <f t="shared" si="283"/>
        <v>5</v>
      </c>
      <c r="AR408" s="268" t="str">
        <f t="shared" si="283"/>
        <v/>
      </c>
      <c r="AS408" s="268" t="str">
        <f t="shared" si="283"/>
        <v/>
      </c>
      <c r="AT408" s="268" t="str">
        <f t="shared" si="283"/>
        <v/>
      </c>
      <c r="AZ408" s="269" t="s">
        <v>18</v>
      </c>
      <c r="BA408" s="269">
        <v>2</v>
      </c>
    </row>
    <row r="409" spans="1:53" ht="39.950000000000003" customHeight="1">
      <c r="E409" s="264" t="s">
        <v>35</v>
      </c>
      <c r="F409" s="265" t="str">
        <f>VLOOKUP(A405,'zoznam zapasov'!$A$6:$K$77,9,0)</f>
        <v>So</v>
      </c>
      <c r="G409" s="263"/>
      <c r="H409" s="263"/>
      <c r="I409" s="263"/>
      <c r="J409" s="263"/>
      <c r="K409" s="263"/>
      <c r="L409" s="263"/>
      <c r="M409" s="263"/>
      <c r="N409" s="263"/>
      <c r="O409" s="263"/>
      <c r="P409" s="263"/>
      <c r="Q409" s="263"/>
      <c r="R409" s="263"/>
      <c r="S409" s="263"/>
      <c r="T409" s="263"/>
      <c r="U409" s="263"/>
      <c r="V409" s="263"/>
      <c r="W409" s="267"/>
      <c r="X409" s="263"/>
      <c r="AZ409" s="269" t="s">
        <v>38</v>
      </c>
      <c r="BA409" s="269">
        <v>3</v>
      </c>
    </row>
    <row r="410" spans="1:53" ht="39.950000000000003" customHeight="1">
      <c r="A410" s="252" t="str">
        <f>CONCATENATE(F412,VLOOKUP(F414,$AZ$7:$BA$14,2,0),RIGHT(F416,1))</f>
        <v>CH73</v>
      </c>
      <c r="E410" s="264" t="s">
        <v>28</v>
      </c>
      <c r="F410" s="270" t="str">
        <f>VLOOKUP(A405,'zoznam zapasov'!$A$6:$K$77,10,0)</f>
        <v>10.20</v>
      </c>
      <c r="G410" s="508"/>
      <c r="H410" s="486"/>
      <c r="I410" s="487" t="str">
        <f>IF(ISERROR(VLOOKUP(A410,vylosovanie!$A$8:$J$68,6,0))=TRUE,"",VLOOKUP(A410,vylosovanie!$A$8:$J$68,6,0))</f>
        <v>FEČO Michal</v>
      </c>
      <c r="J410" s="487"/>
      <c r="K410" s="487"/>
      <c r="L410" s="487"/>
      <c r="M410" s="263"/>
      <c r="N410" s="489">
        <v>13</v>
      </c>
      <c r="O410" s="489">
        <v>11</v>
      </c>
      <c r="P410" s="489">
        <v>7</v>
      </c>
      <c r="Q410" s="489">
        <v>11</v>
      </c>
      <c r="R410" s="489"/>
      <c r="S410" s="489"/>
      <c r="T410" s="489"/>
      <c r="U410" s="263"/>
      <c r="V410" s="493">
        <f>IF(SUM(AF407:AL408)=0,"",SUM(AF408:AL408))</f>
        <v>3</v>
      </c>
      <c r="W410" s="267"/>
      <c r="X410" s="263"/>
      <c r="AZ410" s="269" t="s">
        <v>39</v>
      </c>
      <c r="BA410" s="269">
        <v>4</v>
      </c>
    </row>
    <row r="411" spans="1:53" ht="39.950000000000003" customHeight="1">
      <c r="E411" s="271"/>
      <c r="F411" s="272"/>
      <c r="G411" s="509"/>
      <c r="H411" s="486"/>
      <c r="I411" s="487"/>
      <c r="J411" s="487"/>
      <c r="K411" s="487"/>
      <c r="L411" s="487"/>
      <c r="M411" s="263"/>
      <c r="N411" s="490"/>
      <c r="O411" s="490"/>
      <c r="P411" s="490"/>
      <c r="Q411" s="490"/>
      <c r="R411" s="490"/>
      <c r="S411" s="490"/>
      <c r="T411" s="490"/>
      <c r="U411" s="263"/>
      <c r="V411" s="493"/>
      <c r="W411" s="267"/>
      <c r="X411" s="263"/>
      <c r="AZ411" s="269" t="s">
        <v>40</v>
      </c>
      <c r="BA411" s="269">
        <v>5</v>
      </c>
    </row>
    <row r="412" spans="1:53" ht="39.950000000000003" customHeight="1">
      <c r="E412" s="264" t="s">
        <v>66</v>
      </c>
      <c r="F412" s="265" t="s">
        <v>65</v>
      </c>
      <c r="G412" s="263"/>
      <c r="H412" s="263"/>
      <c r="I412" s="263"/>
      <c r="J412" s="263"/>
      <c r="K412" s="263"/>
      <c r="L412" s="263"/>
      <c r="M412" s="263"/>
      <c r="N412" s="263"/>
      <c r="O412" s="263"/>
      <c r="P412" s="263"/>
      <c r="Q412" s="263"/>
      <c r="R412" s="263"/>
      <c r="S412" s="263"/>
      <c r="T412" s="263"/>
      <c r="U412" s="263"/>
      <c r="V412" s="263"/>
      <c r="W412" s="267"/>
      <c r="X412" s="263"/>
      <c r="AZ412" s="269" t="s">
        <v>41</v>
      </c>
      <c r="BA412" s="269">
        <v>6</v>
      </c>
    </row>
    <row r="413" spans="1:53" ht="39.950000000000003" customHeight="1">
      <c r="E413" s="271"/>
      <c r="F413" s="272"/>
      <c r="G413" s="263"/>
      <c r="H413" s="263"/>
      <c r="I413" s="263" t="s">
        <v>32</v>
      </c>
      <c r="J413" s="263"/>
      <c r="K413" s="263"/>
      <c r="L413" s="263"/>
      <c r="M413" s="263"/>
      <c r="N413" s="273"/>
      <c r="O413" s="266"/>
      <c r="P413" s="266" t="s">
        <v>34</v>
      </c>
      <c r="Q413" s="266"/>
      <c r="R413" s="266"/>
      <c r="S413" s="266"/>
      <c r="T413" s="266"/>
      <c r="U413" s="263"/>
      <c r="V413" s="263"/>
      <c r="W413" s="267"/>
      <c r="X413" s="263"/>
      <c r="AZ413" s="269" t="s">
        <v>42</v>
      </c>
      <c r="BA413" s="269">
        <v>7</v>
      </c>
    </row>
    <row r="414" spans="1:53" ht="39.950000000000003" customHeight="1">
      <c r="E414" s="264" t="s">
        <v>26</v>
      </c>
      <c r="F414" s="265" t="s">
        <v>42</v>
      </c>
      <c r="G414" s="263"/>
      <c r="H414" s="263"/>
      <c r="I414" s="486"/>
      <c r="J414" s="486"/>
      <c r="K414" s="486"/>
      <c r="L414" s="486"/>
      <c r="M414" s="263"/>
      <c r="N414" s="486" t="str">
        <f>IF(V407&gt;V410,I407,IF(V410&gt;V407,I410,""))</f>
        <v>FEČO Michal</v>
      </c>
      <c r="O414" s="486"/>
      <c r="P414" s="486"/>
      <c r="Q414" s="486"/>
      <c r="R414" s="486"/>
      <c r="S414" s="486"/>
      <c r="T414" s="263"/>
      <c r="U414" s="263"/>
      <c r="V414" s="263"/>
      <c r="W414" s="267"/>
      <c r="X414" s="263"/>
      <c r="AZ414" s="269" t="s">
        <v>43</v>
      </c>
      <c r="BA414" s="269">
        <v>8</v>
      </c>
    </row>
    <row r="415" spans="1:53" ht="39.950000000000003" customHeight="1">
      <c r="E415" s="271"/>
      <c r="F415" s="272"/>
      <c r="G415" s="263"/>
      <c r="H415" s="263"/>
      <c r="I415" s="486"/>
      <c r="J415" s="486"/>
      <c r="K415" s="486"/>
      <c r="L415" s="486"/>
      <c r="M415" s="263"/>
      <c r="N415" s="486"/>
      <c r="O415" s="486"/>
      <c r="P415" s="486"/>
      <c r="Q415" s="486"/>
      <c r="R415" s="486"/>
      <c r="S415" s="486"/>
      <c r="T415" s="263"/>
      <c r="U415" s="263"/>
      <c r="V415" s="263"/>
      <c r="W415" s="267"/>
      <c r="X415" s="263"/>
    </row>
    <row r="416" spans="1:53" ht="39.950000000000003" customHeight="1">
      <c r="E416" s="264" t="s">
        <v>27</v>
      </c>
      <c r="F416" s="274" t="s">
        <v>20</v>
      </c>
      <c r="G416" s="263"/>
      <c r="H416" s="263"/>
      <c r="I416" s="263"/>
      <c r="J416" s="263"/>
      <c r="K416" s="263"/>
      <c r="L416" s="263"/>
      <c r="M416" s="263"/>
      <c r="N416" s="263"/>
      <c r="O416" s="263"/>
      <c r="P416" s="263"/>
      <c r="Q416" s="263"/>
      <c r="R416" s="263"/>
      <c r="S416" s="263"/>
      <c r="T416" s="263"/>
      <c r="U416" s="263"/>
      <c r="V416" s="263"/>
      <c r="W416" s="267"/>
      <c r="X416" s="263"/>
    </row>
    <row r="417" spans="1:53" ht="39.950000000000003" customHeight="1">
      <c r="E417" s="271"/>
      <c r="F417" s="272"/>
      <c r="G417" s="263"/>
      <c r="H417" s="263" t="s">
        <v>33</v>
      </c>
      <c r="I417" s="263"/>
      <c r="J417" s="263"/>
      <c r="K417" s="263"/>
      <c r="L417" s="263"/>
      <c r="M417" s="263"/>
      <c r="N417" s="263"/>
      <c r="O417" s="263"/>
      <c r="P417" s="263"/>
      <c r="Q417" s="263"/>
      <c r="R417" s="263"/>
      <c r="S417" s="263"/>
      <c r="T417" s="263"/>
      <c r="U417" s="263"/>
      <c r="V417" s="263"/>
      <c r="W417" s="267"/>
      <c r="X417" s="263"/>
    </row>
    <row r="418" spans="1:53" ht="39.950000000000003" customHeight="1">
      <c r="E418" s="271"/>
      <c r="F418" s="272"/>
      <c r="G418" s="263"/>
      <c r="H418" s="263"/>
      <c r="I418" s="263"/>
      <c r="J418" s="263"/>
      <c r="K418" s="263"/>
      <c r="L418" s="263"/>
      <c r="M418" s="263"/>
      <c r="N418" s="263"/>
      <c r="O418" s="263"/>
      <c r="P418" s="263"/>
      <c r="Q418" s="263"/>
      <c r="R418" s="263"/>
      <c r="S418" s="263"/>
      <c r="T418" s="263"/>
      <c r="U418" s="263"/>
      <c r="V418" s="263"/>
      <c r="W418" s="267"/>
      <c r="X418" s="263"/>
    </row>
    <row r="419" spans="1:53" ht="39.950000000000003" customHeight="1">
      <c r="E419" s="271"/>
      <c r="F419" s="272"/>
      <c r="G419" s="263"/>
      <c r="H419" s="263"/>
      <c r="I419" s="496" t="str">
        <f>I407</f>
        <v>TUREK Teodor</v>
      </c>
      <c r="J419" s="496"/>
      <c r="K419" s="496"/>
      <c r="L419" s="496"/>
      <c r="M419" s="263"/>
      <c r="N419" s="263"/>
      <c r="O419" s="263"/>
      <c r="P419" s="496" t="str">
        <f>I410</f>
        <v>FEČO Michal</v>
      </c>
      <c r="Q419" s="496"/>
      <c r="R419" s="496"/>
      <c r="S419" s="496"/>
      <c r="T419" s="497"/>
      <c r="U419" s="497"/>
      <c r="V419" s="263"/>
      <c r="W419" s="267"/>
      <c r="X419" s="263"/>
    </row>
    <row r="420" spans="1:53" ht="69.95" customHeight="1">
      <c r="E420" s="264"/>
      <c r="F420" s="265"/>
      <c r="G420" s="263"/>
      <c r="H420" s="275" t="s">
        <v>36</v>
      </c>
      <c r="I420" s="483"/>
      <c r="J420" s="494"/>
      <c r="K420" s="494"/>
      <c r="L420" s="495"/>
      <c r="M420" s="263"/>
      <c r="N420" s="263"/>
      <c r="O420" s="275" t="s">
        <v>36</v>
      </c>
      <c r="P420" s="486"/>
      <c r="Q420" s="486"/>
      <c r="R420" s="486"/>
      <c r="S420" s="486"/>
      <c r="T420" s="486"/>
      <c r="U420" s="486"/>
      <c r="V420" s="263"/>
      <c r="W420" s="267"/>
      <c r="X420" s="263"/>
    </row>
    <row r="421" spans="1:53" ht="69.95" customHeight="1">
      <c r="E421" s="264"/>
      <c r="F421" s="265"/>
      <c r="G421" s="263"/>
      <c r="H421" s="275" t="s">
        <v>37</v>
      </c>
      <c r="I421" s="486"/>
      <c r="J421" s="486"/>
      <c r="K421" s="486"/>
      <c r="L421" s="486"/>
      <c r="M421" s="263"/>
      <c r="N421" s="263"/>
      <c r="O421" s="275" t="s">
        <v>37</v>
      </c>
      <c r="P421" s="486"/>
      <c r="Q421" s="486"/>
      <c r="R421" s="486"/>
      <c r="S421" s="486"/>
      <c r="T421" s="486"/>
      <c r="U421" s="486"/>
      <c r="V421" s="263"/>
      <c r="W421" s="267"/>
      <c r="X421" s="263"/>
    </row>
    <row r="422" spans="1:53" ht="69.95" customHeight="1">
      <c r="E422" s="264"/>
      <c r="F422" s="265"/>
      <c r="G422" s="263"/>
      <c r="H422" s="275" t="s">
        <v>37</v>
      </c>
      <c r="I422" s="486"/>
      <c r="J422" s="486"/>
      <c r="K422" s="486"/>
      <c r="L422" s="486"/>
      <c r="M422" s="263"/>
      <c r="N422" s="263"/>
      <c r="O422" s="275" t="s">
        <v>37</v>
      </c>
      <c r="P422" s="486"/>
      <c r="Q422" s="486"/>
      <c r="R422" s="486"/>
      <c r="S422" s="486"/>
      <c r="T422" s="486"/>
      <c r="U422" s="486"/>
      <c r="V422" s="263"/>
      <c r="W422" s="267"/>
      <c r="X422" s="263"/>
    </row>
    <row r="423" spans="1:53" ht="39.950000000000003" customHeight="1" thickBot="1">
      <c r="E423" s="276"/>
      <c r="F423" s="277"/>
      <c r="G423" s="278"/>
      <c r="H423" s="278"/>
      <c r="I423" s="278"/>
      <c r="J423" s="278"/>
      <c r="K423" s="278"/>
      <c r="L423" s="278"/>
      <c r="M423" s="278"/>
      <c r="N423" s="278"/>
      <c r="O423" s="278"/>
      <c r="P423" s="278"/>
      <c r="Q423" s="278"/>
      <c r="R423" s="278"/>
      <c r="S423" s="278"/>
      <c r="T423" s="279"/>
      <c r="U423" s="279"/>
      <c r="V423" s="279"/>
      <c r="W423" s="280"/>
      <c r="X423" s="263"/>
    </row>
    <row r="424" spans="1:53" ht="62.25" thickBot="1"/>
    <row r="425" spans="1:53" ht="39.950000000000003" customHeight="1">
      <c r="A425" s="252" t="str">
        <f>CONCATENATE(F432,F434,F436)</f>
        <v>CHG2-4</v>
      </c>
      <c r="E425" s="259" t="s">
        <v>70</v>
      </c>
      <c r="F425" s="260">
        <f>VLOOKUP(A425,'zoznam zapasov'!$A$6:$K$77,3,0)</f>
        <v>22</v>
      </c>
      <c r="G425" s="261"/>
      <c r="H425" s="322" t="s">
        <v>501</v>
      </c>
      <c r="I425" s="261"/>
      <c r="J425" s="261"/>
      <c r="K425" s="261"/>
      <c r="L425" s="261"/>
      <c r="M425" s="261"/>
      <c r="N425" s="261"/>
      <c r="O425" s="261"/>
      <c r="P425" s="261"/>
      <c r="Q425" s="261"/>
      <c r="R425" s="261"/>
      <c r="S425" s="261"/>
      <c r="T425" s="261"/>
      <c r="U425" s="261"/>
      <c r="V425" s="261" t="s">
        <v>30</v>
      </c>
      <c r="W425" s="262"/>
      <c r="X425" s="263"/>
      <c r="Z425" s="258" t="str">
        <f>CONCATENATE(V427,":",V430)</f>
        <v>2:3</v>
      </c>
      <c r="AE425" s="253" t="s">
        <v>11</v>
      </c>
      <c r="AV425" s="256" t="str">
        <f>CONCATENATE(AN427,",",AO427,",",AP427,",",AQ427,",",AR427,",",AS427,",",AT427)</f>
        <v>-8,5,10,-8,-5,,</v>
      </c>
    </row>
    <row r="426" spans="1:53" ht="39.950000000000003" customHeight="1">
      <c r="E426" s="264"/>
      <c r="F426" s="265"/>
      <c r="G426" s="321" t="s">
        <v>500</v>
      </c>
      <c r="H426" s="323" t="s">
        <v>502</v>
      </c>
      <c r="I426" s="263"/>
      <c r="J426" s="263"/>
      <c r="K426" s="263"/>
      <c r="L426" s="263"/>
      <c r="M426" s="263"/>
      <c r="N426" s="266">
        <v>1</v>
      </c>
      <c r="O426" s="266">
        <v>2</v>
      </c>
      <c r="P426" s="266">
        <v>3</v>
      </c>
      <c r="Q426" s="266">
        <v>4</v>
      </c>
      <c r="R426" s="266">
        <v>5</v>
      </c>
      <c r="S426" s="266">
        <v>6</v>
      </c>
      <c r="T426" s="266">
        <v>7</v>
      </c>
      <c r="U426" s="263"/>
      <c r="V426" s="266" t="s">
        <v>31</v>
      </c>
      <c r="W426" s="267"/>
      <c r="X426" s="263"/>
      <c r="AE426" s="253" t="s">
        <v>68</v>
      </c>
      <c r="AV426" s="256" t="str">
        <f>CONCATENATE(AN428,",",AO428,",",AP428,",",AQ428,",",AR428,",",AS428,",",AT428)</f>
        <v>8,-5,-10,8,5,,</v>
      </c>
    </row>
    <row r="427" spans="1:53" ht="39.950000000000003" customHeight="1">
      <c r="A427" s="252" t="str">
        <f>CONCATENATE(F432,VLOOKUP(F434,$AZ$7:$BA$14,2,0),LEFT(F436,1))</f>
        <v>CH72</v>
      </c>
      <c r="E427" s="264" t="s">
        <v>29</v>
      </c>
      <c r="F427" s="265">
        <f>VLOOKUP(A425,'zoznam zapasov'!$A$6:$K$77,11,0)</f>
        <v>6</v>
      </c>
      <c r="G427" s="508"/>
      <c r="H427" s="495"/>
      <c r="I427" s="487" t="str">
        <f>IF(ISERROR(VLOOKUP(A427,vylosovanie!$A$8:$J$68,6,0))=TRUE,"",VLOOKUP(A427,vylosovanie!$A$8:$J$68,6,0))</f>
        <v>JALOVECKÝ Marek</v>
      </c>
      <c r="J427" s="487"/>
      <c r="K427" s="487"/>
      <c r="L427" s="487"/>
      <c r="M427" s="263"/>
      <c r="N427" s="489">
        <v>8</v>
      </c>
      <c r="O427" s="489">
        <v>11</v>
      </c>
      <c r="P427" s="489">
        <v>12</v>
      </c>
      <c r="Q427" s="489">
        <v>8</v>
      </c>
      <c r="R427" s="489">
        <v>5</v>
      </c>
      <c r="S427" s="489"/>
      <c r="T427" s="489"/>
      <c r="U427" s="263"/>
      <c r="V427" s="493">
        <f>IF(SUM(AF427:AL428)=0,"",SUM(AF427:AL427))</f>
        <v>2</v>
      </c>
      <c r="W427" s="267"/>
      <c r="X427" s="263"/>
      <c r="AE427" s="253" t="str">
        <f>VLOOKUP(I427,vylosovanie!$F$8:$L$190,7,0)</f>
        <v>CH72</v>
      </c>
      <c r="AF427" s="268">
        <f>IF(N427&gt;N430,1,0)</f>
        <v>0</v>
      </c>
      <c r="AG427" s="268">
        <f t="shared" ref="AG427" si="284">IF(O427&gt;O430,1,0)</f>
        <v>1</v>
      </c>
      <c r="AH427" s="268">
        <f t="shared" ref="AH427" si="285">IF(P427&gt;P430,1,0)</f>
        <v>1</v>
      </c>
      <c r="AI427" s="268">
        <f t="shared" ref="AI427" si="286">IF(Q427&gt;Q430,1,0)</f>
        <v>0</v>
      </c>
      <c r="AJ427" s="268">
        <f t="shared" ref="AJ427" si="287">IF(R427&gt;R430,1,0)</f>
        <v>0</v>
      </c>
      <c r="AK427" s="268">
        <f t="shared" ref="AK427" si="288">IF(S427&gt;S430,1,0)</f>
        <v>0</v>
      </c>
      <c r="AL427" s="268">
        <f t="shared" ref="AL427" si="289">IF(T427&gt;T430,1,0)</f>
        <v>0</v>
      </c>
      <c r="AN427" s="268">
        <f t="shared" ref="AN427:AT427" si="290">IF(ISBLANK(N427)=TRUE,"",IF(AF427=1,N430,-N427))</f>
        <v>-8</v>
      </c>
      <c r="AO427" s="268">
        <f t="shared" si="290"/>
        <v>5</v>
      </c>
      <c r="AP427" s="268">
        <f t="shared" si="290"/>
        <v>10</v>
      </c>
      <c r="AQ427" s="268">
        <f t="shared" si="290"/>
        <v>-8</v>
      </c>
      <c r="AR427" s="268">
        <f t="shared" si="290"/>
        <v>-5</v>
      </c>
      <c r="AS427" s="268" t="str">
        <f t="shared" si="290"/>
        <v/>
      </c>
      <c r="AT427" s="268" t="str">
        <f t="shared" si="290"/>
        <v/>
      </c>
      <c r="AZ427" s="269" t="s">
        <v>12</v>
      </c>
      <c r="BA427" s="269">
        <v>1</v>
      </c>
    </row>
    <row r="428" spans="1:53" ht="39.950000000000003" customHeight="1">
      <c r="E428" s="264"/>
      <c r="F428" s="265"/>
      <c r="G428" s="509"/>
      <c r="H428" s="495"/>
      <c r="I428" s="487"/>
      <c r="J428" s="487"/>
      <c r="K428" s="487"/>
      <c r="L428" s="487"/>
      <c r="M428" s="263"/>
      <c r="N428" s="490"/>
      <c r="O428" s="490"/>
      <c r="P428" s="490"/>
      <c r="Q428" s="490"/>
      <c r="R428" s="490"/>
      <c r="S428" s="490"/>
      <c r="T428" s="490"/>
      <c r="U428" s="263"/>
      <c r="V428" s="493"/>
      <c r="W428" s="267"/>
      <c r="X428" s="263"/>
      <c r="AE428" s="253" t="str">
        <f>VLOOKUP(I430,vylosovanie!$F$8:$L$190,7,0)</f>
        <v>CH74</v>
      </c>
      <c r="AF428" s="268">
        <f>IF(N430&gt;N427,1,0)</f>
        <v>1</v>
      </c>
      <c r="AG428" s="268">
        <f t="shared" ref="AG428" si="291">IF(O430&gt;O427,1,0)</f>
        <v>0</v>
      </c>
      <c r="AH428" s="268">
        <f t="shared" ref="AH428" si="292">IF(P430&gt;P427,1,0)</f>
        <v>0</v>
      </c>
      <c r="AI428" s="268">
        <f t="shared" ref="AI428" si="293">IF(Q430&gt;Q427,1,0)</f>
        <v>1</v>
      </c>
      <c r="AJ428" s="268">
        <f t="shared" ref="AJ428" si="294">IF(R430&gt;R427,1,0)</f>
        <v>1</v>
      </c>
      <c r="AK428" s="268">
        <f t="shared" ref="AK428" si="295">IF(S430&gt;S427,1,0)</f>
        <v>0</v>
      </c>
      <c r="AL428" s="268">
        <f t="shared" ref="AL428" si="296">IF(T430&gt;T427,1,0)</f>
        <v>0</v>
      </c>
      <c r="AN428" s="268">
        <f t="shared" ref="AN428:AT428" si="297">IF(ISBLANK(N430)=TRUE,"",IF(AF428=1,N427,-N430))</f>
        <v>8</v>
      </c>
      <c r="AO428" s="268">
        <f t="shared" si="297"/>
        <v>-5</v>
      </c>
      <c r="AP428" s="268">
        <f t="shared" si="297"/>
        <v>-10</v>
      </c>
      <c r="AQ428" s="268">
        <f t="shared" si="297"/>
        <v>8</v>
      </c>
      <c r="AR428" s="268">
        <f t="shared" si="297"/>
        <v>5</v>
      </c>
      <c r="AS428" s="268" t="str">
        <f t="shared" si="297"/>
        <v/>
      </c>
      <c r="AT428" s="268" t="str">
        <f t="shared" si="297"/>
        <v/>
      </c>
      <c r="AZ428" s="269" t="s">
        <v>18</v>
      </c>
      <c r="BA428" s="269">
        <v>2</v>
      </c>
    </row>
    <row r="429" spans="1:53" ht="39.950000000000003" customHeight="1">
      <c r="E429" s="264" t="s">
        <v>35</v>
      </c>
      <c r="F429" s="265" t="str">
        <f>VLOOKUP(A425,'zoznam zapasov'!$A$6:$K$77,9,0)</f>
        <v>So</v>
      </c>
      <c r="G429" s="263"/>
      <c r="H429" s="263"/>
      <c r="I429" s="263"/>
      <c r="J429" s="263"/>
      <c r="K429" s="263"/>
      <c r="L429" s="263"/>
      <c r="M429" s="263"/>
      <c r="N429" s="263"/>
      <c r="O429" s="263"/>
      <c r="P429" s="263"/>
      <c r="Q429" s="263"/>
      <c r="R429" s="263"/>
      <c r="S429" s="263"/>
      <c r="T429" s="263"/>
      <c r="U429" s="263"/>
      <c r="V429" s="263"/>
      <c r="W429" s="267"/>
      <c r="X429" s="263"/>
      <c r="AZ429" s="269" t="s">
        <v>38</v>
      </c>
      <c r="BA429" s="269">
        <v>3</v>
      </c>
    </row>
    <row r="430" spans="1:53" ht="39.950000000000003" customHeight="1">
      <c r="A430" s="252" t="str">
        <f>CONCATENATE(F432,VLOOKUP(F434,$AZ$7:$BA$14,2,0),RIGHT(F436,1))</f>
        <v>CH74</v>
      </c>
      <c r="E430" s="264" t="s">
        <v>28</v>
      </c>
      <c r="F430" s="270" t="str">
        <f>VLOOKUP(A425,'zoznam zapasov'!$A$6:$K$77,10,0)</f>
        <v>10.20</v>
      </c>
      <c r="G430" s="508"/>
      <c r="H430" s="486"/>
      <c r="I430" s="487" t="str">
        <f>IF(ISERROR(VLOOKUP(A430,vylosovanie!$A$8:$J$68,6,0))=TRUE,"",VLOOKUP(A430,vylosovanie!$A$8:$J$68,6,0))</f>
        <v>GREGOR Jakub</v>
      </c>
      <c r="J430" s="487"/>
      <c r="K430" s="487"/>
      <c r="L430" s="487"/>
      <c r="M430" s="263"/>
      <c r="N430" s="489">
        <v>11</v>
      </c>
      <c r="O430" s="489">
        <v>5</v>
      </c>
      <c r="P430" s="489">
        <v>10</v>
      </c>
      <c r="Q430" s="489">
        <v>11</v>
      </c>
      <c r="R430" s="489">
        <v>11</v>
      </c>
      <c r="S430" s="489"/>
      <c r="T430" s="489"/>
      <c r="U430" s="263"/>
      <c r="V430" s="493">
        <f>IF(SUM(AF427:AL428)=0,"",SUM(AF428:AL428))</f>
        <v>3</v>
      </c>
      <c r="W430" s="267"/>
      <c r="X430" s="263"/>
      <c r="AZ430" s="269" t="s">
        <v>39</v>
      </c>
      <c r="BA430" s="269">
        <v>4</v>
      </c>
    </row>
    <row r="431" spans="1:53" ht="39.950000000000003" customHeight="1">
      <c r="E431" s="271"/>
      <c r="F431" s="272"/>
      <c r="G431" s="509"/>
      <c r="H431" s="486"/>
      <c r="I431" s="487"/>
      <c r="J431" s="487"/>
      <c r="K431" s="487"/>
      <c r="L431" s="487"/>
      <c r="M431" s="263"/>
      <c r="N431" s="490"/>
      <c r="O431" s="490"/>
      <c r="P431" s="490"/>
      <c r="Q431" s="490"/>
      <c r="R431" s="490"/>
      <c r="S431" s="490"/>
      <c r="T431" s="490"/>
      <c r="U431" s="263"/>
      <c r="V431" s="493"/>
      <c r="W431" s="267"/>
      <c r="X431" s="263"/>
      <c r="AZ431" s="269" t="s">
        <v>40</v>
      </c>
      <c r="BA431" s="269">
        <v>5</v>
      </c>
    </row>
    <row r="432" spans="1:53" ht="39.950000000000003" customHeight="1">
      <c r="E432" s="264" t="s">
        <v>66</v>
      </c>
      <c r="F432" s="265" t="s">
        <v>65</v>
      </c>
      <c r="G432" s="263"/>
      <c r="H432" s="263"/>
      <c r="I432" s="263"/>
      <c r="J432" s="263"/>
      <c r="K432" s="263"/>
      <c r="L432" s="263"/>
      <c r="M432" s="263"/>
      <c r="N432" s="263"/>
      <c r="O432" s="263"/>
      <c r="P432" s="263"/>
      <c r="Q432" s="263"/>
      <c r="R432" s="263"/>
      <c r="S432" s="263"/>
      <c r="T432" s="263"/>
      <c r="U432" s="263"/>
      <c r="V432" s="263"/>
      <c r="W432" s="267"/>
      <c r="X432" s="263"/>
      <c r="AZ432" s="269" t="s">
        <v>41</v>
      </c>
      <c r="BA432" s="269">
        <v>6</v>
      </c>
    </row>
    <row r="433" spans="1:53" ht="39.950000000000003" customHeight="1">
      <c r="E433" s="271"/>
      <c r="F433" s="272"/>
      <c r="G433" s="263"/>
      <c r="H433" s="263"/>
      <c r="I433" s="263" t="s">
        <v>32</v>
      </c>
      <c r="J433" s="263"/>
      <c r="K433" s="263"/>
      <c r="L433" s="263"/>
      <c r="M433" s="263"/>
      <c r="N433" s="273"/>
      <c r="O433" s="266"/>
      <c r="P433" s="266" t="s">
        <v>34</v>
      </c>
      <c r="Q433" s="266"/>
      <c r="R433" s="266"/>
      <c r="S433" s="266"/>
      <c r="T433" s="266"/>
      <c r="U433" s="263"/>
      <c r="V433" s="263"/>
      <c r="W433" s="267"/>
      <c r="X433" s="263"/>
      <c r="AZ433" s="269" t="s">
        <v>42</v>
      </c>
      <c r="BA433" s="269">
        <v>7</v>
      </c>
    </row>
    <row r="434" spans="1:53" ht="39.950000000000003" customHeight="1">
      <c r="E434" s="264" t="s">
        <v>26</v>
      </c>
      <c r="F434" s="265" t="s">
        <v>42</v>
      </c>
      <c r="G434" s="263"/>
      <c r="H434" s="263"/>
      <c r="I434" s="486"/>
      <c r="J434" s="486"/>
      <c r="K434" s="486"/>
      <c r="L434" s="486"/>
      <c r="M434" s="263"/>
      <c r="N434" s="486" t="str">
        <f>IF(V427&gt;V430,I427,IF(V430&gt;V427,I430,""))</f>
        <v>GREGOR Jakub</v>
      </c>
      <c r="O434" s="486"/>
      <c r="P434" s="486"/>
      <c r="Q434" s="486"/>
      <c r="R434" s="486"/>
      <c r="S434" s="486"/>
      <c r="T434" s="263"/>
      <c r="U434" s="263"/>
      <c r="V434" s="263"/>
      <c r="W434" s="267"/>
      <c r="X434" s="263"/>
      <c r="AZ434" s="269" t="s">
        <v>43</v>
      </c>
      <c r="BA434" s="269">
        <v>8</v>
      </c>
    </row>
    <row r="435" spans="1:53" ht="39.950000000000003" customHeight="1">
      <c r="E435" s="271"/>
      <c r="F435" s="272"/>
      <c r="G435" s="263"/>
      <c r="H435" s="263"/>
      <c r="I435" s="486"/>
      <c r="J435" s="486"/>
      <c r="K435" s="486"/>
      <c r="L435" s="486"/>
      <c r="M435" s="263"/>
      <c r="N435" s="486"/>
      <c r="O435" s="486"/>
      <c r="P435" s="486"/>
      <c r="Q435" s="486"/>
      <c r="R435" s="486"/>
      <c r="S435" s="486"/>
      <c r="T435" s="263"/>
      <c r="U435" s="263"/>
      <c r="V435" s="263"/>
      <c r="W435" s="267"/>
      <c r="X435" s="263"/>
    </row>
    <row r="436" spans="1:53" ht="39.950000000000003" customHeight="1">
      <c r="E436" s="264" t="s">
        <v>27</v>
      </c>
      <c r="F436" s="274" t="s">
        <v>21</v>
      </c>
      <c r="G436" s="263"/>
      <c r="H436" s="263"/>
      <c r="I436" s="263"/>
      <c r="J436" s="263"/>
      <c r="K436" s="263"/>
      <c r="L436" s="263"/>
      <c r="M436" s="263"/>
      <c r="N436" s="263"/>
      <c r="O436" s="263"/>
      <c r="P436" s="263"/>
      <c r="Q436" s="263"/>
      <c r="R436" s="263"/>
      <c r="S436" s="263"/>
      <c r="T436" s="263"/>
      <c r="U436" s="263"/>
      <c r="V436" s="263"/>
      <c r="W436" s="267"/>
      <c r="X436" s="263"/>
    </row>
    <row r="437" spans="1:53" ht="39.950000000000003" customHeight="1">
      <c r="E437" s="271"/>
      <c r="F437" s="272"/>
      <c r="G437" s="263"/>
      <c r="H437" s="263" t="s">
        <v>33</v>
      </c>
      <c r="I437" s="263"/>
      <c r="J437" s="263"/>
      <c r="K437" s="263"/>
      <c r="L437" s="263"/>
      <c r="M437" s="263"/>
      <c r="N437" s="263"/>
      <c r="O437" s="263"/>
      <c r="P437" s="263"/>
      <c r="Q437" s="263"/>
      <c r="R437" s="263"/>
      <c r="S437" s="263"/>
      <c r="T437" s="263"/>
      <c r="U437" s="263"/>
      <c r="V437" s="263"/>
      <c r="W437" s="267"/>
      <c r="X437" s="263"/>
    </row>
    <row r="438" spans="1:53" ht="39.950000000000003" customHeight="1">
      <c r="E438" s="271"/>
      <c r="F438" s="272"/>
      <c r="G438" s="263"/>
      <c r="H438" s="263"/>
      <c r="I438" s="263"/>
      <c r="J438" s="263"/>
      <c r="K438" s="263"/>
      <c r="L438" s="263"/>
      <c r="M438" s="263"/>
      <c r="N438" s="263"/>
      <c r="O438" s="263"/>
      <c r="P438" s="263"/>
      <c r="Q438" s="263"/>
      <c r="R438" s="263"/>
      <c r="S438" s="263"/>
      <c r="T438" s="263"/>
      <c r="U438" s="263"/>
      <c r="V438" s="263"/>
      <c r="W438" s="267"/>
      <c r="X438" s="263"/>
    </row>
    <row r="439" spans="1:53" ht="39.950000000000003" customHeight="1">
      <c r="E439" s="271"/>
      <c r="F439" s="272"/>
      <c r="G439" s="263"/>
      <c r="H439" s="263"/>
      <c r="I439" s="496" t="str">
        <f>I427</f>
        <v>JALOVECKÝ Marek</v>
      </c>
      <c r="J439" s="496"/>
      <c r="K439" s="496"/>
      <c r="L439" s="496"/>
      <c r="M439" s="263"/>
      <c r="N439" s="263"/>
      <c r="O439" s="263"/>
      <c r="P439" s="496" t="str">
        <f>I430</f>
        <v>GREGOR Jakub</v>
      </c>
      <c r="Q439" s="496"/>
      <c r="R439" s="496"/>
      <c r="S439" s="496"/>
      <c r="T439" s="497"/>
      <c r="U439" s="497"/>
      <c r="V439" s="263"/>
      <c r="W439" s="267"/>
      <c r="X439" s="263"/>
    </row>
    <row r="440" spans="1:53" ht="69.95" customHeight="1">
      <c r="E440" s="264"/>
      <c r="F440" s="265"/>
      <c r="G440" s="263"/>
      <c r="H440" s="275" t="s">
        <v>36</v>
      </c>
      <c r="I440" s="483"/>
      <c r="J440" s="494"/>
      <c r="K440" s="494"/>
      <c r="L440" s="495"/>
      <c r="M440" s="263"/>
      <c r="N440" s="263"/>
      <c r="O440" s="275" t="s">
        <v>36</v>
      </c>
      <c r="P440" s="486"/>
      <c r="Q440" s="486"/>
      <c r="R440" s="486"/>
      <c r="S440" s="486"/>
      <c r="T440" s="486"/>
      <c r="U440" s="486"/>
      <c r="V440" s="263"/>
      <c r="W440" s="267"/>
      <c r="X440" s="263"/>
    </row>
    <row r="441" spans="1:53" ht="69.95" customHeight="1">
      <c r="E441" s="264"/>
      <c r="F441" s="265"/>
      <c r="G441" s="263"/>
      <c r="H441" s="275" t="s">
        <v>37</v>
      </c>
      <c r="I441" s="486"/>
      <c r="J441" s="486"/>
      <c r="K441" s="486"/>
      <c r="L441" s="486"/>
      <c r="M441" s="263"/>
      <c r="N441" s="263"/>
      <c r="O441" s="275" t="s">
        <v>37</v>
      </c>
      <c r="P441" s="486"/>
      <c r="Q441" s="486"/>
      <c r="R441" s="486"/>
      <c r="S441" s="486"/>
      <c r="T441" s="486"/>
      <c r="U441" s="486"/>
      <c r="V441" s="263"/>
      <c r="W441" s="267"/>
      <c r="X441" s="263"/>
    </row>
    <row r="442" spans="1:53" ht="69.95" customHeight="1">
      <c r="E442" s="264"/>
      <c r="F442" s="265"/>
      <c r="G442" s="263"/>
      <c r="H442" s="275" t="s">
        <v>37</v>
      </c>
      <c r="I442" s="486"/>
      <c r="J442" s="486"/>
      <c r="K442" s="486"/>
      <c r="L442" s="486"/>
      <c r="M442" s="263"/>
      <c r="N442" s="263"/>
      <c r="O442" s="275" t="s">
        <v>37</v>
      </c>
      <c r="P442" s="486"/>
      <c r="Q442" s="486"/>
      <c r="R442" s="486"/>
      <c r="S442" s="486"/>
      <c r="T442" s="486"/>
      <c r="U442" s="486"/>
      <c r="V442" s="263"/>
      <c r="W442" s="267"/>
      <c r="X442" s="263"/>
    </row>
    <row r="443" spans="1:53" ht="39.950000000000003" customHeight="1" thickBot="1">
      <c r="E443" s="276"/>
      <c r="F443" s="277"/>
      <c r="G443" s="278"/>
      <c r="H443" s="278"/>
      <c r="I443" s="278"/>
      <c r="J443" s="278"/>
      <c r="K443" s="278"/>
      <c r="L443" s="278"/>
      <c r="M443" s="278"/>
      <c r="N443" s="278"/>
      <c r="O443" s="278"/>
      <c r="P443" s="278"/>
      <c r="Q443" s="278"/>
      <c r="R443" s="278"/>
      <c r="S443" s="278"/>
      <c r="T443" s="279"/>
      <c r="U443" s="279"/>
      <c r="V443" s="279"/>
      <c r="W443" s="280"/>
      <c r="X443" s="263"/>
    </row>
    <row r="444" spans="1:53" ht="62.25" thickBot="1"/>
    <row r="445" spans="1:53" ht="39.950000000000003" customHeight="1">
      <c r="A445" s="252" t="str">
        <f>CONCATENATE(F452,F454,F456)</f>
        <v>CHH1-3</v>
      </c>
      <c r="E445" s="259" t="s">
        <v>70</v>
      </c>
      <c r="F445" s="260">
        <f>VLOOKUP(A445,'zoznam zapasov'!$A$6:$K$77,3,0)</f>
        <v>23</v>
      </c>
      <c r="G445" s="261"/>
      <c r="H445" s="322" t="s">
        <v>501</v>
      </c>
      <c r="I445" s="261"/>
      <c r="J445" s="261"/>
      <c r="K445" s="261"/>
      <c r="L445" s="261"/>
      <c r="M445" s="261"/>
      <c r="N445" s="261"/>
      <c r="O445" s="261"/>
      <c r="P445" s="261"/>
      <c r="Q445" s="261"/>
      <c r="R445" s="261"/>
      <c r="S445" s="261"/>
      <c r="T445" s="261"/>
      <c r="U445" s="261"/>
      <c r="V445" s="261" t="s">
        <v>30</v>
      </c>
      <c r="W445" s="262"/>
      <c r="X445" s="263"/>
      <c r="Z445" s="258" t="str">
        <f>CONCATENATE(V447,":",V450)</f>
        <v>2:3</v>
      </c>
      <c r="AE445" s="253" t="s">
        <v>11</v>
      </c>
      <c r="AV445" s="256" t="str">
        <f>CONCATENATE(AN447,",",AO447,",",AP447,",",AQ447,",",AR447,",",AS447,",",AT447)</f>
        <v>-1,-4,2,9,-7,,</v>
      </c>
    </row>
    <row r="446" spans="1:53" ht="39.950000000000003" customHeight="1">
      <c r="E446" s="264"/>
      <c r="F446" s="265"/>
      <c r="G446" s="321" t="s">
        <v>500</v>
      </c>
      <c r="H446" s="323" t="s">
        <v>502</v>
      </c>
      <c r="I446" s="263"/>
      <c r="J446" s="263"/>
      <c r="K446" s="263"/>
      <c r="L446" s="263"/>
      <c r="M446" s="263"/>
      <c r="N446" s="266">
        <v>1</v>
      </c>
      <c r="O446" s="266">
        <v>2</v>
      </c>
      <c r="P446" s="266">
        <v>3</v>
      </c>
      <c r="Q446" s="266">
        <v>4</v>
      </c>
      <c r="R446" s="266">
        <v>5</v>
      </c>
      <c r="S446" s="266">
        <v>6</v>
      </c>
      <c r="T446" s="266">
        <v>7</v>
      </c>
      <c r="U446" s="263"/>
      <c r="V446" s="266" t="s">
        <v>31</v>
      </c>
      <c r="W446" s="267"/>
      <c r="X446" s="263"/>
      <c r="AE446" s="253" t="s">
        <v>68</v>
      </c>
      <c r="AV446" s="256" t="str">
        <f>CONCATENATE(AN448,",",AO448,",",AP448,",",AQ448,",",AR448,",",AS448,",",AT448)</f>
        <v>1,4,-2,-9,7,,</v>
      </c>
    </row>
    <row r="447" spans="1:53" ht="39.950000000000003" customHeight="1">
      <c r="A447" s="252" t="str">
        <f>CONCATENATE(F452,VLOOKUP(F454,$AZ$7:$BA$14,2,0),LEFT(F456,1))</f>
        <v>CH81</v>
      </c>
      <c r="E447" s="264" t="s">
        <v>29</v>
      </c>
      <c r="F447" s="265">
        <f>VLOOKUP(A445,'zoznam zapasov'!$A$6:$K$77,11,0)</f>
        <v>7</v>
      </c>
      <c r="G447" s="508"/>
      <c r="H447" s="495"/>
      <c r="I447" s="487" t="str">
        <f>IF(ISERROR(VLOOKUP(A447,vylosovanie!$A$8:$J$68,6,0))=TRUE,"",VLOOKUP(A447,vylosovanie!$A$8:$J$68,6,0))</f>
        <v>PAPÁNEK Martin</v>
      </c>
      <c r="J447" s="487"/>
      <c r="K447" s="487"/>
      <c r="L447" s="487"/>
      <c r="M447" s="263"/>
      <c r="N447" s="489">
        <v>1</v>
      </c>
      <c r="O447" s="489">
        <v>4</v>
      </c>
      <c r="P447" s="489">
        <v>11</v>
      </c>
      <c r="Q447" s="489">
        <v>11</v>
      </c>
      <c r="R447" s="489">
        <v>7</v>
      </c>
      <c r="S447" s="489"/>
      <c r="T447" s="489"/>
      <c r="U447" s="263"/>
      <c r="V447" s="493">
        <f>IF(SUM(AF447:AL448)=0,"",SUM(AF447:AL447))</f>
        <v>2</v>
      </c>
      <c r="W447" s="267"/>
      <c r="X447" s="263"/>
      <c r="AE447" s="253" t="str">
        <f>VLOOKUP(I447,vylosovanie!$F$8:$L$190,7,0)</f>
        <v>CH81</v>
      </c>
      <c r="AF447" s="268">
        <f>IF(N447&gt;N450,1,0)</f>
        <v>0</v>
      </c>
      <c r="AG447" s="268">
        <f t="shared" ref="AG447" si="298">IF(O447&gt;O450,1,0)</f>
        <v>0</v>
      </c>
      <c r="AH447" s="268">
        <f t="shared" ref="AH447" si="299">IF(P447&gt;P450,1,0)</f>
        <v>1</v>
      </c>
      <c r="AI447" s="268">
        <f t="shared" ref="AI447" si="300">IF(Q447&gt;Q450,1,0)</f>
        <v>1</v>
      </c>
      <c r="AJ447" s="268">
        <f t="shared" ref="AJ447" si="301">IF(R447&gt;R450,1,0)</f>
        <v>0</v>
      </c>
      <c r="AK447" s="268">
        <f t="shared" ref="AK447" si="302">IF(S447&gt;S450,1,0)</f>
        <v>0</v>
      </c>
      <c r="AL447" s="268">
        <f t="shared" ref="AL447" si="303">IF(T447&gt;T450,1,0)</f>
        <v>0</v>
      </c>
      <c r="AN447" s="268">
        <f t="shared" ref="AN447:AT447" si="304">IF(ISBLANK(N447)=TRUE,"",IF(AF447=1,N450,-N447))</f>
        <v>-1</v>
      </c>
      <c r="AO447" s="268">
        <f t="shared" si="304"/>
        <v>-4</v>
      </c>
      <c r="AP447" s="268">
        <f t="shared" si="304"/>
        <v>2</v>
      </c>
      <c r="AQ447" s="268">
        <f t="shared" si="304"/>
        <v>9</v>
      </c>
      <c r="AR447" s="268">
        <f t="shared" si="304"/>
        <v>-7</v>
      </c>
      <c r="AS447" s="268" t="str">
        <f t="shared" si="304"/>
        <v/>
      </c>
      <c r="AT447" s="268" t="str">
        <f t="shared" si="304"/>
        <v/>
      </c>
      <c r="AZ447" s="269" t="s">
        <v>12</v>
      </c>
      <c r="BA447" s="269">
        <v>1</v>
      </c>
    </row>
    <row r="448" spans="1:53" ht="39.950000000000003" customHeight="1">
      <c r="E448" s="264"/>
      <c r="F448" s="265"/>
      <c r="G448" s="509"/>
      <c r="H448" s="495"/>
      <c r="I448" s="487"/>
      <c r="J448" s="487"/>
      <c r="K448" s="487"/>
      <c r="L448" s="487"/>
      <c r="M448" s="263"/>
      <c r="N448" s="490"/>
      <c r="O448" s="490"/>
      <c r="P448" s="490"/>
      <c r="Q448" s="490"/>
      <c r="R448" s="490"/>
      <c r="S448" s="490"/>
      <c r="T448" s="490"/>
      <c r="U448" s="263"/>
      <c r="V448" s="493"/>
      <c r="W448" s="267"/>
      <c r="X448" s="263"/>
      <c r="AE448" s="253" t="str">
        <f>VLOOKUP(I450,vylosovanie!$F$8:$L$190,7,0)</f>
        <v>CH83</v>
      </c>
      <c r="AF448" s="268">
        <f>IF(N450&gt;N447,1,0)</f>
        <v>1</v>
      </c>
      <c r="AG448" s="268">
        <f t="shared" ref="AG448" si="305">IF(O450&gt;O447,1,0)</f>
        <v>1</v>
      </c>
      <c r="AH448" s="268">
        <f t="shared" ref="AH448" si="306">IF(P450&gt;P447,1,0)</f>
        <v>0</v>
      </c>
      <c r="AI448" s="268">
        <f t="shared" ref="AI448" si="307">IF(Q450&gt;Q447,1,0)</f>
        <v>0</v>
      </c>
      <c r="AJ448" s="268">
        <f t="shared" ref="AJ448" si="308">IF(R450&gt;R447,1,0)</f>
        <v>1</v>
      </c>
      <c r="AK448" s="268">
        <f t="shared" ref="AK448" si="309">IF(S450&gt;S447,1,0)</f>
        <v>0</v>
      </c>
      <c r="AL448" s="268">
        <f t="shared" ref="AL448" si="310">IF(T450&gt;T447,1,0)</f>
        <v>0</v>
      </c>
      <c r="AN448" s="268">
        <f t="shared" ref="AN448:AT448" si="311">IF(ISBLANK(N450)=TRUE,"",IF(AF448=1,N447,-N450))</f>
        <v>1</v>
      </c>
      <c r="AO448" s="268">
        <f t="shared" si="311"/>
        <v>4</v>
      </c>
      <c r="AP448" s="268">
        <f t="shared" si="311"/>
        <v>-2</v>
      </c>
      <c r="AQ448" s="268">
        <f t="shared" si="311"/>
        <v>-9</v>
      </c>
      <c r="AR448" s="268">
        <f t="shared" si="311"/>
        <v>7</v>
      </c>
      <c r="AS448" s="268" t="str">
        <f t="shared" si="311"/>
        <v/>
      </c>
      <c r="AT448" s="268" t="str">
        <f t="shared" si="311"/>
        <v/>
      </c>
      <c r="AZ448" s="269" t="s">
        <v>18</v>
      </c>
      <c r="BA448" s="269">
        <v>2</v>
      </c>
    </row>
    <row r="449" spans="1:53" ht="39.950000000000003" customHeight="1">
      <c r="E449" s="264" t="s">
        <v>35</v>
      </c>
      <c r="F449" s="265" t="str">
        <f>VLOOKUP(A445,'zoznam zapasov'!$A$6:$K$77,9,0)</f>
        <v>So</v>
      </c>
      <c r="G449" s="263"/>
      <c r="H449" s="263"/>
      <c r="I449" s="263"/>
      <c r="J449" s="263"/>
      <c r="K449" s="263"/>
      <c r="L449" s="263"/>
      <c r="M449" s="263"/>
      <c r="N449" s="263"/>
      <c r="O449" s="263"/>
      <c r="P449" s="263"/>
      <c r="Q449" s="263"/>
      <c r="R449" s="263"/>
      <c r="S449" s="263"/>
      <c r="T449" s="263"/>
      <c r="U449" s="263"/>
      <c r="V449" s="263"/>
      <c r="W449" s="267"/>
      <c r="X449" s="263"/>
      <c r="AZ449" s="269" t="s">
        <v>38</v>
      </c>
      <c r="BA449" s="269">
        <v>3</v>
      </c>
    </row>
    <row r="450" spans="1:53" ht="39.950000000000003" customHeight="1">
      <c r="A450" s="252" t="str">
        <f>CONCATENATE(F452,VLOOKUP(F454,$AZ$7:$BA$14,2,0),RIGHT(F456,1))</f>
        <v>CH83</v>
      </c>
      <c r="E450" s="264" t="s">
        <v>28</v>
      </c>
      <c r="F450" s="270" t="str">
        <f>VLOOKUP(A445,'zoznam zapasov'!$A$6:$K$77,10,0)</f>
        <v>10.20</v>
      </c>
      <c r="G450" s="508"/>
      <c r="H450" s="486"/>
      <c r="I450" s="487" t="str">
        <f>IF(ISERROR(VLOOKUP(A450,vylosovanie!$A$8:$J$68,6,0))=TRUE,"",VLOOKUP(A450,vylosovanie!$A$8:$J$68,6,0))</f>
        <v>MAKÚCH Damian</v>
      </c>
      <c r="J450" s="487"/>
      <c r="K450" s="487"/>
      <c r="L450" s="487"/>
      <c r="M450" s="263"/>
      <c r="N450" s="489">
        <v>11</v>
      </c>
      <c r="O450" s="489">
        <v>11</v>
      </c>
      <c r="P450" s="489">
        <v>2</v>
      </c>
      <c r="Q450" s="489">
        <v>9</v>
      </c>
      <c r="R450" s="489">
        <v>11</v>
      </c>
      <c r="S450" s="489"/>
      <c r="T450" s="489"/>
      <c r="U450" s="263"/>
      <c r="V450" s="493">
        <f>IF(SUM(AF447:AL448)=0,"",SUM(AF448:AL448))</f>
        <v>3</v>
      </c>
      <c r="W450" s="267"/>
      <c r="X450" s="263"/>
      <c r="AZ450" s="269" t="s">
        <v>39</v>
      </c>
      <c r="BA450" s="269">
        <v>4</v>
      </c>
    </row>
    <row r="451" spans="1:53" ht="39.950000000000003" customHeight="1">
      <c r="E451" s="271"/>
      <c r="F451" s="272"/>
      <c r="G451" s="509"/>
      <c r="H451" s="486"/>
      <c r="I451" s="487"/>
      <c r="J451" s="487"/>
      <c r="K451" s="487"/>
      <c r="L451" s="487"/>
      <c r="M451" s="263"/>
      <c r="N451" s="490"/>
      <c r="O451" s="490"/>
      <c r="P451" s="490"/>
      <c r="Q451" s="490"/>
      <c r="R451" s="490"/>
      <c r="S451" s="490"/>
      <c r="T451" s="490"/>
      <c r="U451" s="263"/>
      <c r="V451" s="493"/>
      <c r="W451" s="267"/>
      <c r="X451" s="263"/>
      <c r="AZ451" s="269" t="s">
        <v>40</v>
      </c>
      <c r="BA451" s="269">
        <v>5</v>
      </c>
    </row>
    <row r="452" spans="1:53" ht="39.950000000000003" customHeight="1">
      <c r="E452" s="264" t="s">
        <v>66</v>
      </c>
      <c r="F452" s="265" t="s">
        <v>65</v>
      </c>
      <c r="G452" s="263"/>
      <c r="H452" s="263"/>
      <c r="I452" s="263"/>
      <c r="J452" s="263"/>
      <c r="K452" s="263"/>
      <c r="L452" s="263"/>
      <c r="M452" s="263"/>
      <c r="N452" s="263"/>
      <c r="O452" s="263"/>
      <c r="P452" s="263"/>
      <c r="Q452" s="263"/>
      <c r="R452" s="263"/>
      <c r="S452" s="263"/>
      <c r="T452" s="263"/>
      <c r="U452" s="263"/>
      <c r="V452" s="263"/>
      <c r="W452" s="267"/>
      <c r="X452" s="263"/>
      <c r="AZ452" s="269" t="s">
        <v>41</v>
      </c>
      <c r="BA452" s="269">
        <v>6</v>
      </c>
    </row>
    <row r="453" spans="1:53" ht="39.950000000000003" customHeight="1">
      <c r="E453" s="271"/>
      <c r="F453" s="272"/>
      <c r="G453" s="263"/>
      <c r="H453" s="263"/>
      <c r="I453" s="263" t="s">
        <v>32</v>
      </c>
      <c r="J453" s="263"/>
      <c r="K453" s="263"/>
      <c r="L453" s="263"/>
      <c r="M453" s="263"/>
      <c r="N453" s="273"/>
      <c r="O453" s="266"/>
      <c r="P453" s="266" t="s">
        <v>34</v>
      </c>
      <c r="Q453" s="266"/>
      <c r="R453" s="266"/>
      <c r="S453" s="266"/>
      <c r="T453" s="266"/>
      <c r="U453" s="263"/>
      <c r="V453" s="263"/>
      <c r="W453" s="267"/>
      <c r="X453" s="263"/>
      <c r="AZ453" s="269" t="s">
        <v>42</v>
      </c>
      <c r="BA453" s="269">
        <v>7</v>
      </c>
    </row>
    <row r="454" spans="1:53" ht="39.950000000000003" customHeight="1">
      <c r="E454" s="264" t="s">
        <v>26</v>
      </c>
      <c r="F454" s="265" t="s">
        <v>43</v>
      </c>
      <c r="G454" s="263"/>
      <c r="H454" s="263"/>
      <c r="I454" s="486"/>
      <c r="J454" s="486"/>
      <c r="K454" s="486"/>
      <c r="L454" s="486"/>
      <c r="M454" s="263"/>
      <c r="N454" s="486" t="str">
        <f>IF(V447&gt;V450,I447,IF(V450&gt;V447,I450,""))</f>
        <v>MAKÚCH Damian</v>
      </c>
      <c r="O454" s="486"/>
      <c r="P454" s="486"/>
      <c r="Q454" s="486"/>
      <c r="R454" s="486"/>
      <c r="S454" s="486"/>
      <c r="T454" s="263"/>
      <c r="U454" s="263"/>
      <c r="V454" s="263"/>
      <c r="W454" s="267"/>
      <c r="X454" s="263"/>
      <c r="AZ454" s="269" t="s">
        <v>43</v>
      </c>
      <c r="BA454" s="269">
        <v>8</v>
      </c>
    </row>
    <row r="455" spans="1:53" ht="39.950000000000003" customHeight="1">
      <c r="E455" s="271"/>
      <c r="F455" s="272"/>
      <c r="G455" s="263"/>
      <c r="H455" s="263"/>
      <c r="I455" s="486"/>
      <c r="J455" s="486"/>
      <c r="K455" s="486"/>
      <c r="L455" s="486"/>
      <c r="M455" s="263"/>
      <c r="N455" s="486"/>
      <c r="O455" s="486"/>
      <c r="P455" s="486"/>
      <c r="Q455" s="486"/>
      <c r="R455" s="486"/>
      <c r="S455" s="486"/>
      <c r="T455" s="263"/>
      <c r="U455" s="263"/>
      <c r="V455" s="263"/>
      <c r="W455" s="267"/>
      <c r="X455" s="263"/>
    </row>
    <row r="456" spans="1:53" ht="39.950000000000003" customHeight="1">
      <c r="E456" s="264" t="s">
        <v>27</v>
      </c>
      <c r="F456" s="274" t="s">
        <v>20</v>
      </c>
      <c r="G456" s="263"/>
      <c r="H456" s="263"/>
      <c r="I456" s="263"/>
      <c r="J456" s="263"/>
      <c r="K456" s="263"/>
      <c r="L456" s="263"/>
      <c r="M456" s="263"/>
      <c r="N456" s="263"/>
      <c r="O456" s="263"/>
      <c r="P456" s="263"/>
      <c r="Q456" s="263"/>
      <c r="R456" s="263"/>
      <c r="S456" s="263"/>
      <c r="T456" s="263"/>
      <c r="U456" s="263"/>
      <c r="V456" s="263"/>
      <c r="W456" s="267"/>
      <c r="X456" s="263"/>
    </row>
    <row r="457" spans="1:53" ht="39.950000000000003" customHeight="1">
      <c r="E457" s="271"/>
      <c r="F457" s="272"/>
      <c r="G457" s="263"/>
      <c r="H457" s="263" t="s">
        <v>33</v>
      </c>
      <c r="I457" s="263"/>
      <c r="J457" s="263"/>
      <c r="K457" s="263"/>
      <c r="L457" s="263"/>
      <c r="M457" s="263"/>
      <c r="N457" s="263"/>
      <c r="O457" s="263"/>
      <c r="P457" s="263"/>
      <c r="Q457" s="263"/>
      <c r="R457" s="263"/>
      <c r="S457" s="263"/>
      <c r="T457" s="263"/>
      <c r="U457" s="263"/>
      <c r="V457" s="263"/>
      <c r="W457" s="267"/>
      <c r="X457" s="263"/>
    </row>
    <row r="458" spans="1:53" ht="39.950000000000003" customHeight="1">
      <c r="E458" s="271"/>
      <c r="F458" s="272"/>
      <c r="G458" s="263"/>
      <c r="H458" s="263"/>
      <c r="I458" s="263"/>
      <c r="J458" s="263"/>
      <c r="K458" s="263"/>
      <c r="L458" s="263"/>
      <c r="M458" s="263"/>
      <c r="N458" s="263"/>
      <c r="O458" s="263"/>
      <c r="P458" s="263"/>
      <c r="Q458" s="263"/>
      <c r="R458" s="263"/>
      <c r="S458" s="263"/>
      <c r="T458" s="263"/>
      <c r="U458" s="263"/>
      <c r="V458" s="263"/>
      <c r="W458" s="267"/>
      <c r="X458" s="263"/>
    </row>
    <row r="459" spans="1:53" ht="39.950000000000003" customHeight="1">
      <c r="E459" s="271"/>
      <c r="F459" s="272"/>
      <c r="G459" s="263"/>
      <c r="H459" s="263"/>
      <c r="I459" s="496" t="str">
        <f>I447</f>
        <v>PAPÁNEK Martin</v>
      </c>
      <c r="J459" s="496"/>
      <c r="K459" s="496"/>
      <c r="L459" s="496"/>
      <c r="M459" s="263"/>
      <c r="N459" s="263"/>
      <c r="O459" s="263"/>
      <c r="P459" s="496" t="str">
        <f>I450</f>
        <v>MAKÚCH Damian</v>
      </c>
      <c r="Q459" s="496"/>
      <c r="R459" s="496"/>
      <c r="S459" s="496"/>
      <c r="T459" s="497"/>
      <c r="U459" s="497"/>
      <c r="V459" s="263"/>
      <c r="W459" s="267"/>
      <c r="X459" s="263"/>
    </row>
    <row r="460" spans="1:53" ht="69.95" customHeight="1">
      <c r="E460" s="264"/>
      <c r="F460" s="265"/>
      <c r="G460" s="263"/>
      <c r="H460" s="275" t="s">
        <v>36</v>
      </c>
      <c r="I460" s="483"/>
      <c r="J460" s="494"/>
      <c r="K460" s="494"/>
      <c r="L460" s="495"/>
      <c r="M460" s="263"/>
      <c r="N460" s="263"/>
      <c r="O460" s="275" t="s">
        <v>36</v>
      </c>
      <c r="P460" s="486"/>
      <c r="Q460" s="486"/>
      <c r="R460" s="486"/>
      <c r="S460" s="486"/>
      <c r="T460" s="486"/>
      <c r="U460" s="486"/>
      <c r="V460" s="263"/>
      <c r="W460" s="267"/>
      <c r="X460" s="263"/>
    </row>
    <row r="461" spans="1:53" ht="69.95" customHeight="1">
      <c r="E461" s="264"/>
      <c r="F461" s="265"/>
      <c r="G461" s="263"/>
      <c r="H461" s="275" t="s">
        <v>37</v>
      </c>
      <c r="I461" s="486"/>
      <c r="J461" s="486"/>
      <c r="K461" s="486"/>
      <c r="L461" s="486"/>
      <c r="M461" s="263"/>
      <c r="N461" s="263"/>
      <c r="O461" s="275" t="s">
        <v>37</v>
      </c>
      <c r="P461" s="486"/>
      <c r="Q461" s="486"/>
      <c r="R461" s="486"/>
      <c r="S461" s="486"/>
      <c r="T461" s="486"/>
      <c r="U461" s="486"/>
      <c r="V461" s="263"/>
      <c r="W461" s="267"/>
      <c r="X461" s="263"/>
    </row>
    <row r="462" spans="1:53" ht="69.95" customHeight="1">
      <c r="E462" s="264"/>
      <c r="F462" s="265"/>
      <c r="G462" s="263"/>
      <c r="H462" s="275" t="s">
        <v>37</v>
      </c>
      <c r="I462" s="486"/>
      <c r="J462" s="486"/>
      <c r="K462" s="486"/>
      <c r="L462" s="486"/>
      <c r="M462" s="263"/>
      <c r="N462" s="263"/>
      <c r="O462" s="275" t="s">
        <v>37</v>
      </c>
      <c r="P462" s="486"/>
      <c r="Q462" s="486"/>
      <c r="R462" s="486"/>
      <c r="S462" s="486"/>
      <c r="T462" s="486"/>
      <c r="U462" s="486"/>
      <c r="V462" s="263"/>
      <c r="W462" s="267"/>
      <c r="X462" s="263"/>
    </row>
    <row r="463" spans="1:53" ht="39.950000000000003" customHeight="1" thickBot="1">
      <c r="E463" s="276"/>
      <c r="F463" s="277"/>
      <c r="G463" s="278"/>
      <c r="H463" s="278"/>
      <c r="I463" s="278"/>
      <c r="J463" s="278"/>
      <c r="K463" s="278"/>
      <c r="L463" s="278"/>
      <c r="M463" s="278"/>
      <c r="N463" s="278"/>
      <c r="O463" s="278"/>
      <c r="P463" s="278"/>
      <c r="Q463" s="278"/>
      <c r="R463" s="278"/>
      <c r="S463" s="278"/>
      <c r="T463" s="279"/>
      <c r="U463" s="279"/>
      <c r="V463" s="279"/>
      <c r="W463" s="280"/>
      <c r="X463" s="263"/>
    </row>
    <row r="464" spans="1:53" ht="62.25" thickBot="1"/>
    <row r="465" spans="1:53" ht="39.950000000000003" customHeight="1">
      <c r="A465" s="252" t="str">
        <f>CONCATENATE(F472,F474,F476)</f>
        <v>CHH2-4</v>
      </c>
      <c r="E465" s="259" t="s">
        <v>70</v>
      </c>
      <c r="F465" s="260">
        <f>VLOOKUP(A465,'zoznam zapasov'!$A$6:$K$77,3,0)</f>
        <v>24</v>
      </c>
      <c r="G465" s="261"/>
      <c r="H465" s="322" t="s">
        <v>501</v>
      </c>
      <c r="I465" s="261"/>
      <c r="J465" s="261"/>
      <c r="K465" s="261"/>
      <c r="L465" s="261"/>
      <c r="M465" s="261"/>
      <c r="N465" s="261"/>
      <c r="O465" s="261"/>
      <c r="P465" s="261"/>
      <c r="Q465" s="261"/>
      <c r="R465" s="261"/>
      <c r="S465" s="261"/>
      <c r="T465" s="261"/>
      <c r="U465" s="261"/>
      <c r="V465" s="261" t="s">
        <v>30</v>
      </c>
      <c r="W465" s="262"/>
      <c r="X465" s="263"/>
      <c r="Z465" s="258" t="str">
        <f>CONCATENATE(V467,":",V470)</f>
        <v>3:1</v>
      </c>
      <c r="AE465" s="253" t="s">
        <v>11</v>
      </c>
      <c r="AV465" s="256" t="str">
        <f>CONCATENATE(AN467,",",AO467,",",AP467,",",AQ467,",",AR467,",",AS467,",",AT467)</f>
        <v>6,-6,9,7,,,</v>
      </c>
    </row>
    <row r="466" spans="1:53" ht="39.950000000000003" customHeight="1">
      <c r="E466" s="264"/>
      <c r="F466" s="265"/>
      <c r="G466" s="321" t="s">
        <v>500</v>
      </c>
      <c r="H466" s="323" t="s">
        <v>502</v>
      </c>
      <c r="I466" s="263"/>
      <c r="J466" s="263"/>
      <c r="K466" s="263"/>
      <c r="L466" s="263"/>
      <c r="M466" s="263"/>
      <c r="N466" s="266">
        <v>1</v>
      </c>
      <c r="O466" s="266">
        <v>2</v>
      </c>
      <c r="P466" s="266">
        <v>3</v>
      </c>
      <c r="Q466" s="266">
        <v>4</v>
      </c>
      <c r="R466" s="266">
        <v>5</v>
      </c>
      <c r="S466" s="266">
        <v>6</v>
      </c>
      <c r="T466" s="266">
        <v>7</v>
      </c>
      <c r="U466" s="263"/>
      <c r="V466" s="266" t="s">
        <v>31</v>
      </c>
      <c r="W466" s="267"/>
      <c r="X466" s="263"/>
      <c r="AE466" s="253" t="s">
        <v>68</v>
      </c>
      <c r="AV466" s="256" t="str">
        <f>CONCATENATE(AN468,",",AO468,",",AP468,",",AQ468,",",AR468,",",AS468,",",AT468)</f>
        <v>-6,6,-9,-7,,,</v>
      </c>
    </row>
    <row r="467" spans="1:53" ht="39.950000000000003" customHeight="1">
      <c r="A467" s="252" t="str">
        <f>CONCATENATE(F472,VLOOKUP(F474,$AZ$7:$BA$14,2,0),LEFT(F476,1))</f>
        <v>CH82</v>
      </c>
      <c r="E467" s="264" t="s">
        <v>29</v>
      </c>
      <c r="F467" s="265">
        <f>VLOOKUP(A465,'zoznam zapasov'!$A$6:$K$77,11,0)</f>
        <v>8</v>
      </c>
      <c r="G467" s="508"/>
      <c r="H467" s="495"/>
      <c r="I467" s="487" t="str">
        <f>IF(ISERROR(VLOOKUP(A467,vylosovanie!$A$8:$J$68,6,0))=TRUE,"",VLOOKUP(A467,vylosovanie!$A$8:$J$68,6,0))</f>
        <v>FUSEK Patrik</v>
      </c>
      <c r="J467" s="487"/>
      <c r="K467" s="487"/>
      <c r="L467" s="487"/>
      <c r="M467" s="263"/>
      <c r="N467" s="489">
        <v>11</v>
      </c>
      <c r="O467" s="489">
        <v>6</v>
      </c>
      <c r="P467" s="489">
        <v>11</v>
      </c>
      <c r="Q467" s="489">
        <v>11</v>
      </c>
      <c r="R467" s="489"/>
      <c r="S467" s="489"/>
      <c r="T467" s="489"/>
      <c r="U467" s="263"/>
      <c r="V467" s="493">
        <f>IF(SUM(AF467:AL468)=0,"",SUM(AF467:AL467))</f>
        <v>3</v>
      </c>
      <c r="W467" s="267"/>
      <c r="X467" s="263"/>
      <c r="AE467" s="253" t="str">
        <f>VLOOKUP(I467,vylosovanie!$F$8:$L$190,7,0)</f>
        <v>CH82</v>
      </c>
      <c r="AF467" s="268">
        <f>IF(N467&gt;N470,1,0)</f>
        <v>1</v>
      </c>
      <c r="AG467" s="268">
        <f t="shared" ref="AG467" si="312">IF(O467&gt;O470,1,0)</f>
        <v>0</v>
      </c>
      <c r="AH467" s="268">
        <f t="shared" ref="AH467" si="313">IF(P467&gt;P470,1,0)</f>
        <v>1</v>
      </c>
      <c r="AI467" s="268">
        <f t="shared" ref="AI467" si="314">IF(Q467&gt;Q470,1,0)</f>
        <v>1</v>
      </c>
      <c r="AJ467" s="268">
        <f t="shared" ref="AJ467" si="315">IF(R467&gt;R470,1,0)</f>
        <v>0</v>
      </c>
      <c r="AK467" s="268">
        <f t="shared" ref="AK467" si="316">IF(S467&gt;S470,1,0)</f>
        <v>0</v>
      </c>
      <c r="AL467" s="268">
        <f t="shared" ref="AL467" si="317">IF(T467&gt;T470,1,0)</f>
        <v>0</v>
      </c>
      <c r="AN467" s="268">
        <f t="shared" ref="AN467:AT467" si="318">IF(ISBLANK(N467)=TRUE,"",IF(AF467=1,N470,-N467))</f>
        <v>6</v>
      </c>
      <c r="AO467" s="268">
        <f t="shared" si="318"/>
        <v>-6</v>
      </c>
      <c r="AP467" s="268">
        <f t="shared" si="318"/>
        <v>9</v>
      </c>
      <c r="AQ467" s="268">
        <f t="shared" si="318"/>
        <v>7</v>
      </c>
      <c r="AR467" s="268" t="str">
        <f t="shared" si="318"/>
        <v/>
      </c>
      <c r="AS467" s="268" t="str">
        <f t="shared" si="318"/>
        <v/>
      </c>
      <c r="AT467" s="268" t="str">
        <f t="shared" si="318"/>
        <v/>
      </c>
      <c r="AZ467" s="269" t="s">
        <v>12</v>
      </c>
      <c r="BA467" s="269">
        <v>1</v>
      </c>
    </row>
    <row r="468" spans="1:53" ht="39.950000000000003" customHeight="1">
      <c r="E468" s="264"/>
      <c r="F468" s="265"/>
      <c r="G468" s="509"/>
      <c r="H468" s="495"/>
      <c r="I468" s="487"/>
      <c r="J468" s="487"/>
      <c r="K468" s="487"/>
      <c r="L468" s="487"/>
      <c r="M468" s="263"/>
      <c r="N468" s="490"/>
      <c r="O468" s="490"/>
      <c r="P468" s="490"/>
      <c r="Q468" s="490"/>
      <c r="R468" s="490"/>
      <c r="S468" s="490"/>
      <c r="T468" s="490"/>
      <c r="U468" s="263"/>
      <c r="V468" s="493"/>
      <c r="W468" s="267"/>
      <c r="X468" s="263"/>
      <c r="AE468" s="253" t="str">
        <f>VLOOKUP(I470,vylosovanie!$F$8:$L$190,7,0)</f>
        <v>CH84</v>
      </c>
      <c r="AF468" s="268">
        <f>IF(N470&gt;N467,1,0)</f>
        <v>0</v>
      </c>
      <c r="AG468" s="268">
        <f t="shared" ref="AG468" si="319">IF(O470&gt;O467,1,0)</f>
        <v>1</v>
      </c>
      <c r="AH468" s="268">
        <f t="shared" ref="AH468" si="320">IF(P470&gt;P467,1,0)</f>
        <v>0</v>
      </c>
      <c r="AI468" s="268">
        <f t="shared" ref="AI468" si="321">IF(Q470&gt;Q467,1,0)</f>
        <v>0</v>
      </c>
      <c r="AJ468" s="268">
        <f t="shared" ref="AJ468" si="322">IF(R470&gt;R467,1,0)</f>
        <v>0</v>
      </c>
      <c r="AK468" s="268">
        <f t="shared" ref="AK468" si="323">IF(S470&gt;S467,1,0)</f>
        <v>0</v>
      </c>
      <c r="AL468" s="268">
        <f t="shared" ref="AL468" si="324">IF(T470&gt;T467,1,0)</f>
        <v>0</v>
      </c>
      <c r="AN468" s="268">
        <f t="shared" ref="AN468:AT468" si="325">IF(ISBLANK(N470)=TRUE,"",IF(AF468=1,N467,-N470))</f>
        <v>-6</v>
      </c>
      <c r="AO468" s="268">
        <f t="shared" si="325"/>
        <v>6</v>
      </c>
      <c r="AP468" s="268">
        <f t="shared" si="325"/>
        <v>-9</v>
      </c>
      <c r="AQ468" s="268">
        <f t="shared" si="325"/>
        <v>-7</v>
      </c>
      <c r="AR468" s="268" t="str">
        <f t="shared" si="325"/>
        <v/>
      </c>
      <c r="AS468" s="268" t="str">
        <f t="shared" si="325"/>
        <v/>
      </c>
      <c r="AT468" s="268" t="str">
        <f t="shared" si="325"/>
        <v/>
      </c>
      <c r="AZ468" s="269" t="s">
        <v>18</v>
      </c>
      <c r="BA468" s="269">
        <v>2</v>
      </c>
    </row>
    <row r="469" spans="1:53" ht="39.950000000000003" customHeight="1">
      <c r="E469" s="264" t="s">
        <v>35</v>
      </c>
      <c r="F469" s="265" t="str">
        <f>VLOOKUP(A465,'zoznam zapasov'!$A$6:$K$77,9,0)</f>
        <v>So</v>
      </c>
      <c r="G469" s="263"/>
      <c r="H469" s="263"/>
      <c r="I469" s="263"/>
      <c r="J469" s="263"/>
      <c r="K469" s="263"/>
      <c r="L469" s="263"/>
      <c r="M469" s="263"/>
      <c r="N469" s="263"/>
      <c r="O469" s="263"/>
      <c r="P469" s="263"/>
      <c r="Q469" s="263"/>
      <c r="R469" s="263"/>
      <c r="S469" s="263"/>
      <c r="T469" s="263"/>
      <c r="U469" s="263"/>
      <c r="V469" s="263"/>
      <c r="W469" s="267"/>
      <c r="X469" s="263"/>
      <c r="AZ469" s="269" t="s">
        <v>38</v>
      </c>
      <c r="BA469" s="269">
        <v>3</v>
      </c>
    </row>
    <row r="470" spans="1:53" ht="39.950000000000003" customHeight="1">
      <c r="A470" s="252" t="str">
        <f>CONCATENATE(F472,VLOOKUP(F474,$AZ$7:$BA$14,2,0),RIGHT(F476,1))</f>
        <v>CH84</v>
      </c>
      <c r="E470" s="264" t="s">
        <v>28</v>
      </c>
      <c r="F470" s="270" t="str">
        <f>VLOOKUP(A465,'zoznam zapasov'!$A$6:$K$77,10,0)</f>
        <v>10.20</v>
      </c>
      <c r="G470" s="508"/>
      <c r="H470" s="486"/>
      <c r="I470" s="487" t="str">
        <f>IF(ISERROR(VLOOKUP(A470,vylosovanie!$A$8:$J$68,6,0))=TRUE,"",VLOOKUP(A470,vylosovanie!$A$8:$J$68,6,0))</f>
        <v>TRUBÁČIK Tomáš</v>
      </c>
      <c r="J470" s="487"/>
      <c r="K470" s="487"/>
      <c r="L470" s="487"/>
      <c r="M470" s="263"/>
      <c r="N470" s="489">
        <v>6</v>
      </c>
      <c r="O470" s="489">
        <v>11</v>
      </c>
      <c r="P470" s="489">
        <v>9</v>
      </c>
      <c r="Q470" s="489">
        <v>7</v>
      </c>
      <c r="R470" s="489"/>
      <c r="S470" s="489"/>
      <c r="T470" s="489"/>
      <c r="U470" s="263"/>
      <c r="V470" s="493">
        <f>IF(SUM(AF467:AL468)=0,"",SUM(AF468:AL468))</f>
        <v>1</v>
      </c>
      <c r="W470" s="267"/>
      <c r="X470" s="263"/>
      <c r="AZ470" s="269" t="s">
        <v>39</v>
      </c>
      <c r="BA470" s="269">
        <v>4</v>
      </c>
    </row>
    <row r="471" spans="1:53" ht="39.950000000000003" customHeight="1">
      <c r="E471" s="271"/>
      <c r="F471" s="272"/>
      <c r="G471" s="509"/>
      <c r="H471" s="486"/>
      <c r="I471" s="487"/>
      <c r="J471" s="487"/>
      <c r="K471" s="487"/>
      <c r="L471" s="487"/>
      <c r="M471" s="263"/>
      <c r="N471" s="490"/>
      <c r="O471" s="490"/>
      <c r="P471" s="490"/>
      <c r="Q471" s="490"/>
      <c r="R471" s="490"/>
      <c r="S471" s="490"/>
      <c r="T471" s="490"/>
      <c r="U471" s="263"/>
      <c r="V471" s="493"/>
      <c r="W471" s="267"/>
      <c r="X471" s="263"/>
      <c r="AZ471" s="269" t="s">
        <v>40</v>
      </c>
      <c r="BA471" s="269">
        <v>5</v>
      </c>
    </row>
    <row r="472" spans="1:53" ht="39.950000000000003" customHeight="1">
      <c r="E472" s="264" t="s">
        <v>66</v>
      </c>
      <c r="F472" s="265" t="s">
        <v>65</v>
      </c>
      <c r="G472" s="263"/>
      <c r="H472" s="263"/>
      <c r="I472" s="263"/>
      <c r="J472" s="263"/>
      <c r="K472" s="263"/>
      <c r="L472" s="263"/>
      <c r="M472" s="263"/>
      <c r="N472" s="263"/>
      <c r="O472" s="263"/>
      <c r="P472" s="263"/>
      <c r="Q472" s="263"/>
      <c r="R472" s="263"/>
      <c r="S472" s="263"/>
      <c r="T472" s="263"/>
      <c r="U472" s="263"/>
      <c r="V472" s="263"/>
      <c r="W472" s="267"/>
      <c r="X472" s="263"/>
      <c r="AZ472" s="269" t="s">
        <v>41</v>
      </c>
      <c r="BA472" s="269">
        <v>6</v>
      </c>
    </row>
    <row r="473" spans="1:53" ht="39.950000000000003" customHeight="1">
      <c r="E473" s="271"/>
      <c r="F473" s="272"/>
      <c r="G473" s="263"/>
      <c r="H473" s="263"/>
      <c r="I473" s="263" t="s">
        <v>32</v>
      </c>
      <c r="J473" s="263"/>
      <c r="K473" s="263"/>
      <c r="L473" s="263"/>
      <c r="M473" s="263"/>
      <c r="N473" s="273"/>
      <c r="O473" s="266"/>
      <c r="P473" s="266" t="s">
        <v>34</v>
      </c>
      <c r="Q473" s="266"/>
      <c r="R473" s="266"/>
      <c r="S473" s="266"/>
      <c r="T473" s="266"/>
      <c r="U473" s="263"/>
      <c r="V473" s="263"/>
      <c r="W473" s="267"/>
      <c r="X473" s="263"/>
      <c r="AZ473" s="269" t="s">
        <v>42</v>
      </c>
      <c r="BA473" s="269">
        <v>7</v>
      </c>
    </row>
    <row r="474" spans="1:53" ht="39.950000000000003" customHeight="1">
      <c r="E474" s="264" t="s">
        <v>26</v>
      </c>
      <c r="F474" s="265" t="s">
        <v>43</v>
      </c>
      <c r="G474" s="263"/>
      <c r="H474" s="263"/>
      <c r="I474" s="486"/>
      <c r="J474" s="486"/>
      <c r="K474" s="486"/>
      <c r="L474" s="486"/>
      <c r="M474" s="263"/>
      <c r="N474" s="486" t="str">
        <f>IF(V467&gt;V470,I467,IF(V470&gt;V467,I470,""))</f>
        <v>FUSEK Patrik</v>
      </c>
      <c r="O474" s="486"/>
      <c r="P474" s="486"/>
      <c r="Q474" s="486"/>
      <c r="R474" s="486"/>
      <c r="S474" s="486"/>
      <c r="T474" s="263"/>
      <c r="U474" s="263"/>
      <c r="V474" s="263"/>
      <c r="W474" s="267"/>
      <c r="X474" s="263"/>
      <c r="AZ474" s="269" t="s">
        <v>43</v>
      </c>
      <c r="BA474" s="269">
        <v>8</v>
      </c>
    </row>
    <row r="475" spans="1:53" ht="39.950000000000003" customHeight="1">
      <c r="E475" s="271"/>
      <c r="F475" s="272"/>
      <c r="G475" s="263"/>
      <c r="H475" s="263"/>
      <c r="I475" s="486"/>
      <c r="J475" s="486"/>
      <c r="K475" s="486"/>
      <c r="L475" s="486"/>
      <c r="M475" s="263"/>
      <c r="N475" s="486"/>
      <c r="O475" s="486"/>
      <c r="P475" s="486"/>
      <c r="Q475" s="486"/>
      <c r="R475" s="486"/>
      <c r="S475" s="486"/>
      <c r="T475" s="263"/>
      <c r="U475" s="263"/>
      <c r="V475" s="263"/>
      <c r="W475" s="267"/>
      <c r="X475" s="263"/>
    </row>
    <row r="476" spans="1:53" ht="39.950000000000003" customHeight="1">
      <c r="E476" s="264" t="s">
        <v>27</v>
      </c>
      <c r="F476" s="274" t="s">
        <v>21</v>
      </c>
      <c r="G476" s="263"/>
      <c r="H476" s="263"/>
      <c r="I476" s="263"/>
      <c r="J476" s="263"/>
      <c r="K476" s="263"/>
      <c r="L476" s="263"/>
      <c r="M476" s="263"/>
      <c r="N476" s="263"/>
      <c r="O476" s="263"/>
      <c r="P476" s="263"/>
      <c r="Q476" s="263"/>
      <c r="R476" s="263"/>
      <c r="S476" s="263"/>
      <c r="T476" s="263"/>
      <c r="U476" s="263"/>
      <c r="V476" s="263"/>
      <c r="W476" s="267"/>
      <c r="X476" s="263"/>
    </row>
    <row r="477" spans="1:53" ht="39.950000000000003" customHeight="1">
      <c r="E477" s="271"/>
      <c r="F477" s="272"/>
      <c r="G477" s="263"/>
      <c r="H477" s="263" t="s">
        <v>33</v>
      </c>
      <c r="I477" s="263"/>
      <c r="J477" s="263"/>
      <c r="K477" s="263"/>
      <c r="L477" s="263"/>
      <c r="M477" s="263"/>
      <c r="N477" s="263"/>
      <c r="O477" s="263"/>
      <c r="P477" s="263"/>
      <c r="Q477" s="263"/>
      <c r="R477" s="263"/>
      <c r="S477" s="263"/>
      <c r="T477" s="263"/>
      <c r="U477" s="263"/>
      <c r="V477" s="263"/>
      <c r="W477" s="267"/>
      <c r="X477" s="263"/>
    </row>
    <row r="478" spans="1:53" ht="39.950000000000003" customHeight="1">
      <c r="E478" s="271"/>
      <c r="F478" s="272"/>
      <c r="G478" s="263"/>
      <c r="H478" s="263"/>
      <c r="I478" s="263"/>
      <c r="J478" s="263"/>
      <c r="K478" s="263"/>
      <c r="L478" s="263"/>
      <c r="M478" s="263"/>
      <c r="N478" s="263"/>
      <c r="O478" s="263"/>
      <c r="P478" s="263"/>
      <c r="Q478" s="263"/>
      <c r="R478" s="263"/>
      <c r="S478" s="263"/>
      <c r="T478" s="263"/>
      <c r="U478" s="263"/>
      <c r="V478" s="263"/>
      <c r="W478" s="267"/>
      <c r="X478" s="263"/>
    </row>
    <row r="479" spans="1:53" ht="39.950000000000003" customHeight="1">
      <c r="E479" s="271"/>
      <c r="F479" s="272"/>
      <c r="G479" s="263"/>
      <c r="H479" s="263"/>
      <c r="I479" s="496" t="str">
        <f>I467</f>
        <v>FUSEK Patrik</v>
      </c>
      <c r="J479" s="496"/>
      <c r="K479" s="496"/>
      <c r="L479" s="496"/>
      <c r="M479" s="263"/>
      <c r="N479" s="263"/>
      <c r="O479" s="263"/>
      <c r="P479" s="496" t="str">
        <f>I470</f>
        <v>TRUBÁČIK Tomáš</v>
      </c>
      <c r="Q479" s="496"/>
      <c r="R479" s="496"/>
      <c r="S479" s="496"/>
      <c r="T479" s="497"/>
      <c r="U479" s="497"/>
      <c r="V479" s="263"/>
      <c r="W479" s="267"/>
      <c r="X479" s="263"/>
    </row>
    <row r="480" spans="1:53" ht="69.95" customHeight="1">
      <c r="E480" s="264"/>
      <c r="F480" s="265"/>
      <c r="G480" s="263"/>
      <c r="H480" s="275" t="s">
        <v>36</v>
      </c>
      <c r="I480" s="483"/>
      <c r="J480" s="494"/>
      <c r="K480" s="494"/>
      <c r="L480" s="495"/>
      <c r="M480" s="263"/>
      <c r="N480" s="263"/>
      <c r="O480" s="275" t="s">
        <v>36</v>
      </c>
      <c r="P480" s="486"/>
      <c r="Q480" s="486"/>
      <c r="R480" s="486"/>
      <c r="S480" s="486"/>
      <c r="T480" s="486"/>
      <c r="U480" s="486"/>
      <c r="V480" s="263"/>
      <c r="W480" s="267"/>
      <c r="X480" s="263"/>
    </row>
    <row r="481" spans="1:53" ht="69.95" customHeight="1">
      <c r="E481" s="264"/>
      <c r="F481" s="265"/>
      <c r="G481" s="263"/>
      <c r="H481" s="275" t="s">
        <v>37</v>
      </c>
      <c r="I481" s="486"/>
      <c r="J481" s="486"/>
      <c r="K481" s="486"/>
      <c r="L481" s="486"/>
      <c r="M481" s="263"/>
      <c r="N481" s="263"/>
      <c r="O481" s="275" t="s">
        <v>37</v>
      </c>
      <c r="P481" s="486"/>
      <c r="Q481" s="486"/>
      <c r="R481" s="486"/>
      <c r="S481" s="486"/>
      <c r="T481" s="486"/>
      <c r="U481" s="486"/>
      <c r="V481" s="263"/>
      <c r="W481" s="267"/>
      <c r="X481" s="263"/>
    </row>
    <row r="482" spans="1:53" ht="69.95" customHeight="1">
      <c r="E482" s="264"/>
      <c r="F482" s="265"/>
      <c r="G482" s="263"/>
      <c r="H482" s="275" t="s">
        <v>37</v>
      </c>
      <c r="I482" s="486"/>
      <c r="J482" s="486"/>
      <c r="K482" s="486"/>
      <c r="L482" s="486"/>
      <c r="M482" s="263"/>
      <c r="N482" s="263"/>
      <c r="O482" s="275" t="s">
        <v>37</v>
      </c>
      <c r="P482" s="486"/>
      <c r="Q482" s="486"/>
      <c r="R482" s="486"/>
      <c r="S482" s="486"/>
      <c r="T482" s="486"/>
      <c r="U482" s="486"/>
      <c r="V482" s="263"/>
      <c r="W482" s="267"/>
      <c r="X482" s="263"/>
    </row>
    <row r="483" spans="1:53" ht="39.950000000000003" customHeight="1" thickBot="1">
      <c r="E483" s="276"/>
      <c r="F483" s="277"/>
      <c r="G483" s="278"/>
      <c r="H483" s="278"/>
      <c r="I483" s="278"/>
      <c r="J483" s="278"/>
      <c r="K483" s="278"/>
      <c r="L483" s="278"/>
      <c r="M483" s="278"/>
      <c r="N483" s="278"/>
      <c r="O483" s="278"/>
      <c r="P483" s="278"/>
      <c r="Q483" s="278"/>
      <c r="R483" s="278"/>
      <c r="S483" s="278"/>
      <c r="T483" s="279"/>
      <c r="U483" s="279"/>
      <c r="V483" s="279"/>
      <c r="W483" s="280"/>
      <c r="X483" s="263"/>
    </row>
    <row r="484" spans="1:53" ht="62.25" thickBot="1"/>
    <row r="485" spans="1:53" ht="39.950000000000003" customHeight="1">
      <c r="A485" s="252" t="str">
        <f>CONCATENATE(F492,F494,F496)</f>
        <v>DA1-2</v>
      </c>
      <c r="E485" s="259" t="s">
        <v>70</v>
      </c>
      <c r="F485" s="260">
        <f>VLOOKUP(A485,'zoznam zapasov'!$A$6:$K$77,3,0)</f>
        <v>25</v>
      </c>
      <c r="G485" s="261"/>
      <c r="H485" s="322" t="s">
        <v>501</v>
      </c>
      <c r="I485" s="261"/>
      <c r="J485" s="261"/>
      <c r="K485" s="261"/>
      <c r="L485" s="261"/>
      <c r="M485" s="261"/>
      <c r="N485" s="261"/>
      <c r="O485" s="261"/>
      <c r="P485" s="261"/>
      <c r="Q485" s="261"/>
      <c r="R485" s="261"/>
      <c r="S485" s="261"/>
      <c r="T485" s="261"/>
      <c r="U485" s="261"/>
      <c r="V485" s="261" t="s">
        <v>30</v>
      </c>
      <c r="W485" s="262"/>
      <c r="X485" s="263"/>
      <c r="Z485" s="258" t="str">
        <f>CONCATENATE(V487,":",V490)</f>
        <v>3:0</v>
      </c>
      <c r="AE485" s="253" t="s">
        <v>11</v>
      </c>
      <c r="AV485" s="256" t="str">
        <f>CONCATENATE(AN487,",",AO487,",",AP487,",",AQ487,",",AR487,",",AS487,",",AT487)</f>
        <v>4,2,3,,,,</v>
      </c>
    </row>
    <row r="486" spans="1:53" ht="39.950000000000003" customHeight="1">
      <c r="E486" s="264"/>
      <c r="F486" s="265"/>
      <c r="G486" s="321" t="s">
        <v>500</v>
      </c>
      <c r="H486" s="323" t="s">
        <v>502</v>
      </c>
      <c r="I486" s="263"/>
      <c r="J486" s="263"/>
      <c r="K486" s="263"/>
      <c r="L486" s="263"/>
      <c r="M486" s="263"/>
      <c r="N486" s="266">
        <v>1</v>
      </c>
      <c r="O486" s="266">
        <v>2</v>
      </c>
      <c r="P486" s="266">
        <v>3</v>
      </c>
      <c r="Q486" s="266">
        <v>4</v>
      </c>
      <c r="R486" s="266">
        <v>5</v>
      </c>
      <c r="S486" s="266">
        <v>6</v>
      </c>
      <c r="T486" s="266">
        <v>7</v>
      </c>
      <c r="U486" s="263"/>
      <c r="V486" s="266" t="s">
        <v>31</v>
      </c>
      <c r="W486" s="267"/>
      <c r="X486" s="263"/>
      <c r="AE486" s="253" t="s">
        <v>68</v>
      </c>
      <c r="AV486" s="256" t="str">
        <f>CONCATENATE(AN488,",",AO488,",",AP488,",",AQ488,",",AR488,",",AS488,",",AT488)</f>
        <v>-4,-2,-3,,,,</v>
      </c>
    </row>
    <row r="487" spans="1:53" ht="39.950000000000003" customHeight="1">
      <c r="A487" s="252" t="str">
        <f>CONCATENATE(F492,VLOOKUP(F494,$AZ$7:$BA$14,2,0),LEFT(F496,1))</f>
        <v>D11</v>
      </c>
      <c r="E487" s="264" t="s">
        <v>29</v>
      </c>
      <c r="F487" s="265">
        <f>VLOOKUP(A485,'zoznam zapasov'!$A$6:$K$77,11,0)</f>
        <v>1</v>
      </c>
      <c r="G487" s="508"/>
      <c r="H487" s="495"/>
      <c r="I487" s="487" t="str">
        <f>IF(ISERROR(VLOOKUP(A487,vylosovanie!$A$8:$J$68,6,0))=TRUE,"",VLOOKUP(A487,vylosovanie!$A$8:$J$68,6,0))</f>
        <v>LABOŠOVÁ Ema</v>
      </c>
      <c r="J487" s="487"/>
      <c r="K487" s="487"/>
      <c r="L487" s="487"/>
      <c r="M487" s="263"/>
      <c r="N487" s="489">
        <v>11</v>
      </c>
      <c r="O487" s="489">
        <v>11</v>
      </c>
      <c r="P487" s="489">
        <v>11</v>
      </c>
      <c r="Q487" s="489"/>
      <c r="R487" s="489"/>
      <c r="S487" s="489"/>
      <c r="T487" s="489"/>
      <c r="U487" s="263"/>
      <c r="V487" s="493">
        <f>IF(SUM(AF487:AL488)=0,"",SUM(AF487:AL487))</f>
        <v>3</v>
      </c>
      <c r="W487" s="267"/>
      <c r="X487" s="263"/>
      <c r="AE487" s="253" t="str">
        <f>VLOOKUP(I487,vylosovanie!$F$8:$L$190,7,0)</f>
        <v>D11</v>
      </c>
      <c r="AF487" s="268">
        <f>IF(N487&gt;N490,1,0)</f>
        <v>1</v>
      </c>
      <c r="AG487" s="268">
        <f t="shared" ref="AG487" si="326">IF(O487&gt;O490,1,0)</f>
        <v>1</v>
      </c>
      <c r="AH487" s="268">
        <f t="shared" ref="AH487" si="327">IF(P487&gt;P490,1,0)</f>
        <v>1</v>
      </c>
      <c r="AI487" s="268">
        <f t="shared" ref="AI487" si="328">IF(Q487&gt;Q490,1,0)</f>
        <v>0</v>
      </c>
      <c r="AJ487" s="268">
        <f t="shared" ref="AJ487" si="329">IF(R487&gt;R490,1,0)</f>
        <v>0</v>
      </c>
      <c r="AK487" s="268">
        <f t="shared" ref="AK487" si="330">IF(S487&gt;S490,1,0)</f>
        <v>0</v>
      </c>
      <c r="AL487" s="268">
        <f t="shared" ref="AL487" si="331">IF(T487&gt;T490,1,0)</f>
        <v>0</v>
      </c>
      <c r="AN487" s="268">
        <f t="shared" ref="AN487:AT487" si="332">IF(ISBLANK(N487)=TRUE,"",IF(AF487=1,N490,-N487))</f>
        <v>4</v>
      </c>
      <c r="AO487" s="268">
        <f t="shared" si="332"/>
        <v>2</v>
      </c>
      <c r="AP487" s="268">
        <f t="shared" si="332"/>
        <v>3</v>
      </c>
      <c r="AQ487" s="268" t="str">
        <f t="shared" si="332"/>
        <v/>
      </c>
      <c r="AR487" s="268" t="str">
        <f t="shared" si="332"/>
        <v/>
      </c>
      <c r="AS487" s="268" t="str">
        <f t="shared" si="332"/>
        <v/>
      </c>
      <c r="AT487" s="268" t="str">
        <f t="shared" si="332"/>
        <v/>
      </c>
      <c r="AZ487" s="269" t="s">
        <v>12</v>
      </c>
      <c r="BA487" s="269">
        <v>1</v>
      </c>
    </row>
    <row r="488" spans="1:53" ht="39.950000000000003" customHeight="1">
      <c r="E488" s="264"/>
      <c r="F488" s="265"/>
      <c r="G488" s="509"/>
      <c r="H488" s="495"/>
      <c r="I488" s="487"/>
      <c r="J488" s="487"/>
      <c r="K488" s="487"/>
      <c r="L488" s="487"/>
      <c r="M488" s="263"/>
      <c r="N488" s="490"/>
      <c r="O488" s="490"/>
      <c r="P488" s="490"/>
      <c r="Q488" s="490"/>
      <c r="R488" s="490"/>
      <c r="S488" s="490"/>
      <c r="T488" s="490"/>
      <c r="U488" s="263"/>
      <c r="V488" s="493"/>
      <c r="W488" s="267"/>
      <c r="X488" s="263"/>
      <c r="AE488" s="253" t="str">
        <f>VLOOKUP(I490,vylosovanie!$F$8:$L$190,7,0)</f>
        <v>D12</v>
      </c>
      <c r="AF488" s="268">
        <f>IF(N490&gt;N487,1,0)</f>
        <v>0</v>
      </c>
      <c r="AG488" s="268">
        <f t="shared" ref="AG488" si="333">IF(O490&gt;O487,1,0)</f>
        <v>0</v>
      </c>
      <c r="AH488" s="268">
        <f t="shared" ref="AH488" si="334">IF(P490&gt;P487,1,0)</f>
        <v>0</v>
      </c>
      <c r="AI488" s="268">
        <f t="shared" ref="AI488" si="335">IF(Q490&gt;Q487,1,0)</f>
        <v>0</v>
      </c>
      <c r="AJ488" s="268">
        <f t="shared" ref="AJ488" si="336">IF(R490&gt;R487,1,0)</f>
        <v>0</v>
      </c>
      <c r="AK488" s="268">
        <f t="shared" ref="AK488" si="337">IF(S490&gt;S487,1,0)</f>
        <v>0</v>
      </c>
      <c r="AL488" s="268">
        <f t="shared" ref="AL488" si="338">IF(T490&gt;T487,1,0)</f>
        <v>0</v>
      </c>
      <c r="AN488" s="268">
        <f t="shared" ref="AN488:AT488" si="339">IF(ISBLANK(N490)=TRUE,"",IF(AF488=1,N487,-N490))</f>
        <v>-4</v>
      </c>
      <c r="AO488" s="268">
        <f t="shared" si="339"/>
        <v>-2</v>
      </c>
      <c r="AP488" s="268">
        <f t="shared" si="339"/>
        <v>-3</v>
      </c>
      <c r="AQ488" s="268" t="str">
        <f t="shared" si="339"/>
        <v/>
      </c>
      <c r="AR488" s="268" t="str">
        <f t="shared" si="339"/>
        <v/>
      </c>
      <c r="AS488" s="268" t="str">
        <f t="shared" si="339"/>
        <v/>
      </c>
      <c r="AT488" s="268" t="str">
        <f t="shared" si="339"/>
        <v/>
      </c>
      <c r="AZ488" s="269" t="s">
        <v>18</v>
      </c>
      <c r="BA488" s="269">
        <v>2</v>
      </c>
    </row>
    <row r="489" spans="1:53" ht="39.950000000000003" customHeight="1">
      <c r="E489" s="264" t="s">
        <v>35</v>
      </c>
      <c r="F489" s="265" t="str">
        <f>VLOOKUP(A485,'zoznam zapasov'!$A$6:$K$77,9,0)</f>
        <v>So</v>
      </c>
      <c r="G489" s="263"/>
      <c r="H489" s="263"/>
      <c r="I489" s="263"/>
      <c r="J489" s="263"/>
      <c r="K489" s="263"/>
      <c r="L489" s="263"/>
      <c r="M489" s="263"/>
      <c r="N489" s="263"/>
      <c r="O489" s="263"/>
      <c r="P489" s="263"/>
      <c r="Q489" s="263"/>
      <c r="R489" s="263"/>
      <c r="S489" s="263"/>
      <c r="T489" s="263"/>
      <c r="U489" s="263"/>
      <c r="V489" s="263"/>
      <c r="W489" s="267"/>
      <c r="X489" s="263"/>
      <c r="AZ489" s="269" t="s">
        <v>38</v>
      </c>
      <c r="BA489" s="269">
        <v>3</v>
      </c>
    </row>
    <row r="490" spans="1:53" ht="39.950000000000003" customHeight="1">
      <c r="A490" s="252" t="str">
        <f>CONCATENATE(F492,VLOOKUP(F494,$AZ$7:$BA$14,2,0),RIGHT(F496,1))</f>
        <v>D12</v>
      </c>
      <c r="E490" s="264" t="s">
        <v>28</v>
      </c>
      <c r="F490" s="270" t="str">
        <f>VLOOKUP(A485,'zoznam zapasov'!$A$6:$K$77,10,0)</f>
        <v>10.45</v>
      </c>
      <c r="G490" s="508"/>
      <c r="H490" s="486"/>
      <c r="I490" s="487" t="str">
        <f>IF(ISERROR(VLOOKUP(A490,vylosovanie!$A$8:$J$68,6,0))=TRUE,"",VLOOKUP(A490,vylosovanie!$A$8:$J$68,6,0))</f>
        <v>CHYLOVÁ Sabína</v>
      </c>
      <c r="J490" s="487"/>
      <c r="K490" s="487"/>
      <c r="L490" s="487"/>
      <c r="M490" s="263"/>
      <c r="N490" s="489">
        <v>4</v>
      </c>
      <c r="O490" s="489">
        <v>2</v>
      </c>
      <c r="P490" s="489">
        <v>3</v>
      </c>
      <c r="Q490" s="489"/>
      <c r="R490" s="489"/>
      <c r="S490" s="489"/>
      <c r="T490" s="489"/>
      <c r="U490" s="263"/>
      <c r="V490" s="493">
        <f>IF(SUM(AF487:AL488)=0,"",SUM(AF488:AL488))</f>
        <v>0</v>
      </c>
      <c r="W490" s="267"/>
      <c r="X490" s="263"/>
      <c r="AZ490" s="269" t="s">
        <v>39</v>
      </c>
      <c r="BA490" s="269">
        <v>4</v>
      </c>
    </row>
    <row r="491" spans="1:53" ht="39.950000000000003" customHeight="1">
      <c r="E491" s="271"/>
      <c r="F491" s="272"/>
      <c r="G491" s="509"/>
      <c r="H491" s="486"/>
      <c r="I491" s="487"/>
      <c r="J491" s="487"/>
      <c r="K491" s="487"/>
      <c r="L491" s="487"/>
      <c r="M491" s="263"/>
      <c r="N491" s="490"/>
      <c r="O491" s="490"/>
      <c r="P491" s="490"/>
      <c r="Q491" s="490"/>
      <c r="R491" s="490"/>
      <c r="S491" s="490"/>
      <c r="T491" s="490"/>
      <c r="U491" s="263"/>
      <c r="V491" s="493"/>
      <c r="W491" s="267"/>
      <c r="X491" s="263"/>
      <c r="AZ491" s="269" t="s">
        <v>40</v>
      </c>
      <c r="BA491" s="269">
        <v>5</v>
      </c>
    </row>
    <row r="492" spans="1:53" ht="39.950000000000003" customHeight="1">
      <c r="E492" s="264" t="s">
        <v>66</v>
      </c>
      <c r="F492" s="265" t="s">
        <v>39</v>
      </c>
      <c r="G492" s="263"/>
      <c r="H492" s="263"/>
      <c r="I492" s="263"/>
      <c r="J492" s="263"/>
      <c r="K492" s="263"/>
      <c r="L492" s="263"/>
      <c r="M492" s="263"/>
      <c r="N492" s="263"/>
      <c r="O492" s="263"/>
      <c r="P492" s="263"/>
      <c r="Q492" s="263"/>
      <c r="R492" s="263"/>
      <c r="S492" s="263"/>
      <c r="T492" s="263"/>
      <c r="U492" s="263"/>
      <c r="V492" s="263"/>
      <c r="W492" s="267"/>
      <c r="X492" s="263"/>
      <c r="AZ492" s="269" t="s">
        <v>41</v>
      </c>
      <c r="BA492" s="269">
        <v>6</v>
      </c>
    </row>
    <row r="493" spans="1:53" ht="39.950000000000003" customHeight="1">
      <c r="E493" s="271"/>
      <c r="F493" s="272"/>
      <c r="G493" s="263"/>
      <c r="H493" s="263"/>
      <c r="I493" s="263" t="s">
        <v>32</v>
      </c>
      <c r="J493" s="263"/>
      <c r="K493" s="263"/>
      <c r="L493" s="263"/>
      <c r="M493" s="263"/>
      <c r="N493" s="273"/>
      <c r="O493" s="266"/>
      <c r="P493" s="266" t="s">
        <v>34</v>
      </c>
      <c r="Q493" s="266"/>
      <c r="R493" s="266"/>
      <c r="S493" s="266"/>
      <c r="T493" s="266"/>
      <c r="U493" s="263"/>
      <c r="V493" s="263"/>
      <c r="W493" s="267"/>
      <c r="X493" s="263"/>
      <c r="AZ493" s="269" t="s">
        <v>42</v>
      </c>
      <c r="BA493" s="269">
        <v>7</v>
      </c>
    </row>
    <row r="494" spans="1:53" ht="39.950000000000003" customHeight="1">
      <c r="E494" s="264" t="s">
        <v>26</v>
      </c>
      <c r="F494" s="265" t="s">
        <v>12</v>
      </c>
      <c r="G494" s="263"/>
      <c r="H494" s="263"/>
      <c r="I494" s="486"/>
      <c r="J494" s="486"/>
      <c r="K494" s="486"/>
      <c r="L494" s="486"/>
      <c r="M494" s="263"/>
      <c r="N494" s="486" t="str">
        <f>IF(V487&gt;V490,I487,IF(V490&gt;V487,I490,""))</f>
        <v>LABOŠOVÁ Ema</v>
      </c>
      <c r="O494" s="486"/>
      <c r="P494" s="486"/>
      <c r="Q494" s="486"/>
      <c r="R494" s="486"/>
      <c r="S494" s="486"/>
      <c r="T494" s="263"/>
      <c r="U494" s="263"/>
      <c r="V494" s="263"/>
      <c r="W494" s="267"/>
      <c r="X494" s="263"/>
      <c r="AZ494" s="269" t="s">
        <v>43</v>
      </c>
      <c r="BA494" s="269">
        <v>8</v>
      </c>
    </row>
    <row r="495" spans="1:53" ht="39.950000000000003" customHeight="1">
      <c r="E495" s="271"/>
      <c r="F495" s="272"/>
      <c r="G495" s="263"/>
      <c r="H495" s="263"/>
      <c r="I495" s="486"/>
      <c r="J495" s="486"/>
      <c r="K495" s="486"/>
      <c r="L495" s="486"/>
      <c r="M495" s="263"/>
      <c r="N495" s="486"/>
      <c r="O495" s="486"/>
      <c r="P495" s="486"/>
      <c r="Q495" s="486"/>
      <c r="R495" s="486"/>
      <c r="S495" s="486"/>
      <c r="T495" s="263"/>
      <c r="U495" s="263"/>
      <c r="V495" s="263"/>
      <c r="W495" s="267"/>
      <c r="X495" s="263"/>
    </row>
    <row r="496" spans="1:53" ht="39.950000000000003" customHeight="1">
      <c r="E496" s="264" t="s">
        <v>27</v>
      </c>
      <c r="F496" s="274" t="s">
        <v>22</v>
      </c>
      <c r="G496" s="263"/>
      <c r="H496" s="263"/>
      <c r="I496" s="263"/>
      <c r="J496" s="263"/>
      <c r="K496" s="263"/>
      <c r="L496" s="263"/>
      <c r="M496" s="263"/>
      <c r="N496" s="263"/>
      <c r="O496" s="263"/>
      <c r="P496" s="263"/>
      <c r="Q496" s="263"/>
      <c r="R496" s="263"/>
      <c r="S496" s="263"/>
      <c r="T496" s="263"/>
      <c r="U496" s="263"/>
      <c r="V496" s="263"/>
      <c r="W496" s="267"/>
      <c r="X496" s="263"/>
    </row>
    <row r="497" spans="1:53" ht="39.950000000000003" customHeight="1">
      <c r="E497" s="271"/>
      <c r="F497" s="272"/>
      <c r="G497" s="263"/>
      <c r="H497" s="263" t="s">
        <v>33</v>
      </c>
      <c r="I497" s="263"/>
      <c r="J497" s="263"/>
      <c r="K497" s="263"/>
      <c r="L497" s="263"/>
      <c r="M497" s="263"/>
      <c r="N497" s="263"/>
      <c r="O497" s="263"/>
      <c r="P497" s="263"/>
      <c r="Q497" s="263"/>
      <c r="R497" s="263"/>
      <c r="S497" s="263"/>
      <c r="T497" s="263"/>
      <c r="U497" s="263"/>
      <c r="V497" s="263"/>
      <c r="W497" s="267"/>
      <c r="X497" s="263"/>
    </row>
    <row r="498" spans="1:53" ht="39.950000000000003" customHeight="1">
      <c r="E498" s="271"/>
      <c r="F498" s="272"/>
      <c r="G498" s="263"/>
      <c r="H498" s="263"/>
      <c r="I498" s="263"/>
      <c r="J498" s="263"/>
      <c r="K498" s="263"/>
      <c r="L498" s="263"/>
      <c r="M498" s="263"/>
      <c r="N498" s="263"/>
      <c r="O498" s="263"/>
      <c r="P498" s="263"/>
      <c r="Q498" s="263"/>
      <c r="R498" s="263"/>
      <c r="S498" s="263"/>
      <c r="T498" s="263"/>
      <c r="U498" s="263"/>
      <c r="V498" s="263"/>
      <c r="W498" s="267"/>
      <c r="X498" s="263"/>
    </row>
    <row r="499" spans="1:53" ht="39.950000000000003" customHeight="1">
      <c r="E499" s="271"/>
      <c r="F499" s="272"/>
      <c r="G499" s="263"/>
      <c r="H499" s="263"/>
      <c r="I499" s="496" t="str">
        <f>I487</f>
        <v>LABOŠOVÁ Ema</v>
      </c>
      <c r="J499" s="496"/>
      <c r="K499" s="496"/>
      <c r="L499" s="496"/>
      <c r="M499" s="263"/>
      <c r="N499" s="263"/>
      <c r="O499" s="263"/>
      <c r="P499" s="496" t="str">
        <f>I490</f>
        <v>CHYLOVÁ Sabína</v>
      </c>
      <c r="Q499" s="496"/>
      <c r="R499" s="496"/>
      <c r="S499" s="496"/>
      <c r="T499" s="497"/>
      <c r="U499" s="497"/>
      <c r="V499" s="263"/>
      <c r="W499" s="267"/>
      <c r="X499" s="263"/>
    </row>
    <row r="500" spans="1:53" ht="69.95" customHeight="1">
      <c r="E500" s="264"/>
      <c r="F500" s="265"/>
      <c r="G500" s="263"/>
      <c r="H500" s="275" t="s">
        <v>36</v>
      </c>
      <c r="I500" s="483"/>
      <c r="J500" s="494"/>
      <c r="K500" s="494"/>
      <c r="L500" s="495"/>
      <c r="M500" s="263"/>
      <c r="N500" s="263"/>
      <c r="O500" s="275" t="s">
        <v>36</v>
      </c>
      <c r="P500" s="486"/>
      <c r="Q500" s="486"/>
      <c r="R500" s="486"/>
      <c r="S500" s="486"/>
      <c r="T500" s="486"/>
      <c r="U500" s="486"/>
      <c r="V500" s="263"/>
      <c r="W500" s="267"/>
      <c r="X500" s="263"/>
    </row>
    <row r="501" spans="1:53" ht="69.95" customHeight="1">
      <c r="E501" s="264"/>
      <c r="F501" s="265"/>
      <c r="G501" s="263"/>
      <c r="H501" s="275" t="s">
        <v>37</v>
      </c>
      <c r="I501" s="486"/>
      <c r="J501" s="486"/>
      <c r="K501" s="486"/>
      <c r="L501" s="486"/>
      <c r="M501" s="263"/>
      <c r="N501" s="263"/>
      <c r="O501" s="275" t="s">
        <v>37</v>
      </c>
      <c r="P501" s="486"/>
      <c r="Q501" s="486"/>
      <c r="R501" s="486"/>
      <c r="S501" s="486"/>
      <c r="T501" s="486"/>
      <c r="U501" s="486"/>
      <c r="V501" s="263"/>
      <c r="W501" s="267"/>
      <c r="X501" s="263"/>
    </row>
    <row r="502" spans="1:53" ht="69.95" customHeight="1">
      <c r="E502" s="264"/>
      <c r="F502" s="265"/>
      <c r="G502" s="263"/>
      <c r="H502" s="275" t="s">
        <v>37</v>
      </c>
      <c r="I502" s="486"/>
      <c r="J502" s="486"/>
      <c r="K502" s="486"/>
      <c r="L502" s="486"/>
      <c r="M502" s="263"/>
      <c r="N502" s="263"/>
      <c r="O502" s="275" t="s">
        <v>37</v>
      </c>
      <c r="P502" s="486"/>
      <c r="Q502" s="486"/>
      <c r="R502" s="486"/>
      <c r="S502" s="486"/>
      <c r="T502" s="486"/>
      <c r="U502" s="486"/>
      <c r="V502" s="263"/>
      <c r="W502" s="267"/>
      <c r="X502" s="263"/>
    </row>
    <row r="503" spans="1:53" ht="39.950000000000003" customHeight="1" thickBot="1">
      <c r="E503" s="276"/>
      <c r="F503" s="277"/>
      <c r="G503" s="278"/>
      <c r="H503" s="278"/>
      <c r="I503" s="278"/>
      <c r="J503" s="278"/>
      <c r="K503" s="278"/>
      <c r="L503" s="278"/>
      <c r="M503" s="278"/>
      <c r="N503" s="278"/>
      <c r="O503" s="278"/>
      <c r="P503" s="278"/>
      <c r="Q503" s="278"/>
      <c r="R503" s="278"/>
      <c r="S503" s="278"/>
      <c r="T503" s="279"/>
      <c r="U503" s="279"/>
      <c r="V503" s="279"/>
      <c r="W503" s="280"/>
      <c r="X503" s="263"/>
    </row>
    <row r="504" spans="1:53" ht="62.25" thickBot="1">
      <c r="A504" s="252" t="s">
        <v>62</v>
      </c>
    </row>
    <row r="505" spans="1:53" ht="39.950000000000003" customHeight="1">
      <c r="A505" s="252" t="str">
        <f>CONCATENATE(F512,F514,F516)</f>
        <v>DB1-2</v>
      </c>
      <c r="E505" s="259" t="s">
        <v>70</v>
      </c>
      <c r="F505" s="260">
        <f>VLOOKUP(A505,'zoznam zapasov'!$A$6:$K$77,3,0)</f>
        <v>26</v>
      </c>
      <c r="G505" s="261"/>
      <c r="H505" s="322" t="s">
        <v>501</v>
      </c>
      <c r="I505" s="261"/>
      <c r="J505" s="261"/>
      <c r="K505" s="261"/>
      <c r="L505" s="261"/>
      <c r="M505" s="261"/>
      <c r="N505" s="261"/>
      <c r="O505" s="261"/>
      <c r="P505" s="261"/>
      <c r="Q505" s="261"/>
      <c r="R505" s="261"/>
      <c r="S505" s="261"/>
      <c r="T505" s="261"/>
      <c r="U505" s="261"/>
      <c r="V505" s="261" t="s">
        <v>30</v>
      </c>
      <c r="W505" s="262"/>
      <c r="X505" s="263"/>
      <c r="Z505" s="258" t="str">
        <f>CONCATENATE(V507,":",V510)</f>
        <v>3:0</v>
      </c>
      <c r="AE505" s="253" t="s">
        <v>11</v>
      </c>
      <c r="AV505" s="256" t="str">
        <f>CONCATENATE(AN507,",",AO507,",",AP507,",",AQ507,",",AR507,",",AS507,",",AT507)</f>
        <v>4,5,2,,,,</v>
      </c>
    </row>
    <row r="506" spans="1:53" ht="39.950000000000003" customHeight="1">
      <c r="E506" s="264"/>
      <c r="F506" s="265"/>
      <c r="G506" s="321" t="s">
        <v>500</v>
      </c>
      <c r="H506" s="323" t="s">
        <v>502</v>
      </c>
      <c r="I506" s="263"/>
      <c r="J506" s="263"/>
      <c r="K506" s="263"/>
      <c r="L506" s="263"/>
      <c r="M506" s="263"/>
      <c r="N506" s="266">
        <v>1</v>
      </c>
      <c r="O506" s="266">
        <v>2</v>
      </c>
      <c r="P506" s="266">
        <v>3</v>
      </c>
      <c r="Q506" s="266">
        <v>4</v>
      </c>
      <c r="R506" s="266">
        <v>5</v>
      </c>
      <c r="S506" s="266">
        <v>6</v>
      </c>
      <c r="T506" s="266">
        <v>7</v>
      </c>
      <c r="U506" s="263"/>
      <c r="V506" s="266" t="s">
        <v>31</v>
      </c>
      <c r="W506" s="267"/>
      <c r="X506" s="263"/>
      <c r="AE506" s="253" t="s">
        <v>68</v>
      </c>
      <c r="AV506" s="256" t="str">
        <f>CONCATENATE(AN508,",",AO508,",",AP508,",",AQ508,",",AR508,",",AS508,",",AT508)</f>
        <v>-4,-5,-2,,,,</v>
      </c>
    </row>
    <row r="507" spans="1:53" ht="39.950000000000003" customHeight="1">
      <c r="A507" s="252" t="str">
        <f>CONCATENATE(F512,VLOOKUP(F514,$AZ$7:$BA$14,2,0),LEFT(F516,1))</f>
        <v>D21</v>
      </c>
      <c r="E507" s="264" t="s">
        <v>29</v>
      </c>
      <c r="F507" s="265">
        <f>VLOOKUP(A505,'zoznam zapasov'!$A$6:$K$77,11,0)</f>
        <v>2</v>
      </c>
      <c r="G507" s="508"/>
      <c r="H507" s="495"/>
      <c r="I507" s="487" t="str">
        <f>IF(ISERROR(VLOOKUP(A507,vylosovanie!$A$8:$J$68,6,0))=TRUE,"",VLOOKUP(A507,vylosovanie!$A$8:$J$68,6,0))</f>
        <v>PEKOVÁ Zuzana</v>
      </c>
      <c r="J507" s="487"/>
      <c r="K507" s="487"/>
      <c r="L507" s="487"/>
      <c r="M507" s="263"/>
      <c r="N507" s="489">
        <v>11</v>
      </c>
      <c r="O507" s="489">
        <v>11</v>
      </c>
      <c r="P507" s="489">
        <v>11</v>
      </c>
      <c r="Q507" s="489"/>
      <c r="R507" s="489"/>
      <c r="S507" s="489"/>
      <c r="T507" s="489"/>
      <c r="U507" s="263"/>
      <c r="V507" s="493">
        <f>IF(SUM(AF507:AL508)=0,"",SUM(AF507:AL507))</f>
        <v>3</v>
      </c>
      <c r="W507" s="267"/>
      <c r="X507" s="263"/>
      <c r="AE507" s="253" t="str">
        <f>VLOOKUP(I507,vylosovanie!$F$8:$L$190,7,0)</f>
        <v>D21</v>
      </c>
      <c r="AF507" s="268">
        <f>IF(N507&gt;N510,1,0)</f>
        <v>1</v>
      </c>
      <c r="AG507" s="268">
        <f t="shared" ref="AG507" si="340">IF(O507&gt;O510,1,0)</f>
        <v>1</v>
      </c>
      <c r="AH507" s="268">
        <f t="shared" ref="AH507" si="341">IF(P507&gt;P510,1,0)</f>
        <v>1</v>
      </c>
      <c r="AI507" s="268">
        <f t="shared" ref="AI507" si="342">IF(Q507&gt;Q510,1,0)</f>
        <v>0</v>
      </c>
      <c r="AJ507" s="268">
        <f t="shared" ref="AJ507" si="343">IF(R507&gt;R510,1,0)</f>
        <v>0</v>
      </c>
      <c r="AK507" s="268">
        <f t="shared" ref="AK507" si="344">IF(S507&gt;S510,1,0)</f>
        <v>0</v>
      </c>
      <c r="AL507" s="268">
        <f t="shared" ref="AL507" si="345">IF(T507&gt;T510,1,0)</f>
        <v>0</v>
      </c>
      <c r="AN507" s="268">
        <f t="shared" ref="AN507:AT507" si="346">IF(ISBLANK(N507)=TRUE,"",IF(AF507=1,N510,-N507))</f>
        <v>4</v>
      </c>
      <c r="AO507" s="268">
        <f t="shared" si="346"/>
        <v>5</v>
      </c>
      <c r="AP507" s="268">
        <f t="shared" si="346"/>
        <v>2</v>
      </c>
      <c r="AQ507" s="268" t="str">
        <f t="shared" si="346"/>
        <v/>
      </c>
      <c r="AR507" s="268" t="str">
        <f t="shared" si="346"/>
        <v/>
      </c>
      <c r="AS507" s="268" t="str">
        <f t="shared" si="346"/>
        <v/>
      </c>
      <c r="AT507" s="268" t="str">
        <f t="shared" si="346"/>
        <v/>
      </c>
      <c r="AZ507" s="269" t="s">
        <v>12</v>
      </c>
      <c r="BA507" s="269">
        <v>1</v>
      </c>
    </row>
    <row r="508" spans="1:53" ht="39.950000000000003" customHeight="1">
      <c r="E508" s="264"/>
      <c r="F508" s="265"/>
      <c r="G508" s="509"/>
      <c r="H508" s="495"/>
      <c r="I508" s="487"/>
      <c r="J508" s="487"/>
      <c r="K508" s="487"/>
      <c r="L508" s="487"/>
      <c r="M508" s="263"/>
      <c r="N508" s="490"/>
      <c r="O508" s="490"/>
      <c r="P508" s="490"/>
      <c r="Q508" s="490"/>
      <c r="R508" s="490"/>
      <c r="S508" s="490"/>
      <c r="T508" s="490"/>
      <c r="U508" s="263"/>
      <c r="V508" s="493"/>
      <c r="W508" s="267"/>
      <c r="X508" s="263"/>
      <c r="AE508" s="253" t="str">
        <f>VLOOKUP(I510,vylosovanie!$F$8:$L$190,7,0)</f>
        <v>D22</v>
      </c>
      <c r="AF508" s="268">
        <f>IF(N510&gt;N507,1,0)</f>
        <v>0</v>
      </c>
      <c r="AG508" s="268">
        <f t="shared" ref="AG508" si="347">IF(O510&gt;O507,1,0)</f>
        <v>0</v>
      </c>
      <c r="AH508" s="268">
        <f t="shared" ref="AH508" si="348">IF(P510&gt;P507,1,0)</f>
        <v>0</v>
      </c>
      <c r="AI508" s="268">
        <f t="shared" ref="AI508" si="349">IF(Q510&gt;Q507,1,0)</f>
        <v>0</v>
      </c>
      <c r="AJ508" s="268">
        <f t="shared" ref="AJ508" si="350">IF(R510&gt;R507,1,0)</f>
        <v>0</v>
      </c>
      <c r="AK508" s="268">
        <f t="shared" ref="AK508" si="351">IF(S510&gt;S507,1,0)</f>
        <v>0</v>
      </c>
      <c r="AL508" s="268">
        <f t="shared" ref="AL508" si="352">IF(T510&gt;T507,1,0)</f>
        <v>0</v>
      </c>
      <c r="AN508" s="268">
        <f t="shared" ref="AN508:AT508" si="353">IF(ISBLANK(N510)=TRUE,"",IF(AF508=1,N507,-N510))</f>
        <v>-4</v>
      </c>
      <c r="AO508" s="268">
        <f t="shared" si="353"/>
        <v>-5</v>
      </c>
      <c r="AP508" s="268">
        <f t="shared" si="353"/>
        <v>-2</v>
      </c>
      <c r="AQ508" s="268" t="str">
        <f t="shared" si="353"/>
        <v/>
      </c>
      <c r="AR508" s="268" t="str">
        <f t="shared" si="353"/>
        <v/>
      </c>
      <c r="AS508" s="268" t="str">
        <f t="shared" si="353"/>
        <v/>
      </c>
      <c r="AT508" s="268" t="str">
        <f t="shared" si="353"/>
        <v/>
      </c>
      <c r="AZ508" s="269" t="s">
        <v>18</v>
      </c>
      <c r="BA508" s="269">
        <v>2</v>
      </c>
    </row>
    <row r="509" spans="1:53" ht="39.950000000000003" customHeight="1">
      <c r="E509" s="264" t="s">
        <v>35</v>
      </c>
      <c r="F509" s="265" t="str">
        <f>VLOOKUP(A505,'zoznam zapasov'!$A$6:$K$77,9,0)</f>
        <v>So</v>
      </c>
      <c r="G509" s="263"/>
      <c r="H509" s="263"/>
      <c r="I509" s="263"/>
      <c r="J509" s="263"/>
      <c r="K509" s="263"/>
      <c r="L509" s="263"/>
      <c r="M509" s="263"/>
      <c r="N509" s="263"/>
      <c r="O509" s="263"/>
      <c r="P509" s="263"/>
      <c r="Q509" s="263"/>
      <c r="R509" s="263"/>
      <c r="S509" s="263"/>
      <c r="T509" s="263"/>
      <c r="U509" s="263"/>
      <c r="V509" s="263"/>
      <c r="W509" s="267"/>
      <c r="X509" s="263"/>
      <c r="AZ509" s="269" t="s">
        <v>38</v>
      </c>
      <c r="BA509" s="269">
        <v>3</v>
      </c>
    </row>
    <row r="510" spans="1:53" ht="39.950000000000003" customHeight="1">
      <c r="A510" s="252" t="str">
        <f>CONCATENATE(F512,VLOOKUP(F514,$AZ$7:$BA$14,2,0),RIGHT(F516,1))</f>
        <v>D22</v>
      </c>
      <c r="E510" s="264" t="s">
        <v>28</v>
      </c>
      <c r="F510" s="270" t="str">
        <f>VLOOKUP(A505,'zoznam zapasov'!$A$6:$K$77,10,0)</f>
        <v>10.45</v>
      </c>
      <c r="G510" s="508"/>
      <c r="H510" s="486"/>
      <c r="I510" s="487" t="str">
        <f>IF(ISERROR(VLOOKUP(A510,vylosovanie!$A$8:$J$68,6,0))=TRUE,"",VLOOKUP(A510,vylosovanie!$A$8:$J$68,6,0))</f>
        <v>MIKULOVÁ Terézia</v>
      </c>
      <c r="J510" s="487"/>
      <c r="K510" s="487"/>
      <c r="L510" s="487"/>
      <c r="M510" s="263"/>
      <c r="N510" s="489">
        <v>4</v>
      </c>
      <c r="O510" s="489">
        <v>5</v>
      </c>
      <c r="P510" s="489">
        <v>2</v>
      </c>
      <c r="Q510" s="489"/>
      <c r="R510" s="489"/>
      <c r="S510" s="489"/>
      <c r="T510" s="489"/>
      <c r="U510" s="263"/>
      <c r="V510" s="493">
        <f>IF(SUM(AF507:AL508)=0,"",SUM(AF508:AL508))</f>
        <v>0</v>
      </c>
      <c r="W510" s="267"/>
      <c r="X510" s="263"/>
      <c r="AZ510" s="269" t="s">
        <v>39</v>
      </c>
      <c r="BA510" s="269">
        <v>4</v>
      </c>
    </row>
    <row r="511" spans="1:53" ht="39.950000000000003" customHeight="1">
      <c r="E511" s="271"/>
      <c r="F511" s="272"/>
      <c r="G511" s="509"/>
      <c r="H511" s="486"/>
      <c r="I511" s="487"/>
      <c r="J511" s="487"/>
      <c r="K511" s="487"/>
      <c r="L511" s="487"/>
      <c r="M511" s="263"/>
      <c r="N511" s="490"/>
      <c r="O511" s="490"/>
      <c r="P511" s="490"/>
      <c r="Q511" s="490"/>
      <c r="R511" s="490"/>
      <c r="S511" s="490"/>
      <c r="T511" s="490"/>
      <c r="U511" s="263"/>
      <c r="V511" s="493"/>
      <c r="W511" s="267"/>
      <c r="X511" s="263"/>
      <c r="AZ511" s="269" t="s">
        <v>40</v>
      </c>
      <c r="BA511" s="269">
        <v>5</v>
      </c>
    </row>
    <row r="512" spans="1:53" ht="39.950000000000003" customHeight="1">
      <c r="E512" s="264" t="s">
        <v>66</v>
      </c>
      <c r="F512" s="265" t="s">
        <v>39</v>
      </c>
      <c r="G512" s="263"/>
      <c r="H512" s="263"/>
      <c r="I512" s="263"/>
      <c r="J512" s="263"/>
      <c r="K512" s="263"/>
      <c r="L512" s="263"/>
      <c r="M512" s="263"/>
      <c r="N512" s="263"/>
      <c r="O512" s="263"/>
      <c r="P512" s="263"/>
      <c r="Q512" s="263"/>
      <c r="R512" s="263"/>
      <c r="S512" s="263"/>
      <c r="T512" s="263"/>
      <c r="U512" s="263"/>
      <c r="V512" s="263"/>
      <c r="W512" s="267"/>
      <c r="X512" s="263"/>
      <c r="AZ512" s="269" t="s">
        <v>41</v>
      </c>
      <c r="BA512" s="269">
        <v>6</v>
      </c>
    </row>
    <row r="513" spans="1:53" ht="39.950000000000003" customHeight="1">
      <c r="E513" s="271"/>
      <c r="F513" s="272"/>
      <c r="G513" s="263"/>
      <c r="H513" s="263"/>
      <c r="I513" s="263" t="s">
        <v>32</v>
      </c>
      <c r="J513" s="263"/>
      <c r="K513" s="263"/>
      <c r="L513" s="263"/>
      <c r="M513" s="263"/>
      <c r="N513" s="273"/>
      <c r="O513" s="266"/>
      <c r="P513" s="266" t="s">
        <v>34</v>
      </c>
      <c r="Q513" s="266"/>
      <c r="R513" s="266"/>
      <c r="S513" s="266"/>
      <c r="T513" s="266"/>
      <c r="U513" s="263"/>
      <c r="V513" s="263"/>
      <c r="W513" s="267"/>
      <c r="X513" s="263"/>
      <c r="AZ513" s="269" t="s">
        <v>42</v>
      </c>
      <c r="BA513" s="269">
        <v>7</v>
      </c>
    </row>
    <row r="514" spans="1:53" ht="39.950000000000003" customHeight="1">
      <c r="E514" s="264" t="s">
        <v>26</v>
      </c>
      <c r="F514" s="265" t="s">
        <v>18</v>
      </c>
      <c r="G514" s="263"/>
      <c r="H514" s="263"/>
      <c r="I514" s="486"/>
      <c r="J514" s="486"/>
      <c r="K514" s="486"/>
      <c r="L514" s="486"/>
      <c r="M514" s="263"/>
      <c r="N514" s="486" t="str">
        <f>IF(V507&gt;V510,I507,IF(V510&gt;V507,I510,""))</f>
        <v>PEKOVÁ Zuzana</v>
      </c>
      <c r="O514" s="486"/>
      <c r="P514" s="486"/>
      <c r="Q514" s="486"/>
      <c r="R514" s="486"/>
      <c r="S514" s="486"/>
      <c r="T514" s="263"/>
      <c r="U514" s="263"/>
      <c r="V514" s="263"/>
      <c r="W514" s="267"/>
      <c r="X514" s="263"/>
      <c r="AZ514" s="269" t="s">
        <v>43</v>
      </c>
      <c r="BA514" s="269">
        <v>8</v>
      </c>
    </row>
    <row r="515" spans="1:53" ht="39.950000000000003" customHeight="1">
      <c r="E515" s="271"/>
      <c r="F515" s="272"/>
      <c r="G515" s="263"/>
      <c r="H515" s="263"/>
      <c r="I515" s="486"/>
      <c r="J515" s="486"/>
      <c r="K515" s="486"/>
      <c r="L515" s="486"/>
      <c r="M515" s="263"/>
      <c r="N515" s="486"/>
      <c r="O515" s="486"/>
      <c r="P515" s="486"/>
      <c r="Q515" s="486"/>
      <c r="R515" s="486"/>
      <c r="S515" s="486"/>
      <c r="T515" s="263"/>
      <c r="U515" s="263"/>
      <c r="V515" s="263"/>
      <c r="W515" s="267"/>
      <c r="X515" s="263"/>
    </row>
    <row r="516" spans="1:53" ht="39.950000000000003" customHeight="1">
      <c r="E516" s="264" t="s">
        <v>27</v>
      </c>
      <c r="F516" s="274" t="s">
        <v>22</v>
      </c>
      <c r="G516" s="263"/>
      <c r="H516" s="263"/>
      <c r="I516" s="263"/>
      <c r="J516" s="263"/>
      <c r="K516" s="263"/>
      <c r="L516" s="263"/>
      <c r="M516" s="263"/>
      <c r="N516" s="263"/>
      <c r="O516" s="263"/>
      <c r="P516" s="263"/>
      <c r="Q516" s="263"/>
      <c r="R516" s="263"/>
      <c r="S516" s="263"/>
      <c r="T516" s="263"/>
      <c r="U516" s="263"/>
      <c r="V516" s="263"/>
      <c r="W516" s="267"/>
      <c r="X516" s="263"/>
    </row>
    <row r="517" spans="1:53" ht="39.950000000000003" customHeight="1">
      <c r="E517" s="271"/>
      <c r="F517" s="272"/>
      <c r="G517" s="263"/>
      <c r="H517" s="263" t="s">
        <v>33</v>
      </c>
      <c r="I517" s="263"/>
      <c r="J517" s="263"/>
      <c r="K517" s="263"/>
      <c r="L517" s="263"/>
      <c r="M517" s="263"/>
      <c r="N517" s="263"/>
      <c r="O517" s="263"/>
      <c r="P517" s="263"/>
      <c r="Q517" s="263"/>
      <c r="R517" s="263"/>
      <c r="S517" s="263"/>
      <c r="T517" s="263"/>
      <c r="U517" s="263"/>
      <c r="V517" s="263"/>
      <c r="W517" s="267"/>
      <c r="X517" s="263"/>
    </row>
    <row r="518" spans="1:53" ht="39.950000000000003" customHeight="1">
      <c r="E518" s="271"/>
      <c r="F518" s="272"/>
      <c r="G518" s="263"/>
      <c r="H518" s="263"/>
      <c r="I518" s="263"/>
      <c r="J518" s="263"/>
      <c r="K518" s="263"/>
      <c r="L518" s="263"/>
      <c r="M518" s="263"/>
      <c r="N518" s="263"/>
      <c r="O518" s="263"/>
      <c r="P518" s="263"/>
      <c r="Q518" s="263"/>
      <c r="R518" s="263"/>
      <c r="S518" s="263"/>
      <c r="T518" s="263"/>
      <c r="U518" s="263"/>
      <c r="V518" s="263"/>
      <c r="W518" s="267"/>
      <c r="X518" s="263"/>
    </row>
    <row r="519" spans="1:53" ht="39.950000000000003" customHeight="1">
      <c r="E519" s="271"/>
      <c r="F519" s="272"/>
      <c r="G519" s="263"/>
      <c r="H519" s="263"/>
      <c r="I519" s="496" t="str">
        <f>I507</f>
        <v>PEKOVÁ Zuzana</v>
      </c>
      <c r="J519" s="496"/>
      <c r="K519" s="496"/>
      <c r="L519" s="496"/>
      <c r="M519" s="263"/>
      <c r="N519" s="263"/>
      <c r="O519" s="263"/>
      <c r="P519" s="496" t="str">
        <f>I510</f>
        <v>MIKULOVÁ Terézia</v>
      </c>
      <c r="Q519" s="496"/>
      <c r="R519" s="496"/>
      <c r="S519" s="496"/>
      <c r="T519" s="497"/>
      <c r="U519" s="497"/>
      <c r="V519" s="263"/>
      <c r="W519" s="267"/>
      <c r="X519" s="263"/>
    </row>
    <row r="520" spans="1:53" ht="69.95" customHeight="1">
      <c r="E520" s="264"/>
      <c r="F520" s="265"/>
      <c r="G520" s="263"/>
      <c r="H520" s="275" t="s">
        <v>36</v>
      </c>
      <c r="I520" s="483"/>
      <c r="J520" s="494"/>
      <c r="K520" s="494"/>
      <c r="L520" s="495"/>
      <c r="M520" s="263"/>
      <c r="N520" s="263"/>
      <c r="O520" s="275" t="s">
        <v>36</v>
      </c>
      <c r="P520" s="486"/>
      <c r="Q520" s="486"/>
      <c r="R520" s="486"/>
      <c r="S520" s="486"/>
      <c r="T520" s="486"/>
      <c r="U520" s="486"/>
      <c r="V520" s="263"/>
      <c r="W520" s="267"/>
      <c r="X520" s="263"/>
    </row>
    <row r="521" spans="1:53" ht="69.95" customHeight="1">
      <c r="E521" s="264"/>
      <c r="F521" s="265"/>
      <c r="G521" s="263"/>
      <c r="H521" s="275" t="s">
        <v>37</v>
      </c>
      <c r="I521" s="486"/>
      <c r="J521" s="486"/>
      <c r="K521" s="486"/>
      <c r="L521" s="486"/>
      <c r="M521" s="263"/>
      <c r="N521" s="263"/>
      <c r="O521" s="275" t="s">
        <v>37</v>
      </c>
      <c r="P521" s="486"/>
      <c r="Q521" s="486"/>
      <c r="R521" s="486"/>
      <c r="S521" s="486"/>
      <c r="T521" s="486"/>
      <c r="U521" s="486"/>
      <c r="V521" s="263"/>
      <c r="W521" s="267"/>
      <c r="X521" s="263"/>
    </row>
    <row r="522" spans="1:53" ht="69.95" customHeight="1">
      <c r="E522" s="264"/>
      <c r="F522" s="265"/>
      <c r="G522" s="263"/>
      <c r="H522" s="275" t="s">
        <v>37</v>
      </c>
      <c r="I522" s="486"/>
      <c r="J522" s="486"/>
      <c r="K522" s="486"/>
      <c r="L522" s="486"/>
      <c r="M522" s="263"/>
      <c r="N522" s="263"/>
      <c r="O522" s="275" t="s">
        <v>37</v>
      </c>
      <c r="P522" s="486"/>
      <c r="Q522" s="486"/>
      <c r="R522" s="486"/>
      <c r="S522" s="486"/>
      <c r="T522" s="486"/>
      <c r="U522" s="486"/>
      <c r="V522" s="263"/>
      <c r="W522" s="267"/>
      <c r="X522" s="263"/>
    </row>
    <row r="523" spans="1:53" ht="39.950000000000003" customHeight="1" thickBot="1">
      <c r="E523" s="276"/>
      <c r="F523" s="277"/>
      <c r="G523" s="278"/>
      <c r="H523" s="278"/>
      <c r="I523" s="278"/>
      <c r="J523" s="278"/>
      <c r="K523" s="278"/>
      <c r="L523" s="278"/>
      <c r="M523" s="278"/>
      <c r="N523" s="278"/>
      <c r="O523" s="278"/>
      <c r="P523" s="278"/>
      <c r="Q523" s="278"/>
      <c r="R523" s="278"/>
      <c r="S523" s="278"/>
      <c r="T523" s="279"/>
      <c r="U523" s="279"/>
      <c r="V523" s="279"/>
      <c r="W523" s="280"/>
      <c r="X523" s="263"/>
    </row>
    <row r="524" spans="1:53" ht="62.25" thickBot="1">
      <c r="A524" s="252" t="s">
        <v>62</v>
      </c>
    </row>
    <row r="525" spans="1:53" ht="39.950000000000003" customHeight="1">
      <c r="A525" s="252" t="str">
        <f>CONCATENATE(F532,F534,F536)</f>
        <v>DC1-2</v>
      </c>
      <c r="E525" s="259" t="s">
        <v>70</v>
      </c>
      <c r="F525" s="260">
        <f>VLOOKUP(A525,'zoznam zapasov'!$A$6:$K$77,3,0)</f>
        <v>27</v>
      </c>
      <c r="G525" s="261"/>
      <c r="H525" s="322" t="s">
        <v>501</v>
      </c>
      <c r="I525" s="261"/>
      <c r="J525" s="261"/>
      <c r="K525" s="261"/>
      <c r="L525" s="261"/>
      <c r="M525" s="261"/>
      <c r="N525" s="261"/>
      <c r="O525" s="261"/>
      <c r="P525" s="261"/>
      <c r="Q525" s="261"/>
      <c r="R525" s="261"/>
      <c r="S525" s="261"/>
      <c r="T525" s="261"/>
      <c r="U525" s="261"/>
      <c r="V525" s="261" t="s">
        <v>30</v>
      </c>
      <c r="W525" s="262"/>
      <c r="X525" s="263"/>
      <c r="Z525" s="258" t="str">
        <f>CONCATENATE(V527,":",V530)</f>
        <v>3:2</v>
      </c>
      <c r="AE525" s="253" t="s">
        <v>11</v>
      </c>
      <c r="AV525" s="256" t="str">
        <f>CONCATENATE(AN527,",",AO527,",",AP527,",",AQ527,",",AR527,",",AS527,",",AT527)</f>
        <v>3,-8,4,-11,3,,</v>
      </c>
    </row>
    <row r="526" spans="1:53" ht="39.950000000000003" customHeight="1">
      <c r="E526" s="264"/>
      <c r="F526" s="265"/>
      <c r="G526" s="321" t="s">
        <v>500</v>
      </c>
      <c r="H526" s="323" t="s">
        <v>502</v>
      </c>
      <c r="I526" s="263"/>
      <c r="J526" s="263"/>
      <c r="K526" s="263"/>
      <c r="L526" s="263"/>
      <c r="M526" s="263"/>
      <c r="N526" s="266">
        <v>1</v>
      </c>
      <c r="O526" s="266">
        <v>2</v>
      </c>
      <c r="P526" s="266">
        <v>3</v>
      </c>
      <c r="Q526" s="266">
        <v>4</v>
      </c>
      <c r="R526" s="266">
        <v>5</v>
      </c>
      <c r="S526" s="266">
        <v>6</v>
      </c>
      <c r="T526" s="266">
        <v>7</v>
      </c>
      <c r="U526" s="263"/>
      <c r="V526" s="266" t="s">
        <v>31</v>
      </c>
      <c r="W526" s="267"/>
      <c r="X526" s="263"/>
      <c r="AE526" s="253" t="s">
        <v>68</v>
      </c>
      <c r="AV526" s="256" t="str">
        <f>CONCATENATE(AN528,",",AO528,",",AP528,",",AQ528,",",AR528,",",AS528,",",AT528)</f>
        <v>-3,8,-4,11,-3,,</v>
      </c>
    </row>
    <row r="527" spans="1:53" ht="39.950000000000003" customHeight="1">
      <c r="A527" s="252" t="str">
        <f>CONCATENATE(F532,VLOOKUP(F534,$AZ$7:$BA$14,2,0),LEFT(F536,1))</f>
        <v>D31</v>
      </c>
      <c r="E527" s="264" t="s">
        <v>29</v>
      </c>
      <c r="F527" s="265">
        <f>VLOOKUP(A525,'zoznam zapasov'!$A$6:$K$77,11,0)</f>
        <v>3</v>
      </c>
      <c r="G527" s="508"/>
      <c r="H527" s="495"/>
      <c r="I527" s="487" t="str">
        <f>IF(ISERROR(VLOOKUP(A527,vylosovanie!$A$8:$J$68,6,0))=TRUE,"",VLOOKUP(A527,vylosovanie!$A$8:$J$68,6,0))</f>
        <v>ŠINKAROVÁ Dáša</v>
      </c>
      <c r="J527" s="487"/>
      <c r="K527" s="487"/>
      <c r="L527" s="487"/>
      <c r="M527" s="263"/>
      <c r="N527" s="489">
        <v>11</v>
      </c>
      <c r="O527" s="489">
        <v>8</v>
      </c>
      <c r="P527" s="489">
        <v>11</v>
      </c>
      <c r="Q527" s="489">
        <v>11</v>
      </c>
      <c r="R527" s="489">
        <v>11</v>
      </c>
      <c r="S527" s="489"/>
      <c r="T527" s="489"/>
      <c r="U527" s="263"/>
      <c r="V527" s="493">
        <f>IF(SUM(AF527:AL528)=0,"",SUM(AF527:AL527))</f>
        <v>3</v>
      </c>
      <c r="W527" s="267"/>
      <c r="X527" s="263"/>
      <c r="AE527" s="253" t="str">
        <f>VLOOKUP(I527,vylosovanie!$F$8:$L$190,7,0)</f>
        <v>D31</v>
      </c>
      <c r="AF527" s="268">
        <f>IF(N527&gt;N530,1,0)</f>
        <v>1</v>
      </c>
      <c r="AG527" s="268">
        <f t="shared" ref="AG527" si="354">IF(O527&gt;O530,1,0)</f>
        <v>0</v>
      </c>
      <c r="AH527" s="268">
        <f t="shared" ref="AH527" si="355">IF(P527&gt;P530,1,0)</f>
        <v>1</v>
      </c>
      <c r="AI527" s="268">
        <f t="shared" ref="AI527" si="356">IF(Q527&gt;Q530,1,0)</f>
        <v>0</v>
      </c>
      <c r="AJ527" s="268">
        <f t="shared" ref="AJ527" si="357">IF(R527&gt;R530,1,0)</f>
        <v>1</v>
      </c>
      <c r="AK527" s="268">
        <f t="shared" ref="AK527" si="358">IF(S527&gt;S530,1,0)</f>
        <v>0</v>
      </c>
      <c r="AL527" s="268">
        <f t="shared" ref="AL527" si="359">IF(T527&gt;T530,1,0)</f>
        <v>0</v>
      </c>
      <c r="AN527" s="268">
        <f t="shared" ref="AN527:AT527" si="360">IF(ISBLANK(N527)=TRUE,"",IF(AF527=1,N530,-N527))</f>
        <v>3</v>
      </c>
      <c r="AO527" s="268">
        <f t="shared" si="360"/>
        <v>-8</v>
      </c>
      <c r="AP527" s="268">
        <f t="shared" si="360"/>
        <v>4</v>
      </c>
      <c r="AQ527" s="268">
        <f t="shared" si="360"/>
        <v>-11</v>
      </c>
      <c r="AR527" s="268">
        <f t="shared" si="360"/>
        <v>3</v>
      </c>
      <c r="AS527" s="268" t="str">
        <f t="shared" si="360"/>
        <v/>
      </c>
      <c r="AT527" s="268" t="str">
        <f t="shared" si="360"/>
        <v/>
      </c>
      <c r="AZ527" s="269" t="s">
        <v>12</v>
      </c>
      <c r="BA527" s="269">
        <v>1</v>
      </c>
    </row>
    <row r="528" spans="1:53" ht="39.950000000000003" customHeight="1">
      <c r="E528" s="264"/>
      <c r="F528" s="265"/>
      <c r="G528" s="509"/>
      <c r="H528" s="495"/>
      <c r="I528" s="487"/>
      <c r="J528" s="487"/>
      <c r="K528" s="487"/>
      <c r="L528" s="487"/>
      <c r="M528" s="263"/>
      <c r="N528" s="490"/>
      <c r="O528" s="490"/>
      <c r="P528" s="490"/>
      <c r="Q528" s="490"/>
      <c r="R528" s="490"/>
      <c r="S528" s="490"/>
      <c r="T528" s="490"/>
      <c r="U528" s="263"/>
      <c r="V528" s="493"/>
      <c r="W528" s="267"/>
      <c r="X528" s="263"/>
      <c r="AE528" s="253" t="str">
        <f>VLOOKUP(I530,vylosovanie!$F$8:$L$190,7,0)</f>
        <v>D32</v>
      </c>
      <c r="AF528" s="268">
        <f>IF(N530&gt;N527,1,0)</f>
        <v>0</v>
      </c>
      <c r="AG528" s="268">
        <f t="shared" ref="AG528" si="361">IF(O530&gt;O527,1,0)</f>
        <v>1</v>
      </c>
      <c r="AH528" s="268">
        <f t="shared" ref="AH528" si="362">IF(P530&gt;P527,1,0)</f>
        <v>0</v>
      </c>
      <c r="AI528" s="268">
        <f t="shared" ref="AI528" si="363">IF(Q530&gt;Q527,1,0)</f>
        <v>1</v>
      </c>
      <c r="AJ528" s="268">
        <f t="shared" ref="AJ528" si="364">IF(R530&gt;R527,1,0)</f>
        <v>0</v>
      </c>
      <c r="AK528" s="268">
        <f t="shared" ref="AK528" si="365">IF(S530&gt;S527,1,0)</f>
        <v>0</v>
      </c>
      <c r="AL528" s="268">
        <f t="shared" ref="AL528" si="366">IF(T530&gt;T527,1,0)</f>
        <v>0</v>
      </c>
      <c r="AN528" s="268">
        <f t="shared" ref="AN528:AT528" si="367">IF(ISBLANK(N530)=TRUE,"",IF(AF528=1,N527,-N530))</f>
        <v>-3</v>
      </c>
      <c r="AO528" s="268">
        <f t="shared" si="367"/>
        <v>8</v>
      </c>
      <c r="AP528" s="268">
        <f t="shared" si="367"/>
        <v>-4</v>
      </c>
      <c r="AQ528" s="268">
        <f t="shared" si="367"/>
        <v>11</v>
      </c>
      <c r="AR528" s="268">
        <f t="shared" si="367"/>
        <v>-3</v>
      </c>
      <c r="AS528" s="268" t="str">
        <f t="shared" si="367"/>
        <v/>
      </c>
      <c r="AT528" s="268" t="str">
        <f t="shared" si="367"/>
        <v/>
      </c>
      <c r="AZ528" s="269" t="s">
        <v>18</v>
      </c>
      <c r="BA528" s="269">
        <v>2</v>
      </c>
    </row>
    <row r="529" spans="1:53" ht="39.950000000000003" customHeight="1">
      <c r="E529" s="264" t="s">
        <v>35</v>
      </c>
      <c r="F529" s="265" t="str">
        <f>VLOOKUP(A525,'zoznam zapasov'!$A$6:$K$77,9,0)</f>
        <v>So</v>
      </c>
      <c r="G529" s="263"/>
      <c r="H529" s="263"/>
      <c r="I529" s="263"/>
      <c r="J529" s="263"/>
      <c r="K529" s="263"/>
      <c r="L529" s="263"/>
      <c r="M529" s="263"/>
      <c r="N529" s="263"/>
      <c r="O529" s="263"/>
      <c r="P529" s="263"/>
      <c r="Q529" s="263"/>
      <c r="R529" s="263"/>
      <c r="S529" s="263"/>
      <c r="T529" s="263"/>
      <c r="U529" s="263"/>
      <c r="V529" s="263"/>
      <c r="W529" s="267"/>
      <c r="X529" s="263"/>
      <c r="AZ529" s="269" t="s">
        <v>38</v>
      </c>
      <c r="BA529" s="269">
        <v>3</v>
      </c>
    </row>
    <row r="530" spans="1:53" ht="39.950000000000003" customHeight="1">
      <c r="A530" s="252" t="str">
        <f>CONCATENATE(F532,VLOOKUP(F534,$AZ$7:$BA$14,2,0),RIGHT(F536,1))</f>
        <v>D32</v>
      </c>
      <c r="E530" s="264" t="s">
        <v>28</v>
      </c>
      <c r="F530" s="270" t="str">
        <f>VLOOKUP(A525,'zoznam zapasov'!$A$6:$K$77,10,0)</f>
        <v>10.45</v>
      </c>
      <c r="G530" s="508"/>
      <c r="H530" s="486"/>
      <c r="I530" s="487" t="str">
        <f>IF(ISERROR(VLOOKUP(A530,vylosovanie!$A$8:$J$68,6,0))=TRUE,"",VLOOKUP(A530,vylosovanie!$A$8:$J$68,6,0))</f>
        <v>DZUROVÁ Lenka</v>
      </c>
      <c r="J530" s="487"/>
      <c r="K530" s="487"/>
      <c r="L530" s="487"/>
      <c r="M530" s="263"/>
      <c r="N530" s="489">
        <v>3</v>
      </c>
      <c r="O530" s="489">
        <v>11</v>
      </c>
      <c r="P530" s="489">
        <v>4</v>
      </c>
      <c r="Q530" s="489">
        <v>13</v>
      </c>
      <c r="R530" s="489">
        <v>3</v>
      </c>
      <c r="S530" s="489"/>
      <c r="T530" s="489"/>
      <c r="U530" s="263"/>
      <c r="V530" s="493">
        <f>IF(SUM(AF527:AL528)=0,"",SUM(AF528:AL528))</f>
        <v>2</v>
      </c>
      <c r="W530" s="267"/>
      <c r="X530" s="263"/>
      <c r="AZ530" s="269" t="s">
        <v>39</v>
      </c>
      <c r="BA530" s="269">
        <v>4</v>
      </c>
    </row>
    <row r="531" spans="1:53" ht="39.950000000000003" customHeight="1">
      <c r="E531" s="271"/>
      <c r="F531" s="272"/>
      <c r="G531" s="509"/>
      <c r="H531" s="486"/>
      <c r="I531" s="487"/>
      <c r="J531" s="487"/>
      <c r="K531" s="487"/>
      <c r="L531" s="487"/>
      <c r="M531" s="263"/>
      <c r="N531" s="490"/>
      <c r="O531" s="490"/>
      <c r="P531" s="490"/>
      <c r="Q531" s="490"/>
      <c r="R531" s="490"/>
      <c r="S531" s="490"/>
      <c r="T531" s="490"/>
      <c r="U531" s="263"/>
      <c r="V531" s="493"/>
      <c r="W531" s="267"/>
      <c r="X531" s="263"/>
      <c r="AZ531" s="269" t="s">
        <v>40</v>
      </c>
      <c r="BA531" s="269">
        <v>5</v>
      </c>
    </row>
    <row r="532" spans="1:53" ht="39.950000000000003" customHeight="1">
      <c r="E532" s="264" t="s">
        <v>66</v>
      </c>
      <c r="F532" s="265" t="s">
        <v>39</v>
      </c>
      <c r="G532" s="263"/>
      <c r="H532" s="263"/>
      <c r="I532" s="263"/>
      <c r="J532" s="263"/>
      <c r="K532" s="263"/>
      <c r="L532" s="263"/>
      <c r="M532" s="263"/>
      <c r="N532" s="263"/>
      <c r="O532" s="263"/>
      <c r="P532" s="263"/>
      <c r="Q532" s="263"/>
      <c r="R532" s="263"/>
      <c r="S532" s="263"/>
      <c r="T532" s="263"/>
      <c r="U532" s="263"/>
      <c r="V532" s="263"/>
      <c r="W532" s="267"/>
      <c r="X532" s="263"/>
      <c r="AZ532" s="269" t="s">
        <v>41</v>
      </c>
      <c r="BA532" s="269">
        <v>6</v>
      </c>
    </row>
    <row r="533" spans="1:53" ht="39.950000000000003" customHeight="1">
      <c r="E533" s="271"/>
      <c r="F533" s="272"/>
      <c r="G533" s="263"/>
      <c r="H533" s="263"/>
      <c r="I533" s="263" t="s">
        <v>32</v>
      </c>
      <c r="J533" s="263"/>
      <c r="K533" s="263"/>
      <c r="L533" s="263"/>
      <c r="M533" s="263"/>
      <c r="N533" s="273"/>
      <c r="O533" s="266"/>
      <c r="P533" s="266" t="s">
        <v>34</v>
      </c>
      <c r="Q533" s="266"/>
      <c r="R533" s="266"/>
      <c r="S533" s="266"/>
      <c r="T533" s="266"/>
      <c r="U533" s="263"/>
      <c r="V533" s="263"/>
      <c r="W533" s="267"/>
      <c r="X533" s="263"/>
      <c r="AZ533" s="269" t="s">
        <v>42</v>
      </c>
      <c r="BA533" s="269">
        <v>7</v>
      </c>
    </row>
    <row r="534" spans="1:53" ht="39.950000000000003" customHeight="1">
      <c r="E534" s="264" t="s">
        <v>26</v>
      </c>
      <c r="F534" s="265" t="s">
        <v>38</v>
      </c>
      <c r="G534" s="263"/>
      <c r="H534" s="263"/>
      <c r="I534" s="486"/>
      <c r="J534" s="486"/>
      <c r="K534" s="486"/>
      <c r="L534" s="486"/>
      <c r="M534" s="263"/>
      <c r="N534" s="486" t="str">
        <f>IF(V527&gt;V530,I527,IF(V530&gt;V527,I530,""))</f>
        <v>ŠINKAROVÁ Dáša</v>
      </c>
      <c r="O534" s="486"/>
      <c r="P534" s="486"/>
      <c r="Q534" s="486"/>
      <c r="R534" s="486"/>
      <c r="S534" s="486"/>
      <c r="T534" s="263"/>
      <c r="U534" s="263"/>
      <c r="V534" s="263"/>
      <c r="W534" s="267"/>
      <c r="X534" s="263"/>
      <c r="AZ534" s="269" t="s">
        <v>43</v>
      </c>
      <c r="BA534" s="269">
        <v>8</v>
      </c>
    </row>
    <row r="535" spans="1:53" ht="39.950000000000003" customHeight="1">
      <c r="E535" s="271"/>
      <c r="F535" s="272"/>
      <c r="G535" s="263"/>
      <c r="H535" s="263"/>
      <c r="I535" s="486"/>
      <c r="J535" s="486"/>
      <c r="K535" s="486"/>
      <c r="L535" s="486"/>
      <c r="M535" s="263"/>
      <c r="N535" s="486"/>
      <c r="O535" s="486"/>
      <c r="P535" s="486"/>
      <c r="Q535" s="486"/>
      <c r="R535" s="486"/>
      <c r="S535" s="486"/>
      <c r="T535" s="263"/>
      <c r="U535" s="263"/>
      <c r="V535" s="263"/>
      <c r="W535" s="267"/>
      <c r="X535" s="263"/>
    </row>
    <row r="536" spans="1:53" ht="39.950000000000003" customHeight="1">
      <c r="E536" s="264" t="s">
        <v>27</v>
      </c>
      <c r="F536" s="274" t="s">
        <v>22</v>
      </c>
      <c r="G536" s="263"/>
      <c r="H536" s="263"/>
      <c r="I536" s="263"/>
      <c r="J536" s="263"/>
      <c r="K536" s="263"/>
      <c r="L536" s="263"/>
      <c r="M536" s="263"/>
      <c r="N536" s="263"/>
      <c r="O536" s="263"/>
      <c r="P536" s="263"/>
      <c r="Q536" s="263"/>
      <c r="R536" s="263"/>
      <c r="S536" s="263"/>
      <c r="T536" s="263"/>
      <c r="U536" s="263"/>
      <c r="V536" s="263"/>
      <c r="W536" s="267"/>
      <c r="X536" s="263"/>
    </row>
    <row r="537" spans="1:53" ht="39.950000000000003" customHeight="1">
      <c r="E537" s="271"/>
      <c r="F537" s="272"/>
      <c r="G537" s="263"/>
      <c r="H537" s="263" t="s">
        <v>33</v>
      </c>
      <c r="I537" s="263"/>
      <c r="J537" s="263"/>
      <c r="K537" s="263"/>
      <c r="L537" s="263"/>
      <c r="M537" s="263"/>
      <c r="N537" s="263"/>
      <c r="O537" s="263"/>
      <c r="P537" s="263"/>
      <c r="Q537" s="263"/>
      <c r="R537" s="263"/>
      <c r="S537" s="263"/>
      <c r="T537" s="263"/>
      <c r="U537" s="263"/>
      <c r="V537" s="263"/>
      <c r="W537" s="267"/>
      <c r="X537" s="263"/>
    </row>
    <row r="538" spans="1:53" ht="39.950000000000003" customHeight="1">
      <c r="E538" s="271"/>
      <c r="F538" s="272"/>
      <c r="G538" s="263"/>
      <c r="H538" s="263"/>
      <c r="I538" s="263"/>
      <c r="J538" s="263"/>
      <c r="K538" s="263"/>
      <c r="L538" s="263"/>
      <c r="M538" s="263"/>
      <c r="N538" s="263"/>
      <c r="O538" s="263"/>
      <c r="P538" s="263"/>
      <c r="Q538" s="263"/>
      <c r="R538" s="263"/>
      <c r="S538" s="263"/>
      <c r="T538" s="263"/>
      <c r="U538" s="263"/>
      <c r="V538" s="263"/>
      <c r="W538" s="267"/>
      <c r="X538" s="263"/>
    </row>
    <row r="539" spans="1:53" ht="39.950000000000003" customHeight="1">
      <c r="E539" s="271"/>
      <c r="F539" s="272"/>
      <c r="G539" s="263"/>
      <c r="H539" s="263"/>
      <c r="I539" s="496" t="str">
        <f>I527</f>
        <v>ŠINKAROVÁ Dáša</v>
      </c>
      <c r="J539" s="496"/>
      <c r="K539" s="496"/>
      <c r="L539" s="496"/>
      <c r="M539" s="263"/>
      <c r="N539" s="263"/>
      <c r="O539" s="263"/>
      <c r="P539" s="496" t="str">
        <f>I530</f>
        <v>DZUROVÁ Lenka</v>
      </c>
      <c r="Q539" s="496"/>
      <c r="R539" s="496"/>
      <c r="S539" s="496"/>
      <c r="T539" s="497"/>
      <c r="U539" s="497"/>
      <c r="V539" s="263"/>
      <c r="W539" s="267"/>
      <c r="X539" s="263"/>
    </row>
    <row r="540" spans="1:53" ht="69.95" customHeight="1">
      <c r="E540" s="264"/>
      <c r="F540" s="265"/>
      <c r="G540" s="263"/>
      <c r="H540" s="275" t="s">
        <v>36</v>
      </c>
      <c r="I540" s="483"/>
      <c r="J540" s="494"/>
      <c r="K540" s="494"/>
      <c r="L540" s="495"/>
      <c r="M540" s="263"/>
      <c r="N540" s="263"/>
      <c r="O540" s="275" t="s">
        <v>36</v>
      </c>
      <c r="P540" s="486"/>
      <c r="Q540" s="486"/>
      <c r="R540" s="486"/>
      <c r="S540" s="486"/>
      <c r="T540" s="486"/>
      <c r="U540" s="486"/>
      <c r="V540" s="263"/>
      <c r="W540" s="267"/>
      <c r="X540" s="263"/>
    </row>
    <row r="541" spans="1:53" ht="69.95" customHeight="1">
      <c r="E541" s="264"/>
      <c r="F541" s="265"/>
      <c r="G541" s="263"/>
      <c r="H541" s="275" t="s">
        <v>37</v>
      </c>
      <c r="I541" s="486"/>
      <c r="J541" s="486"/>
      <c r="K541" s="486"/>
      <c r="L541" s="486"/>
      <c r="M541" s="263"/>
      <c r="N541" s="263"/>
      <c r="O541" s="275" t="s">
        <v>37</v>
      </c>
      <c r="P541" s="486"/>
      <c r="Q541" s="486"/>
      <c r="R541" s="486"/>
      <c r="S541" s="486"/>
      <c r="T541" s="486"/>
      <c r="U541" s="486"/>
      <c r="V541" s="263"/>
      <c r="W541" s="267"/>
      <c r="X541" s="263"/>
    </row>
    <row r="542" spans="1:53" ht="69.95" customHeight="1">
      <c r="E542" s="264"/>
      <c r="F542" s="265"/>
      <c r="G542" s="263"/>
      <c r="H542" s="275" t="s">
        <v>37</v>
      </c>
      <c r="I542" s="486"/>
      <c r="J542" s="486"/>
      <c r="K542" s="486"/>
      <c r="L542" s="486"/>
      <c r="M542" s="263"/>
      <c r="N542" s="263"/>
      <c r="O542" s="275" t="s">
        <v>37</v>
      </c>
      <c r="P542" s="486"/>
      <c r="Q542" s="486"/>
      <c r="R542" s="486"/>
      <c r="S542" s="486"/>
      <c r="T542" s="486"/>
      <c r="U542" s="486"/>
      <c r="V542" s="263"/>
      <c r="W542" s="267"/>
      <c r="X542" s="263"/>
    </row>
    <row r="543" spans="1:53" ht="39.950000000000003" customHeight="1" thickBot="1">
      <c r="E543" s="276"/>
      <c r="F543" s="277"/>
      <c r="G543" s="278"/>
      <c r="H543" s="278"/>
      <c r="I543" s="278"/>
      <c r="J543" s="278"/>
      <c r="K543" s="278"/>
      <c r="L543" s="278"/>
      <c r="M543" s="278"/>
      <c r="N543" s="278"/>
      <c r="O543" s="278"/>
      <c r="P543" s="278"/>
      <c r="Q543" s="278"/>
      <c r="R543" s="278"/>
      <c r="S543" s="278"/>
      <c r="T543" s="279"/>
      <c r="U543" s="279"/>
      <c r="V543" s="279"/>
      <c r="W543" s="280"/>
      <c r="X543" s="263"/>
    </row>
    <row r="544" spans="1:53" ht="62.25" thickBot="1"/>
    <row r="545" spans="1:53" ht="39.950000000000003" customHeight="1">
      <c r="A545" s="252" t="str">
        <f>CONCATENATE(F552,F554,F556)</f>
        <v>DD1-2</v>
      </c>
      <c r="E545" s="259" t="s">
        <v>70</v>
      </c>
      <c r="F545" s="260">
        <f>VLOOKUP(A545,'zoznam zapasov'!$A$6:$K$77,3,0)</f>
        <v>28</v>
      </c>
      <c r="G545" s="261"/>
      <c r="H545" s="322" t="s">
        <v>501</v>
      </c>
      <c r="I545" s="261"/>
      <c r="J545" s="261"/>
      <c r="K545" s="261"/>
      <c r="L545" s="261"/>
      <c r="M545" s="261"/>
      <c r="N545" s="261"/>
      <c r="O545" s="261"/>
      <c r="P545" s="261"/>
      <c r="Q545" s="261"/>
      <c r="R545" s="261"/>
      <c r="S545" s="261"/>
      <c r="T545" s="261"/>
      <c r="U545" s="261"/>
      <c r="V545" s="261" t="s">
        <v>30</v>
      </c>
      <c r="W545" s="262"/>
      <c r="X545" s="263"/>
      <c r="Z545" s="258" t="str">
        <f>CONCATENATE(V547,":",V550)</f>
        <v>3:0</v>
      </c>
      <c r="AE545" s="253" t="s">
        <v>11</v>
      </c>
      <c r="AV545" s="256" t="str">
        <f>CONCATENATE(AN547,",",AO547,",",AP547,",",AQ547,",",AR547,",",AS547,",",AT547)</f>
        <v>2,4,10,,,,</v>
      </c>
    </row>
    <row r="546" spans="1:53" ht="39.950000000000003" customHeight="1">
      <c r="E546" s="264"/>
      <c r="F546" s="265"/>
      <c r="G546" s="321" t="s">
        <v>500</v>
      </c>
      <c r="H546" s="323" t="s">
        <v>502</v>
      </c>
      <c r="I546" s="263"/>
      <c r="J546" s="263"/>
      <c r="K546" s="263"/>
      <c r="L546" s="263"/>
      <c r="M546" s="263"/>
      <c r="N546" s="266">
        <v>1</v>
      </c>
      <c r="O546" s="266">
        <v>2</v>
      </c>
      <c r="P546" s="266">
        <v>3</v>
      </c>
      <c r="Q546" s="266">
        <v>4</v>
      </c>
      <c r="R546" s="266">
        <v>5</v>
      </c>
      <c r="S546" s="266">
        <v>6</v>
      </c>
      <c r="T546" s="266">
        <v>7</v>
      </c>
      <c r="U546" s="263"/>
      <c r="V546" s="266" t="s">
        <v>31</v>
      </c>
      <c r="W546" s="267"/>
      <c r="X546" s="263"/>
      <c r="AE546" s="253" t="s">
        <v>68</v>
      </c>
      <c r="AV546" s="256" t="str">
        <f>CONCATENATE(AN548,",",AO548,",",AP548,",",AQ548,",",AR548,",",AS548,",",AT548)</f>
        <v>-2,-4,-10,,,,</v>
      </c>
    </row>
    <row r="547" spans="1:53" ht="39.950000000000003" customHeight="1">
      <c r="A547" s="252" t="str">
        <f>CONCATENATE(F552,VLOOKUP(F554,$AZ$7:$BA$14,2,0),LEFT(F556,1))</f>
        <v>D41</v>
      </c>
      <c r="E547" s="264" t="s">
        <v>29</v>
      </c>
      <c r="F547" s="265">
        <f>VLOOKUP(A545,'zoznam zapasov'!$A$6:$K$77,11,0)</f>
        <v>4</v>
      </c>
      <c r="G547" s="508"/>
      <c r="H547" s="495"/>
      <c r="I547" s="487" t="str">
        <f>IF(ISERROR(VLOOKUP(A547,vylosovanie!$A$8:$J$68,6,0))=TRUE,"",VLOOKUP(A547,vylosovanie!$A$8:$J$68,6,0))</f>
        <v>DZELINSKA Júlia</v>
      </c>
      <c r="J547" s="487"/>
      <c r="K547" s="487"/>
      <c r="L547" s="487"/>
      <c r="M547" s="263"/>
      <c r="N547" s="489">
        <v>11</v>
      </c>
      <c r="O547" s="489">
        <v>11</v>
      </c>
      <c r="P547" s="489">
        <v>12</v>
      </c>
      <c r="Q547" s="489"/>
      <c r="R547" s="489"/>
      <c r="S547" s="489"/>
      <c r="T547" s="489"/>
      <c r="U547" s="263"/>
      <c r="V547" s="493">
        <f>IF(SUM(AF547:AL548)=0,"",SUM(AF547:AL547))</f>
        <v>3</v>
      </c>
      <c r="W547" s="267"/>
      <c r="X547" s="263"/>
      <c r="AE547" s="253" t="str">
        <f>VLOOKUP(I547,vylosovanie!$F$8:$L$190,7,0)</f>
        <v>D41</v>
      </c>
      <c r="AF547" s="268">
        <f>IF(N547&gt;N550,1,0)</f>
        <v>1</v>
      </c>
      <c r="AG547" s="268">
        <f t="shared" ref="AG547" si="368">IF(O547&gt;O550,1,0)</f>
        <v>1</v>
      </c>
      <c r="AH547" s="268">
        <f t="shared" ref="AH547" si="369">IF(P547&gt;P550,1,0)</f>
        <v>1</v>
      </c>
      <c r="AI547" s="268">
        <f t="shared" ref="AI547" si="370">IF(Q547&gt;Q550,1,0)</f>
        <v>0</v>
      </c>
      <c r="AJ547" s="268">
        <f t="shared" ref="AJ547" si="371">IF(R547&gt;R550,1,0)</f>
        <v>0</v>
      </c>
      <c r="AK547" s="268">
        <f t="shared" ref="AK547" si="372">IF(S547&gt;S550,1,0)</f>
        <v>0</v>
      </c>
      <c r="AL547" s="268">
        <f t="shared" ref="AL547" si="373">IF(T547&gt;T550,1,0)</f>
        <v>0</v>
      </c>
      <c r="AN547" s="268">
        <f t="shared" ref="AN547:AT547" si="374">IF(ISBLANK(N547)=TRUE,"",IF(AF547=1,N550,-N547))</f>
        <v>2</v>
      </c>
      <c r="AO547" s="268">
        <f t="shared" si="374"/>
        <v>4</v>
      </c>
      <c r="AP547" s="268">
        <f t="shared" si="374"/>
        <v>10</v>
      </c>
      <c r="AQ547" s="268" t="str">
        <f t="shared" si="374"/>
        <v/>
      </c>
      <c r="AR547" s="268" t="str">
        <f t="shared" si="374"/>
        <v/>
      </c>
      <c r="AS547" s="268" t="str">
        <f t="shared" si="374"/>
        <v/>
      </c>
      <c r="AT547" s="268" t="str">
        <f t="shared" si="374"/>
        <v/>
      </c>
      <c r="AZ547" s="269" t="s">
        <v>12</v>
      </c>
      <c r="BA547" s="269">
        <v>1</v>
      </c>
    </row>
    <row r="548" spans="1:53" ht="39.950000000000003" customHeight="1">
      <c r="E548" s="264"/>
      <c r="F548" s="265"/>
      <c r="G548" s="509"/>
      <c r="H548" s="495"/>
      <c r="I548" s="487"/>
      <c r="J548" s="487"/>
      <c r="K548" s="487"/>
      <c r="L548" s="487"/>
      <c r="M548" s="263"/>
      <c r="N548" s="490"/>
      <c r="O548" s="490"/>
      <c r="P548" s="490"/>
      <c r="Q548" s="490"/>
      <c r="R548" s="490"/>
      <c r="S548" s="490"/>
      <c r="T548" s="490"/>
      <c r="U548" s="263"/>
      <c r="V548" s="493"/>
      <c r="W548" s="267"/>
      <c r="X548" s="263"/>
      <c r="AE548" s="253" t="str">
        <f>VLOOKUP(I550,vylosovanie!$F$8:$L$190,7,0)</f>
        <v>D42</v>
      </c>
      <c r="AF548" s="268">
        <f>IF(N550&gt;N547,1,0)</f>
        <v>0</v>
      </c>
      <c r="AG548" s="268">
        <f t="shared" ref="AG548" si="375">IF(O550&gt;O547,1,0)</f>
        <v>0</v>
      </c>
      <c r="AH548" s="268">
        <f t="shared" ref="AH548" si="376">IF(P550&gt;P547,1,0)</f>
        <v>0</v>
      </c>
      <c r="AI548" s="268">
        <f t="shared" ref="AI548" si="377">IF(Q550&gt;Q547,1,0)</f>
        <v>0</v>
      </c>
      <c r="AJ548" s="268">
        <f t="shared" ref="AJ548" si="378">IF(R550&gt;R547,1,0)</f>
        <v>0</v>
      </c>
      <c r="AK548" s="268">
        <f t="shared" ref="AK548" si="379">IF(S550&gt;S547,1,0)</f>
        <v>0</v>
      </c>
      <c r="AL548" s="268">
        <f t="shared" ref="AL548" si="380">IF(T550&gt;T547,1,0)</f>
        <v>0</v>
      </c>
      <c r="AN548" s="268">
        <f t="shared" ref="AN548:AT548" si="381">IF(ISBLANK(N550)=TRUE,"",IF(AF548=1,N547,-N550))</f>
        <v>-2</v>
      </c>
      <c r="AO548" s="268">
        <f t="shared" si="381"/>
        <v>-4</v>
      </c>
      <c r="AP548" s="268">
        <f t="shared" si="381"/>
        <v>-10</v>
      </c>
      <c r="AQ548" s="268" t="str">
        <f t="shared" si="381"/>
        <v/>
      </c>
      <c r="AR548" s="268" t="str">
        <f t="shared" si="381"/>
        <v/>
      </c>
      <c r="AS548" s="268" t="str">
        <f t="shared" si="381"/>
        <v/>
      </c>
      <c r="AT548" s="268" t="str">
        <f t="shared" si="381"/>
        <v/>
      </c>
      <c r="AZ548" s="269" t="s">
        <v>18</v>
      </c>
      <c r="BA548" s="269">
        <v>2</v>
      </c>
    </row>
    <row r="549" spans="1:53" ht="39.950000000000003" customHeight="1">
      <c r="E549" s="264" t="s">
        <v>35</v>
      </c>
      <c r="F549" s="265" t="str">
        <f>VLOOKUP(A545,'zoznam zapasov'!$A$6:$K$77,9,0)</f>
        <v>So</v>
      </c>
      <c r="G549" s="263"/>
      <c r="H549" s="263"/>
      <c r="I549" s="263"/>
      <c r="J549" s="263"/>
      <c r="K549" s="263"/>
      <c r="L549" s="263"/>
      <c r="M549" s="263"/>
      <c r="N549" s="263"/>
      <c r="O549" s="263"/>
      <c r="P549" s="263"/>
      <c r="Q549" s="263"/>
      <c r="R549" s="263"/>
      <c r="S549" s="263"/>
      <c r="T549" s="263"/>
      <c r="U549" s="263"/>
      <c r="V549" s="263"/>
      <c r="W549" s="267"/>
      <c r="X549" s="263"/>
      <c r="AZ549" s="269" t="s">
        <v>38</v>
      </c>
      <c r="BA549" s="269">
        <v>3</v>
      </c>
    </row>
    <row r="550" spans="1:53" ht="39.950000000000003" customHeight="1">
      <c r="A550" s="252" t="str">
        <f>CONCATENATE(F552,VLOOKUP(F554,$AZ$7:$BA$14,2,0),RIGHT(F556,1))</f>
        <v>D42</v>
      </c>
      <c r="E550" s="264" t="s">
        <v>28</v>
      </c>
      <c r="F550" s="270" t="str">
        <f>VLOOKUP(A545,'zoznam zapasov'!$A$6:$K$77,10,0)</f>
        <v>10.45</v>
      </c>
      <c r="G550" s="508"/>
      <c r="H550" s="486"/>
      <c r="I550" s="487" t="str">
        <f>IF(ISERROR(VLOOKUP(A550,vylosovanie!$A$8:$J$68,6,0))=TRUE,"",VLOOKUP(A550,vylosovanie!$A$8:$J$68,6,0))</f>
        <v>GAŠPARÍKOVÁ Lucia</v>
      </c>
      <c r="J550" s="487"/>
      <c r="K550" s="487"/>
      <c r="L550" s="487"/>
      <c r="M550" s="263"/>
      <c r="N550" s="489">
        <v>2</v>
      </c>
      <c r="O550" s="489">
        <v>4</v>
      </c>
      <c r="P550" s="489">
        <v>10</v>
      </c>
      <c r="Q550" s="489"/>
      <c r="R550" s="489"/>
      <c r="S550" s="489"/>
      <c r="T550" s="489"/>
      <c r="U550" s="263"/>
      <c r="V550" s="493">
        <f>IF(SUM(AF547:AL548)=0,"",SUM(AF548:AL548))</f>
        <v>0</v>
      </c>
      <c r="W550" s="267"/>
      <c r="X550" s="263"/>
      <c r="AZ550" s="269" t="s">
        <v>39</v>
      </c>
      <c r="BA550" s="269">
        <v>4</v>
      </c>
    </row>
    <row r="551" spans="1:53" ht="39.950000000000003" customHeight="1">
      <c r="E551" s="271"/>
      <c r="F551" s="272"/>
      <c r="G551" s="509"/>
      <c r="H551" s="486"/>
      <c r="I551" s="487"/>
      <c r="J551" s="487"/>
      <c r="K551" s="487"/>
      <c r="L551" s="487"/>
      <c r="M551" s="263"/>
      <c r="N551" s="490"/>
      <c r="O551" s="490"/>
      <c r="P551" s="490"/>
      <c r="Q551" s="490"/>
      <c r="R551" s="490"/>
      <c r="S551" s="490"/>
      <c r="T551" s="490"/>
      <c r="U551" s="263"/>
      <c r="V551" s="493"/>
      <c r="W551" s="267"/>
      <c r="X551" s="263"/>
      <c r="AZ551" s="269" t="s">
        <v>40</v>
      </c>
      <c r="BA551" s="269">
        <v>5</v>
      </c>
    </row>
    <row r="552" spans="1:53" ht="39.950000000000003" customHeight="1">
      <c r="E552" s="264" t="s">
        <v>66</v>
      </c>
      <c r="F552" s="265" t="s">
        <v>39</v>
      </c>
      <c r="G552" s="263"/>
      <c r="H552" s="263"/>
      <c r="I552" s="263"/>
      <c r="J552" s="263"/>
      <c r="K552" s="263"/>
      <c r="L552" s="263"/>
      <c r="M552" s="263"/>
      <c r="N552" s="263"/>
      <c r="O552" s="263"/>
      <c r="P552" s="263"/>
      <c r="Q552" s="263"/>
      <c r="R552" s="263"/>
      <c r="S552" s="263"/>
      <c r="T552" s="263"/>
      <c r="U552" s="263"/>
      <c r="V552" s="263"/>
      <c r="W552" s="267"/>
      <c r="X552" s="263"/>
      <c r="AZ552" s="269" t="s">
        <v>41</v>
      </c>
      <c r="BA552" s="269">
        <v>6</v>
      </c>
    </row>
    <row r="553" spans="1:53" ht="39.950000000000003" customHeight="1">
      <c r="E553" s="271"/>
      <c r="F553" s="272"/>
      <c r="G553" s="263"/>
      <c r="H553" s="263"/>
      <c r="I553" s="263" t="s">
        <v>32</v>
      </c>
      <c r="J553" s="263"/>
      <c r="K553" s="263"/>
      <c r="L553" s="263"/>
      <c r="M553" s="263"/>
      <c r="N553" s="273"/>
      <c r="O553" s="266"/>
      <c r="P553" s="266" t="s">
        <v>34</v>
      </c>
      <c r="Q553" s="266"/>
      <c r="R553" s="266"/>
      <c r="S553" s="266"/>
      <c r="T553" s="266"/>
      <c r="U553" s="263"/>
      <c r="V553" s="263"/>
      <c r="W553" s="267"/>
      <c r="X553" s="263"/>
      <c r="AZ553" s="269" t="s">
        <v>42</v>
      </c>
      <c r="BA553" s="269">
        <v>7</v>
      </c>
    </row>
    <row r="554" spans="1:53" ht="39.950000000000003" customHeight="1">
      <c r="E554" s="264" t="s">
        <v>26</v>
      </c>
      <c r="F554" s="265" t="s">
        <v>39</v>
      </c>
      <c r="G554" s="263"/>
      <c r="H554" s="263"/>
      <c r="I554" s="486"/>
      <c r="J554" s="486"/>
      <c r="K554" s="486"/>
      <c r="L554" s="486"/>
      <c r="M554" s="263"/>
      <c r="N554" s="486" t="str">
        <f>IF(V547&gt;V550,I547,IF(V550&gt;V547,I550,""))</f>
        <v>DZELINSKA Júlia</v>
      </c>
      <c r="O554" s="486"/>
      <c r="P554" s="486"/>
      <c r="Q554" s="486"/>
      <c r="R554" s="486"/>
      <c r="S554" s="486"/>
      <c r="T554" s="263"/>
      <c r="U554" s="263"/>
      <c r="V554" s="263"/>
      <c r="W554" s="267"/>
      <c r="X554" s="263"/>
      <c r="AZ554" s="269" t="s">
        <v>43</v>
      </c>
      <c r="BA554" s="269">
        <v>8</v>
      </c>
    </row>
    <row r="555" spans="1:53" ht="39.950000000000003" customHeight="1">
      <c r="E555" s="271"/>
      <c r="F555" s="272"/>
      <c r="G555" s="263"/>
      <c r="H555" s="263"/>
      <c r="I555" s="486"/>
      <c r="J555" s="486"/>
      <c r="K555" s="486"/>
      <c r="L555" s="486"/>
      <c r="M555" s="263"/>
      <c r="N555" s="486"/>
      <c r="O555" s="486"/>
      <c r="P555" s="486"/>
      <c r="Q555" s="486"/>
      <c r="R555" s="486"/>
      <c r="S555" s="486"/>
      <c r="T555" s="263"/>
      <c r="U555" s="263"/>
      <c r="V555" s="263"/>
      <c r="W555" s="267"/>
      <c r="X555" s="263"/>
    </row>
    <row r="556" spans="1:53" ht="39.950000000000003" customHeight="1">
      <c r="E556" s="264" t="s">
        <v>27</v>
      </c>
      <c r="F556" s="274" t="s">
        <v>22</v>
      </c>
      <c r="G556" s="263"/>
      <c r="H556" s="263"/>
      <c r="I556" s="263"/>
      <c r="J556" s="263"/>
      <c r="K556" s="263"/>
      <c r="L556" s="263"/>
      <c r="M556" s="263"/>
      <c r="N556" s="263"/>
      <c r="O556" s="263"/>
      <c r="P556" s="263"/>
      <c r="Q556" s="263"/>
      <c r="R556" s="263"/>
      <c r="S556" s="263"/>
      <c r="T556" s="263"/>
      <c r="U556" s="263"/>
      <c r="V556" s="263"/>
      <c r="W556" s="267"/>
      <c r="X556" s="263"/>
    </row>
    <row r="557" spans="1:53" ht="39.950000000000003" customHeight="1">
      <c r="E557" s="271"/>
      <c r="F557" s="272"/>
      <c r="G557" s="263"/>
      <c r="H557" s="263" t="s">
        <v>33</v>
      </c>
      <c r="I557" s="263"/>
      <c r="J557" s="263"/>
      <c r="K557" s="263"/>
      <c r="L557" s="263"/>
      <c r="M557" s="263"/>
      <c r="N557" s="263"/>
      <c r="O557" s="263"/>
      <c r="P557" s="263"/>
      <c r="Q557" s="263"/>
      <c r="R557" s="263"/>
      <c r="S557" s="263"/>
      <c r="T557" s="263"/>
      <c r="U557" s="263"/>
      <c r="V557" s="263"/>
      <c r="W557" s="267"/>
      <c r="X557" s="263"/>
    </row>
    <row r="558" spans="1:53" ht="39.950000000000003" customHeight="1">
      <c r="E558" s="271"/>
      <c r="F558" s="272"/>
      <c r="G558" s="263"/>
      <c r="H558" s="263"/>
      <c r="I558" s="263"/>
      <c r="J558" s="263"/>
      <c r="K558" s="263"/>
      <c r="L558" s="263"/>
      <c r="M558" s="263"/>
      <c r="N558" s="263"/>
      <c r="O558" s="263"/>
      <c r="P558" s="263"/>
      <c r="Q558" s="263"/>
      <c r="R558" s="263"/>
      <c r="S558" s="263"/>
      <c r="T558" s="263"/>
      <c r="U558" s="263"/>
      <c r="V558" s="263"/>
      <c r="W558" s="267"/>
      <c r="X558" s="263"/>
    </row>
    <row r="559" spans="1:53" ht="39.950000000000003" customHeight="1">
      <c r="E559" s="271"/>
      <c r="F559" s="272"/>
      <c r="G559" s="263"/>
      <c r="H559" s="263"/>
      <c r="I559" s="496" t="str">
        <f>I547</f>
        <v>DZELINSKA Júlia</v>
      </c>
      <c r="J559" s="496"/>
      <c r="K559" s="496"/>
      <c r="L559" s="496"/>
      <c r="M559" s="263"/>
      <c r="N559" s="263"/>
      <c r="O559" s="263"/>
      <c r="P559" s="496" t="str">
        <f>I550</f>
        <v>GAŠPARÍKOVÁ Lucia</v>
      </c>
      <c r="Q559" s="496"/>
      <c r="R559" s="496"/>
      <c r="S559" s="496"/>
      <c r="T559" s="497"/>
      <c r="U559" s="497"/>
      <c r="V559" s="263"/>
      <c r="W559" s="267"/>
      <c r="X559" s="263"/>
    </row>
    <row r="560" spans="1:53" ht="69.95" customHeight="1">
      <c r="E560" s="264"/>
      <c r="F560" s="265"/>
      <c r="G560" s="263"/>
      <c r="H560" s="275" t="s">
        <v>36</v>
      </c>
      <c r="I560" s="483"/>
      <c r="J560" s="494"/>
      <c r="K560" s="494"/>
      <c r="L560" s="495"/>
      <c r="M560" s="263"/>
      <c r="N560" s="263"/>
      <c r="O560" s="275" t="s">
        <v>36</v>
      </c>
      <c r="P560" s="486"/>
      <c r="Q560" s="486"/>
      <c r="R560" s="486"/>
      <c r="S560" s="486"/>
      <c r="T560" s="486"/>
      <c r="U560" s="486"/>
      <c r="V560" s="263"/>
      <c r="W560" s="267"/>
      <c r="X560" s="263"/>
    </row>
    <row r="561" spans="1:53" ht="69.95" customHeight="1">
      <c r="E561" s="264"/>
      <c r="F561" s="265"/>
      <c r="G561" s="263"/>
      <c r="H561" s="275" t="s">
        <v>37</v>
      </c>
      <c r="I561" s="486"/>
      <c r="J561" s="486"/>
      <c r="K561" s="486"/>
      <c r="L561" s="486"/>
      <c r="M561" s="263"/>
      <c r="N561" s="263"/>
      <c r="O561" s="275" t="s">
        <v>37</v>
      </c>
      <c r="P561" s="486"/>
      <c r="Q561" s="486"/>
      <c r="R561" s="486"/>
      <c r="S561" s="486"/>
      <c r="T561" s="486"/>
      <c r="U561" s="486"/>
      <c r="V561" s="263"/>
      <c r="W561" s="267"/>
      <c r="X561" s="263"/>
    </row>
    <row r="562" spans="1:53" ht="69.95" customHeight="1">
      <c r="E562" s="264"/>
      <c r="F562" s="265"/>
      <c r="G562" s="263"/>
      <c r="H562" s="275" t="s">
        <v>37</v>
      </c>
      <c r="I562" s="486"/>
      <c r="J562" s="486"/>
      <c r="K562" s="486"/>
      <c r="L562" s="486"/>
      <c r="M562" s="263"/>
      <c r="N562" s="263"/>
      <c r="O562" s="275" t="s">
        <v>37</v>
      </c>
      <c r="P562" s="486"/>
      <c r="Q562" s="486"/>
      <c r="R562" s="486"/>
      <c r="S562" s="486"/>
      <c r="T562" s="486"/>
      <c r="U562" s="486"/>
      <c r="V562" s="263"/>
      <c r="W562" s="267"/>
      <c r="X562" s="263"/>
    </row>
    <row r="563" spans="1:53" ht="39.950000000000003" customHeight="1" thickBot="1">
      <c r="E563" s="276"/>
      <c r="F563" s="277"/>
      <c r="G563" s="278"/>
      <c r="H563" s="278"/>
      <c r="I563" s="278"/>
      <c r="J563" s="278"/>
      <c r="K563" s="278"/>
      <c r="L563" s="278"/>
      <c r="M563" s="278"/>
      <c r="N563" s="278"/>
      <c r="O563" s="278"/>
      <c r="P563" s="278"/>
      <c r="Q563" s="278"/>
      <c r="R563" s="278"/>
      <c r="S563" s="278"/>
      <c r="T563" s="279"/>
      <c r="U563" s="279"/>
      <c r="V563" s="279"/>
      <c r="W563" s="280"/>
      <c r="X563" s="263"/>
    </row>
    <row r="564" spans="1:53" ht="62.25" thickBot="1"/>
    <row r="565" spans="1:53" ht="39.950000000000003" customHeight="1">
      <c r="A565" s="252" t="str">
        <f>CONCATENATE(F572,F574,F576)</f>
        <v>DE1-2</v>
      </c>
      <c r="E565" s="259" t="s">
        <v>70</v>
      </c>
      <c r="F565" s="260">
        <f>VLOOKUP(A565,'zoznam zapasov'!$A$6:$K$77,3,0)</f>
        <v>29</v>
      </c>
      <c r="G565" s="261"/>
      <c r="H565" s="322" t="s">
        <v>501</v>
      </c>
      <c r="I565" s="261"/>
      <c r="J565" s="261"/>
      <c r="K565" s="261"/>
      <c r="L565" s="261"/>
      <c r="M565" s="261"/>
      <c r="N565" s="261"/>
      <c r="O565" s="261"/>
      <c r="P565" s="261"/>
      <c r="Q565" s="261"/>
      <c r="R565" s="261"/>
      <c r="S565" s="261"/>
      <c r="T565" s="261"/>
      <c r="U565" s="261"/>
      <c r="V565" s="261" t="s">
        <v>30</v>
      </c>
      <c r="W565" s="262"/>
      <c r="X565" s="263"/>
      <c r="Z565" s="258" t="str">
        <f>CONCATENATE(V567,":",V570)</f>
        <v>3:0</v>
      </c>
      <c r="AE565" s="253" t="s">
        <v>11</v>
      </c>
      <c r="AV565" s="256" t="str">
        <f>CONCATENATE(AN567,",",AO567,",",AP567,",",AQ567,",",AR567,",",AS567,",",AT567)</f>
        <v>9,8,6,,,,</v>
      </c>
    </row>
    <row r="566" spans="1:53" ht="39.950000000000003" customHeight="1">
      <c r="E566" s="264"/>
      <c r="F566" s="265"/>
      <c r="G566" s="321" t="s">
        <v>500</v>
      </c>
      <c r="H566" s="323" t="s">
        <v>502</v>
      </c>
      <c r="I566" s="263"/>
      <c r="J566" s="263"/>
      <c r="K566" s="263"/>
      <c r="L566" s="263"/>
      <c r="M566" s="263"/>
      <c r="N566" s="266">
        <v>1</v>
      </c>
      <c r="O566" s="266">
        <v>2</v>
      </c>
      <c r="P566" s="266">
        <v>3</v>
      </c>
      <c r="Q566" s="266">
        <v>4</v>
      </c>
      <c r="R566" s="266">
        <v>5</v>
      </c>
      <c r="S566" s="266">
        <v>6</v>
      </c>
      <c r="T566" s="266">
        <v>7</v>
      </c>
      <c r="U566" s="263"/>
      <c r="V566" s="266" t="s">
        <v>31</v>
      </c>
      <c r="W566" s="267"/>
      <c r="X566" s="263"/>
      <c r="AE566" s="253" t="s">
        <v>68</v>
      </c>
      <c r="AV566" s="256" t="str">
        <f>CONCATENATE(AN568,",",AO568,",",AP568,",",AQ568,",",AR568,",",AS568,",",AT568)</f>
        <v>-9,-8,-6,,,,</v>
      </c>
    </row>
    <row r="567" spans="1:53" ht="39.950000000000003" customHeight="1">
      <c r="A567" s="252" t="str">
        <f>CONCATENATE(F572,VLOOKUP(F574,$AZ$7:$BA$14,2,0),LEFT(F576,1))</f>
        <v>D51</v>
      </c>
      <c r="E567" s="264" t="s">
        <v>29</v>
      </c>
      <c r="F567" s="265">
        <f>VLOOKUP(A565,'zoznam zapasov'!$A$6:$K$77,11,0)</f>
        <v>5</v>
      </c>
      <c r="G567" s="508"/>
      <c r="H567" s="495"/>
      <c r="I567" s="487" t="str">
        <f>IF(ISERROR(VLOOKUP(A567,vylosovanie!$A$8:$J$68,6,0))=TRUE,"",VLOOKUP(A567,vylosovanie!$A$8:$J$68,6,0))</f>
        <v>DIVINSKÁ Natália</v>
      </c>
      <c r="J567" s="487"/>
      <c r="K567" s="487"/>
      <c r="L567" s="487"/>
      <c r="M567" s="263"/>
      <c r="N567" s="489">
        <v>11</v>
      </c>
      <c r="O567" s="489">
        <v>11</v>
      </c>
      <c r="P567" s="489">
        <v>11</v>
      </c>
      <c r="Q567" s="489"/>
      <c r="R567" s="489"/>
      <c r="S567" s="489"/>
      <c r="T567" s="489"/>
      <c r="U567" s="263"/>
      <c r="V567" s="493">
        <f>IF(SUM(AF567:AL568)=0,"",SUM(AF567:AL567))</f>
        <v>3</v>
      </c>
      <c r="W567" s="267"/>
      <c r="X567" s="263"/>
      <c r="AE567" s="253" t="str">
        <f>VLOOKUP(I567,vylosovanie!$F$8:$L$190,7,0)</f>
        <v>D51</v>
      </c>
      <c r="AF567" s="268">
        <f>IF(N567&gt;N570,1,0)</f>
        <v>1</v>
      </c>
      <c r="AG567" s="268">
        <f t="shared" ref="AG567" si="382">IF(O567&gt;O570,1,0)</f>
        <v>1</v>
      </c>
      <c r="AH567" s="268">
        <f t="shared" ref="AH567" si="383">IF(P567&gt;P570,1,0)</f>
        <v>1</v>
      </c>
      <c r="AI567" s="268">
        <f t="shared" ref="AI567" si="384">IF(Q567&gt;Q570,1,0)</f>
        <v>0</v>
      </c>
      <c r="AJ567" s="268">
        <f t="shared" ref="AJ567" si="385">IF(R567&gt;R570,1,0)</f>
        <v>0</v>
      </c>
      <c r="AK567" s="268">
        <f t="shared" ref="AK567" si="386">IF(S567&gt;S570,1,0)</f>
        <v>0</v>
      </c>
      <c r="AL567" s="268">
        <f t="shared" ref="AL567" si="387">IF(T567&gt;T570,1,0)</f>
        <v>0</v>
      </c>
      <c r="AN567" s="268">
        <f t="shared" ref="AN567:AT567" si="388">IF(ISBLANK(N567)=TRUE,"",IF(AF567=1,N570,-N567))</f>
        <v>9</v>
      </c>
      <c r="AO567" s="268">
        <f t="shared" si="388"/>
        <v>8</v>
      </c>
      <c r="AP567" s="268">
        <f t="shared" si="388"/>
        <v>6</v>
      </c>
      <c r="AQ567" s="268" t="str">
        <f t="shared" si="388"/>
        <v/>
      </c>
      <c r="AR567" s="268" t="str">
        <f t="shared" si="388"/>
        <v/>
      </c>
      <c r="AS567" s="268" t="str">
        <f t="shared" si="388"/>
        <v/>
      </c>
      <c r="AT567" s="268" t="str">
        <f t="shared" si="388"/>
        <v/>
      </c>
      <c r="AZ567" s="269" t="s">
        <v>12</v>
      </c>
      <c r="BA567" s="269">
        <v>1</v>
      </c>
    </row>
    <row r="568" spans="1:53" ht="39.950000000000003" customHeight="1">
      <c r="E568" s="264"/>
      <c r="F568" s="265"/>
      <c r="G568" s="509"/>
      <c r="H568" s="495"/>
      <c r="I568" s="487"/>
      <c r="J568" s="487"/>
      <c r="K568" s="487"/>
      <c r="L568" s="487"/>
      <c r="M568" s="263"/>
      <c r="N568" s="490"/>
      <c r="O568" s="490"/>
      <c r="P568" s="490"/>
      <c r="Q568" s="490"/>
      <c r="R568" s="490"/>
      <c r="S568" s="490"/>
      <c r="T568" s="490"/>
      <c r="U568" s="263"/>
      <c r="V568" s="493"/>
      <c r="W568" s="267"/>
      <c r="X568" s="263"/>
      <c r="AE568" s="253" t="str">
        <f>VLOOKUP(I570,vylosovanie!$F$8:$L$190,7,0)</f>
        <v>D52</v>
      </c>
      <c r="AF568" s="268">
        <f>IF(N570&gt;N567,1,0)</f>
        <v>0</v>
      </c>
      <c r="AG568" s="268">
        <f t="shared" ref="AG568" si="389">IF(O570&gt;O567,1,0)</f>
        <v>0</v>
      </c>
      <c r="AH568" s="268">
        <f t="shared" ref="AH568" si="390">IF(P570&gt;P567,1,0)</f>
        <v>0</v>
      </c>
      <c r="AI568" s="268">
        <f t="shared" ref="AI568" si="391">IF(Q570&gt;Q567,1,0)</f>
        <v>0</v>
      </c>
      <c r="AJ568" s="268">
        <f t="shared" ref="AJ568" si="392">IF(R570&gt;R567,1,0)</f>
        <v>0</v>
      </c>
      <c r="AK568" s="268">
        <f t="shared" ref="AK568" si="393">IF(S570&gt;S567,1,0)</f>
        <v>0</v>
      </c>
      <c r="AL568" s="268">
        <f t="shared" ref="AL568" si="394">IF(T570&gt;T567,1,0)</f>
        <v>0</v>
      </c>
      <c r="AN568" s="268">
        <f t="shared" ref="AN568:AT568" si="395">IF(ISBLANK(N570)=TRUE,"",IF(AF568=1,N567,-N570))</f>
        <v>-9</v>
      </c>
      <c r="AO568" s="268">
        <f t="shared" si="395"/>
        <v>-8</v>
      </c>
      <c r="AP568" s="268">
        <f t="shared" si="395"/>
        <v>-6</v>
      </c>
      <c r="AQ568" s="268" t="str">
        <f t="shared" si="395"/>
        <v/>
      </c>
      <c r="AR568" s="268" t="str">
        <f t="shared" si="395"/>
        <v/>
      </c>
      <c r="AS568" s="268" t="str">
        <f t="shared" si="395"/>
        <v/>
      </c>
      <c r="AT568" s="268" t="str">
        <f t="shared" si="395"/>
        <v/>
      </c>
      <c r="AZ568" s="269" t="s">
        <v>18</v>
      </c>
      <c r="BA568" s="269">
        <v>2</v>
      </c>
    </row>
    <row r="569" spans="1:53" ht="39.950000000000003" customHeight="1">
      <c r="E569" s="264" t="s">
        <v>35</v>
      </c>
      <c r="F569" s="265" t="str">
        <f>VLOOKUP(A565,'zoznam zapasov'!$A$6:$K$77,9,0)</f>
        <v>So</v>
      </c>
      <c r="G569" s="263"/>
      <c r="H569" s="263"/>
      <c r="I569" s="263"/>
      <c r="J569" s="263"/>
      <c r="K569" s="263"/>
      <c r="L569" s="263"/>
      <c r="M569" s="263"/>
      <c r="N569" s="263"/>
      <c r="O569" s="263"/>
      <c r="P569" s="263"/>
      <c r="Q569" s="263"/>
      <c r="R569" s="263"/>
      <c r="S569" s="263"/>
      <c r="T569" s="263"/>
      <c r="U569" s="263"/>
      <c r="V569" s="263"/>
      <c r="W569" s="267"/>
      <c r="X569" s="263"/>
      <c r="AZ569" s="269" t="s">
        <v>38</v>
      </c>
      <c r="BA569" s="269">
        <v>3</v>
      </c>
    </row>
    <row r="570" spans="1:53" ht="39.950000000000003" customHeight="1">
      <c r="A570" s="252" t="str">
        <f>CONCATENATE(F572,VLOOKUP(F574,$AZ$7:$BA$14,2,0),RIGHT(F576,1))</f>
        <v>D52</v>
      </c>
      <c r="E570" s="264" t="s">
        <v>28</v>
      </c>
      <c r="F570" s="270" t="str">
        <f>VLOOKUP(A565,'zoznam zapasov'!$A$6:$K$77,10,0)</f>
        <v>10.45</v>
      </c>
      <c r="G570" s="508"/>
      <c r="H570" s="486"/>
      <c r="I570" s="487" t="str">
        <f>IF(ISERROR(VLOOKUP(A570,vylosovanie!$A$8:$J$68,6,0))=TRUE,"",VLOOKUP(A570,vylosovanie!$A$8:$J$68,6,0))</f>
        <v>SLOBODNÍKOVÁ Hana</v>
      </c>
      <c r="J570" s="487"/>
      <c r="K570" s="487"/>
      <c r="L570" s="487"/>
      <c r="M570" s="263"/>
      <c r="N570" s="489">
        <v>9</v>
      </c>
      <c r="O570" s="489">
        <v>8</v>
      </c>
      <c r="P570" s="489">
        <v>6</v>
      </c>
      <c r="Q570" s="489"/>
      <c r="R570" s="489"/>
      <c r="S570" s="489"/>
      <c r="T570" s="489"/>
      <c r="U570" s="263"/>
      <c r="V570" s="493">
        <f>IF(SUM(AF567:AL568)=0,"",SUM(AF568:AL568))</f>
        <v>0</v>
      </c>
      <c r="W570" s="267"/>
      <c r="X570" s="263"/>
      <c r="AZ570" s="269" t="s">
        <v>39</v>
      </c>
      <c r="BA570" s="269">
        <v>4</v>
      </c>
    </row>
    <row r="571" spans="1:53" ht="39.950000000000003" customHeight="1">
      <c r="E571" s="271"/>
      <c r="F571" s="272"/>
      <c r="G571" s="509"/>
      <c r="H571" s="486"/>
      <c r="I571" s="487"/>
      <c r="J571" s="487"/>
      <c r="K571" s="487"/>
      <c r="L571" s="487"/>
      <c r="M571" s="263"/>
      <c r="N571" s="490"/>
      <c r="O571" s="490"/>
      <c r="P571" s="490"/>
      <c r="Q571" s="490"/>
      <c r="R571" s="490"/>
      <c r="S571" s="490"/>
      <c r="T571" s="490"/>
      <c r="U571" s="263"/>
      <c r="V571" s="493"/>
      <c r="W571" s="267"/>
      <c r="X571" s="263"/>
      <c r="AZ571" s="269" t="s">
        <v>40</v>
      </c>
      <c r="BA571" s="269">
        <v>5</v>
      </c>
    </row>
    <row r="572" spans="1:53" ht="39.950000000000003" customHeight="1">
      <c r="E572" s="264" t="s">
        <v>66</v>
      </c>
      <c r="F572" s="265" t="s">
        <v>39</v>
      </c>
      <c r="G572" s="263"/>
      <c r="H572" s="263"/>
      <c r="I572" s="263"/>
      <c r="J572" s="263"/>
      <c r="K572" s="263"/>
      <c r="L572" s="263"/>
      <c r="M572" s="263"/>
      <c r="N572" s="263"/>
      <c r="O572" s="263"/>
      <c r="P572" s="263"/>
      <c r="Q572" s="263"/>
      <c r="R572" s="263"/>
      <c r="S572" s="263"/>
      <c r="T572" s="263"/>
      <c r="U572" s="263"/>
      <c r="V572" s="263"/>
      <c r="W572" s="267"/>
      <c r="X572" s="263"/>
      <c r="AZ572" s="269" t="s">
        <v>41</v>
      </c>
      <c r="BA572" s="269">
        <v>6</v>
      </c>
    </row>
    <row r="573" spans="1:53" ht="39.950000000000003" customHeight="1">
      <c r="E573" s="271"/>
      <c r="F573" s="272"/>
      <c r="G573" s="263"/>
      <c r="H573" s="263"/>
      <c r="I573" s="263" t="s">
        <v>32</v>
      </c>
      <c r="J573" s="263"/>
      <c r="K573" s="263"/>
      <c r="L573" s="263"/>
      <c r="M573" s="263"/>
      <c r="N573" s="273"/>
      <c r="O573" s="266"/>
      <c r="P573" s="266" t="s">
        <v>34</v>
      </c>
      <c r="Q573" s="266"/>
      <c r="R573" s="266"/>
      <c r="S573" s="266"/>
      <c r="T573" s="266"/>
      <c r="U573" s="263"/>
      <c r="V573" s="263"/>
      <c r="W573" s="267"/>
      <c r="X573" s="263"/>
      <c r="AZ573" s="269" t="s">
        <v>42</v>
      </c>
      <c r="BA573" s="269">
        <v>7</v>
      </c>
    </row>
    <row r="574" spans="1:53" ht="39.950000000000003" customHeight="1">
      <c r="E574" s="264" t="s">
        <v>26</v>
      </c>
      <c r="F574" s="265" t="s">
        <v>40</v>
      </c>
      <c r="G574" s="263"/>
      <c r="H574" s="263"/>
      <c r="I574" s="486"/>
      <c r="J574" s="486"/>
      <c r="K574" s="486"/>
      <c r="L574" s="486"/>
      <c r="M574" s="263"/>
      <c r="N574" s="486" t="str">
        <f>IF(V567&gt;V570,I567,IF(V570&gt;V567,I570,""))</f>
        <v>DIVINSKÁ Natália</v>
      </c>
      <c r="O574" s="486"/>
      <c r="P574" s="486"/>
      <c r="Q574" s="486"/>
      <c r="R574" s="486"/>
      <c r="S574" s="486"/>
      <c r="T574" s="263"/>
      <c r="U574" s="263"/>
      <c r="V574" s="263"/>
      <c r="W574" s="267"/>
      <c r="X574" s="263"/>
      <c r="AZ574" s="269" t="s">
        <v>43</v>
      </c>
      <c r="BA574" s="269">
        <v>8</v>
      </c>
    </row>
    <row r="575" spans="1:53" ht="39.950000000000003" customHeight="1">
      <c r="E575" s="271"/>
      <c r="F575" s="272"/>
      <c r="G575" s="263"/>
      <c r="H575" s="263"/>
      <c r="I575" s="486"/>
      <c r="J575" s="486"/>
      <c r="K575" s="486"/>
      <c r="L575" s="486"/>
      <c r="M575" s="263"/>
      <c r="N575" s="486"/>
      <c r="O575" s="486"/>
      <c r="P575" s="486"/>
      <c r="Q575" s="486"/>
      <c r="R575" s="486"/>
      <c r="S575" s="486"/>
      <c r="T575" s="263"/>
      <c r="U575" s="263"/>
      <c r="V575" s="263"/>
      <c r="W575" s="267"/>
      <c r="X575" s="263"/>
    </row>
    <row r="576" spans="1:53" ht="39.950000000000003" customHeight="1">
      <c r="E576" s="264" t="s">
        <v>27</v>
      </c>
      <c r="F576" s="274" t="s">
        <v>22</v>
      </c>
      <c r="G576" s="263"/>
      <c r="H576" s="263"/>
      <c r="I576" s="263"/>
      <c r="J576" s="263"/>
      <c r="K576" s="263"/>
      <c r="L576" s="263"/>
      <c r="M576" s="263"/>
      <c r="N576" s="263"/>
      <c r="O576" s="263"/>
      <c r="P576" s="263"/>
      <c r="Q576" s="263"/>
      <c r="R576" s="263"/>
      <c r="S576" s="263"/>
      <c r="T576" s="263"/>
      <c r="U576" s="263"/>
      <c r="V576" s="263"/>
      <c r="W576" s="267"/>
      <c r="X576" s="263"/>
    </row>
    <row r="577" spans="1:53" ht="39.950000000000003" customHeight="1">
      <c r="E577" s="271"/>
      <c r="F577" s="272"/>
      <c r="G577" s="263"/>
      <c r="H577" s="263" t="s">
        <v>33</v>
      </c>
      <c r="I577" s="263"/>
      <c r="J577" s="263"/>
      <c r="K577" s="263"/>
      <c r="L577" s="263"/>
      <c r="M577" s="263"/>
      <c r="N577" s="263"/>
      <c r="O577" s="263"/>
      <c r="P577" s="263"/>
      <c r="Q577" s="263"/>
      <c r="R577" s="263"/>
      <c r="S577" s="263"/>
      <c r="T577" s="263"/>
      <c r="U577" s="263"/>
      <c r="V577" s="263"/>
      <c r="W577" s="267"/>
      <c r="X577" s="263"/>
    </row>
    <row r="578" spans="1:53" ht="39.950000000000003" customHeight="1">
      <c r="E578" s="271"/>
      <c r="F578" s="272"/>
      <c r="G578" s="263"/>
      <c r="H578" s="263"/>
      <c r="I578" s="263"/>
      <c r="J578" s="263"/>
      <c r="K578" s="263"/>
      <c r="L578" s="263"/>
      <c r="M578" s="263"/>
      <c r="N578" s="263"/>
      <c r="O578" s="263"/>
      <c r="P578" s="263"/>
      <c r="Q578" s="263"/>
      <c r="R578" s="263"/>
      <c r="S578" s="263"/>
      <c r="T578" s="263"/>
      <c r="U578" s="263"/>
      <c r="V578" s="263"/>
      <c r="W578" s="267"/>
      <c r="X578" s="263"/>
    </row>
    <row r="579" spans="1:53" ht="39.950000000000003" customHeight="1">
      <c r="E579" s="271"/>
      <c r="F579" s="272"/>
      <c r="G579" s="263"/>
      <c r="H579" s="263"/>
      <c r="I579" s="496" t="str">
        <f>I567</f>
        <v>DIVINSKÁ Natália</v>
      </c>
      <c r="J579" s="496"/>
      <c r="K579" s="496"/>
      <c r="L579" s="496"/>
      <c r="M579" s="263"/>
      <c r="N579" s="263"/>
      <c r="O579" s="263"/>
      <c r="P579" s="496" t="str">
        <f>I570</f>
        <v>SLOBODNÍKOVÁ Hana</v>
      </c>
      <c r="Q579" s="496"/>
      <c r="R579" s="496"/>
      <c r="S579" s="496"/>
      <c r="T579" s="497"/>
      <c r="U579" s="497"/>
      <c r="V579" s="263"/>
      <c r="W579" s="267"/>
      <c r="X579" s="263"/>
    </row>
    <row r="580" spans="1:53" ht="69.95" customHeight="1">
      <c r="E580" s="264"/>
      <c r="F580" s="265"/>
      <c r="G580" s="263"/>
      <c r="H580" s="275" t="s">
        <v>36</v>
      </c>
      <c r="I580" s="483"/>
      <c r="J580" s="494"/>
      <c r="K580" s="494"/>
      <c r="L580" s="495"/>
      <c r="M580" s="263"/>
      <c r="N580" s="263"/>
      <c r="O580" s="275" t="s">
        <v>36</v>
      </c>
      <c r="P580" s="486"/>
      <c r="Q580" s="486"/>
      <c r="R580" s="486"/>
      <c r="S580" s="486"/>
      <c r="T580" s="486"/>
      <c r="U580" s="486"/>
      <c r="V580" s="263"/>
      <c r="W580" s="267"/>
      <c r="X580" s="263"/>
    </row>
    <row r="581" spans="1:53" ht="69.95" customHeight="1">
      <c r="E581" s="264"/>
      <c r="F581" s="265"/>
      <c r="G581" s="263"/>
      <c r="H581" s="275" t="s">
        <v>37</v>
      </c>
      <c r="I581" s="486"/>
      <c r="J581" s="486"/>
      <c r="K581" s="486"/>
      <c r="L581" s="486"/>
      <c r="M581" s="263"/>
      <c r="N581" s="263"/>
      <c r="O581" s="275" t="s">
        <v>37</v>
      </c>
      <c r="P581" s="486"/>
      <c r="Q581" s="486"/>
      <c r="R581" s="486"/>
      <c r="S581" s="486"/>
      <c r="T581" s="486"/>
      <c r="U581" s="486"/>
      <c r="V581" s="263"/>
      <c r="W581" s="267"/>
      <c r="X581" s="263"/>
    </row>
    <row r="582" spans="1:53" ht="69.95" customHeight="1">
      <c r="E582" s="264"/>
      <c r="F582" s="265"/>
      <c r="G582" s="263"/>
      <c r="H582" s="275" t="s">
        <v>37</v>
      </c>
      <c r="I582" s="486"/>
      <c r="J582" s="486"/>
      <c r="K582" s="486"/>
      <c r="L582" s="486"/>
      <c r="M582" s="263"/>
      <c r="N582" s="263"/>
      <c r="O582" s="275" t="s">
        <v>37</v>
      </c>
      <c r="P582" s="486"/>
      <c r="Q582" s="486"/>
      <c r="R582" s="486"/>
      <c r="S582" s="486"/>
      <c r="T582" s="486"/>
      <c r="U582" s="486"/>
      <c r="V582" s="263"/>
      <c r="W582" s="267"/>
      <c r="X582" s="263"/>
    </row>
    <row r="583" spans="1:53" ht="39.950000000000003" customHeight="1" thickBot="1">
      <c r="E583" s="276"/>
      <c r="F583" s="277"/>
      <c r="G583" s="278"/>
      <c r="H583" s="278"/>
      <c r="I583" s="278"/>
      <c r="J583" s="278"/>
      <c r="K583" s="278"/>
      <c r="L583" s="278"/>
      <c r="M583" s="278"/>
      <c r="N583" s="278"/>
      <c r="O583" s="278"/>
      <c r="P583" s="278"/>
      <c r="Q583" s="278"/>
      <c r="R583" s="278"/>
      <c r="S583" s="278"/>
      <c r="T583" s="279"/>
      <c r="U583" s="279"/>
      <c r="V583" s="279"/>
      <c r="W583" s="280"/>
      <c r="X583" s="263"/>
    </row>
    <row r="584" spans="1:53" ht="62.25" thickBot="1"/>
    <row r="585" spans="1:53" ht="39.950000000000003" customHeight="1">
      <c r="A585" s="252" t="str">
        <f>CONCATENATE(F592,F594,F596)</f>
        <v>DF1-2</v>
      </c>
      <c r="E585" s="259" t="s">
        <v>70</v>
      </c>
      <c r="F585" s="260">
        <f>VLOOKUP(A585,'zoznam zapasov'!$A$6:$K$77,3,0)</f>
        <v>30</v>
      </c>
      <c r="G585" s="261"/>
      <c r="H585" s="322" t="s">
        <v>501</v>
      </c>
      <c r="I585" s="261"/>
      <c r="J585" s="261"/>
      <c r="K585" s="261"/>
      <c r="L585" s="261"/>
      <c r="M585" s="261"/>
      <c r="N585" s="261"/>
      <c r="O585" s="261"/>
      <c r="P585" s="261"/>
      <c r="Q585" s="261"/>
      <c r="R585" s="261"/>
      <c r="S585" s="261"/>
      <c r="T585" s="261"/>
      <c r="U585" s="261"/>
      <c r="V585" s="261" t="s">
        <v>30</v>
      </c>
      <c r="W585" s="262"/>
      <c r="X585" s="263"/>
      <c r="Z585" s="258" t="str">
        <f>CONCATENATE(V587,":",V590)</f>
        <v>3:0</v>
      </c>
      <c r="AE585" s="253" t="s">
        <v>11</v>
      </c>
      <c r="AV585" s="256" t="str">
        <f>CONCATENATE(AN587,",",AO587,",",AP587,",",AQ587,",",AR587,",",AS587,",",AT587)</f>
        <v>8,9,7,,,,</v>
      </c>
    </row>
    <row r="586" spans="1:53" ht="39.950000000000003" customHeight="1">
      <c r="E586" s="264"/>
      <c r="F586" s="265"/>
      <c r="G586" s="321" t="s">
        <v>500</v>
      </c>
      <c r="H586" s="323" t="s">
        <v>502</v>
      </c>
      <c r="I586" s="263"/>
      <c r="J586" s="263"/>
      <c r="K586" s="263"/>
      <c r="L586" s="263"/>
      <c r="M586" s="263"/>
      <c r="N586" s="266">
        <v>1</v>
      </c>
      <c r="O586" s="266">
        <v>2</v>
      </c>
      <c r="P586" s="266">
        <v>3</v>
      </c>
      <c r="Q586" s="266">
        <v>4</v>
      </c>
      <c r="R586" s="266">
        <v>5</v>
      </c>
      <c r="S586" s="266">
        <v>6</v>
      </c>
      <c r="T586" s="266">
        <v>7</v>
      </c>
      <c r="U586" s="263"/>
      <c r="V586" s="266" t="s">
        <v>31</v>
      </c>
      <c r="W586" s="267"/>
      <c r="X586" s="263"/>
      <c r="AE586" s="253" t="s">
        <v>68</v>
      </c>
      <c r="AV586" s="256" t="str">
        <f>CONCATENATE(AN588,",",AO588,",",AP588,",",AQ588,",",AR588,",",AS588,",",AT588)</f>
        <v>-8,-9,-7,,,,</v>
      </c>
    </row>
    <row r="587" spans="1:53" ht="39.950000000000003" customHeight="1">
      <c r="A587" s="252" t="str">
        <f>CONCATENATE(F592,VLOOKUP(F594,$AZ$7:$BA$14,2,0),LEFT(F596,1))</f>
        <v>D61</v>
      </c>
      <c r="E587" s="264" t="s">
        <v>29</v>
      </c>
      <c r="F587" s="265">
        <f>VLOOKUP(A585,'zoznam zapasov'!$A$6:$K$77,11,0)</f>
        <v>6</v>
      </c>
      <c r="G587" s="508"/>
      <c r="H587" s="495"/>
      <c r="I587" s="487" t="str">
        <f>IF(ISERROR(VLOOKUP(A587,vylosovanie!$A$8:$J$68,6,0))=TRUE,"",VLOOKUP(A587,vylosovanie!$A$8:$J$68,6,0))</f>
        <v>ŠVAJDLENKOVÁ Laura</v>
      </c>
      <c r="J587" s="487"/>
      <c r="K587" s="487"/>
      <c r="L587" s="487"/>
      <c r="M587" s="263"/>
      <c r="N587" s="489">
        <v>11</v>
      </c>
      <c r="O587" s="489">
        <v>11</v>
      </c>
      <c r="P587" s="489">
        <v>11</v>
      </c>
      <c r="Q587" s="489"/>
      <c r="R587" s="489"/>
      <c r="S587" s="489"/>
      <c r="T587" s="489"/>
      <c r="U587" s="263"/>
      <c r="V587" s="493">
        <f>IF(SUM(AF587:AL588)=0,"",SUM(AF587:AL587))</f>
        <v>3</v>
      </c>
      <c r="W587" s="267"/>
      <c r="X587" s="263"/>
      <c r="AE587" s="253" t="str">
        <f>VLOOKUP(I587,vylosovanie!$F$8:$L$190,7,0)</f>
        <v>D61</v>
      </c>
      <c r="AF587" s="268">
        <f>IF(N587&gt;N590,1,0)</f>
        <v>1</v>
      </c>
      <c r="AG587" s="268">
        <f t="shared" ref="AG587" si="396">IF(O587&gt;O590,1,0)</f>
        <v>1</v>
      </c>
      <c r="AH587" s="268">
        <f t="shared" ref="AH587" si="397">IF(P587&gt;P590,1,0)</f>
        <v>1</v>
      </c>
      <c r="AI587" s="268">
        <f t="shared" ref="AI587" si="398">IF(Q587&gt;Q590,1,0)</f>
        <v>0</v>
      </c>
      <c r="AJ587" s="268">
        <f t="shared" ref="AJ587" si="399">IF(R587&gt;R590,1,0)</f>
        <v>0</v>
      </c>
      <c r="AK587" s="268">
        <f t="shared" ref="AK587" si="400">IF(S587&gt;S590,1,0)</f>
        <v>0</v>
      </c>
      <c r="AL587" s="268">
        <f t="shared" ref="AL587" si="401">IF(T587&gt;T590,1,0)</f>
        <v>0</v>
      </c>
      <c r="AN587" s="268">
        <f t="shared" ref="AN587:AT587" si="402">IF(ISBLANK(N587)=TRUE,"",IF(AF587=1,N590,-N587))</f>
        <v>8</v>
      </c>
      <c r="AO587" s="268">
        <f t="shared" si="402"/>
        <v>9</v>
      </c>
      <c r="AP587" s="268">
        <f t="shared" si="402"/>
        <v>7</v>
      </c>
      <c r="AQ587" s="268" t="str">
        <f t="shared" si="402"/>
        <v/>
      </c>
      <c r="AR587" s="268" t="str">
        <f t="shared" si="402"/>
        <v/>
      </c>
      <c r="AS587" s="268" t="str">
        <f t="shared" si="402"/>
        <v/>
      </c>
      <c r="AT587" s="268" t="str">
        <f t="shared" si="402"/>
        <v/>
      </c>
      <c r="AZ587" s="269" t="s">
        <v>12</v>
      </c>
      <c r="BA587" s="269">
        <v>1</v>
      </c>
    </row>
    <row r="588" spans="1:53" ht="39.950000000000003" customHeight="1">
      <c r="E588" s="264"/>
      <c r="F588" s="265"/>
      <c r="G588" s="509"/>
      <c r="H588" s="495"/>
      <c r="I588" s="487"/>
      <c r="J588" s="487"/>
      <c r="K588" s="487"/>
      <c r="L588" s="487"/>
      <c r="M588" s="263"/>
      <c r="N588" s="490"/>
      <c r="O588" s="490"/>
      <c r="P588" s="490"/>
      <c r="Q588" s="490"/>
      <c r="R588" s="490"/>
      <c r="S588" s="490"/>
      <c r="T588" s="490"/>
      <c r="U588" s="263"/>
      <c r="V588" s="493"/>
      <c r="W588" s="267"/>
      <c r="X588" s="263"/>
      <c r="AE588" s="253" t="str">
        <f>VLOOKUP(I590,vylosovanie!$F$8:$L$190,7,0)</f>
        <v>D62</v>
      </c>
      <c r="AF588" s="268">
        <f>IF(N590&gt;N587,1,0)</f>
        <v>0</v>
      </c>
      <c r="AG588" s="268">
        <f t="shared" ref="AG588" si="403">IF(O590&gt;O587,1,0)</f>
        <v>0</v>
      </c>
      <c r="AH588" s="268">
        <f t="shared" ref="AH588" si="404">IF(P590&gt;P587,1,0)</f>
        <v>0</v>
      </c>
      <c r="AI588" s="268">
        <f t="shared" ref="AI588" si="405">IF(Q590&gt;Q587,1,0)</f>
        <v>0</v>
      </c>
      <c r="AJ588" s="268">
        <f t="shared" ref="AJ588" si="406">IF(R590&gt;R587,1,0)</f>
        <v>0</v>
      </c>
      <c r="AK588" s="268">
        <f t="shared" ref="AK588" si="407">IF(S590&gt;S587,1,0)</f>
        <v>0</v>
      </c>
      <c r="AL588" s="268">
        <f t="shared" ref="AL588" si="408">IF(T590&gt;T587,1,0)</f>
        <v>0</v>
      </c>
      <c r="AN588" s="268">
        <f t="shared" ref="AN588:AT588" si="409">IF(ISBLANK(N590)=TRUE,"",IF(AF588=1,N587,-N590))</f>
        <v>-8</v>
      </c>
      <c r="AO588" s="268">
        <f t="shared" si="409"/>
        <v>-9</v>
      </c>
      <c r="AP588" s="268">
        <f t="shared" si="409"/>
        <v>-7</v>
      </c>
      <c r="AQ588" s="268" t="str">
        <f t="shared" si="409"/>
        <v/>
      </c>
      <c r="AR588" s="268" t="str">
        <f t="shared" si="409"/>
        <v/>
      </c>
      <c r="AS588" s="268" t="str">
        <f t="shared" si="409"/>
        <v/>
      </c>
      <c r="AT588" s="268" t="str">
        <f t="shared" si="409"/>
        <v/>
      </c>
      <c r="AZ588" s="269" t="s">
        <v>18</v>
      </c>
      <c r="BA588" s="269">
        <v>2</v>
      </c>
    </row>
    <row r="589" spans="1:53" ht="39.950000000000003" customHeight="1">
      <c r="E589" s="264" t="s">
        <v>35</v>
      </c>
      <c r="F589" s="265" t="str">
        <f>VLOOKUP(A585,'zoznam zapasov'!$A$6:$K$77,9,0)</f>
        <v>So</v>
      </c>
      <c r="G589" s="263"/>
      <c r="H589" s="263"/>
      <c r="I589" s="263"/>
      <c r="J589" s="263"/>
      <c r="K589" s="263"/>
      <c r="L589" s="263"/>
      <c r="M589" s="263"/>
      <c r="N589" s="263"/>
      <c r="O589" s="263"/>
      <c r="P589" s="263"/>
      <c r="Q589" s="263"/>
      <c r="R589" s="263"/>
      <c r="S589" s="263"/>
      <c r="T589" s="263"/>
      <c r="U589" s="263"/>
      <c r="V589" s="263"/>
      <c r="W589" s="267"/>
      <c r="X589" s="263"/>
      <c r="AZ589" s="269" t="s">
        <v>38</v>
      </c>
      <c r="BA589" s="269">
        <v>3</v>
      </c>
    </row>
    <row r="590" spans="1:53" ht="39.950000000000003" customHeight="1">
      <c r="A590" s="252" t="str">
        <f>CONCATENATE(F592,VLOOKUP(F594,$AZ$7:$BA$14,2,0),RIGHT(F596,1))</f>
        <v>D62</v>
      </c>
      <c r="E590" s="264" t="s">
        <v>28</v>
      </c>
      <c r="F590" s="270" t="str">
        <f>VLOOKUP(A585,'zoznam zapasov'!$A$6:$K$77,10,0)</f>
        <v>10.45</v>
      </c>
      <c r="G590" s="508"/>
      <c r="H590" s="486"/>
      <c r="I590" s="487" t="str">
        <f>IF(ISERROR(VLOOKUP(A590,vylosovanie!$A$8:$J$68,6,0))=TRUE,"",VLOOKUP(A590,vylosovanie!$A$8:$J$68,6,0))</f>
        <v>PAPCUNOVÁ Viktória</v>
      </c>
      <c r="J590" s="487"/>
      <c r="K590" s="487"/>
      <c r="L590" s="487"/>
      <c r="M590" s="263"/>
      <c r="N590" s="489">
        <v>8</v>
      </c>
      <c r="O590" s="489">
        <v>9</v>
      </c>
      <c r="P590" s="489">
        <v>7</v>
      </c>
      <c r="Q590" s="489"/>
      <c r="R590" s="489"/>
      <c r="S590" s="489"/>
      <c r="T590" s="489"/>
      <c r="U590" s="263"/>
      <c r="V590" s="493">
        <f>IF(SUM(AF587:AL588)=0,"",SUM(AF588:AL588))</f>
        <v>0</v>
      </c>
      <c r="W590" s="267"/>
      <c r="X590" s="263"/>
      <c r="AZ590" s="269" t="s">
        <v>39</v>
      </c>
      <c r="BA590" s="269">
        <v>4</v>
      </c>
    </row>
    <row r="591" spans="1:53" ht="39.950000000000003" customHeight="1">
      <c r="E591" s="271"/>
      <c r="F591" s="272"/>
      <c r="G591" s="509"/>
      <c r="H591" s="486"/>
      <c r="I591" s="487"/>
      <c r="J591" s="487"/>
      <c r="K591" s="487"/>
      <c r="L591" s="487"/>
      <c r="M591" s="263"/>
      <c r="N591" s="490"/>
      <c r="O591" s="490"/>
      <c r="P591" s="490"/>
      <c r="Q591" s="490"/>
      <c r="R591" s="490"/>
      <c r="S591" s="490"/>
      <c r="T591" s="490"/>
      <c r="U591" s="263"/>
      <c r="V591" s="493"/>
      <c r="W591" s="267"/>
      <c r="X591" s="263"/>
      <c r="AZ591" s="269" t="s">
        <v>40</v>
      </c>
      <c r="BA591" s="269">
        <v>5</v>
      </c>
    </row>
    <row r="592" spans="1:53" ht="39.950000000000003" customHeight="1">
      <c r="E592" s="264" t="s">
        <v>66</v>
      </c>
      <c r="F592" s="265" t="s">
        <v>39</v>
      </c>
      <c r="G592" s="263"/>
      <c r="H592" s="263"/>
      <c r="I592" s="263"/>
      <c r="J592" s="263"/>
      <c r="K592" s="263"/>
      <c r="L592" s="263"/>
      <c r="M592" s="263"/>
      <c r="N592" s="263"/>
      <c r="O592" s="263"/>
      <c r="P592" s="263"/>
      <c r="Q592" s="263"/>
      <c r="R592" s="263"/>
      <c r="S592" s="263"/>
      <c r="T592" s="263"/>
      <c r="U592" s="263"/>
      <c r="V592" s="263"/>
      <c r="W592" s="267"/>
      <c r="X592" s="263"/>
      <c r="AZ592" s="269" t="s">
        <v>41</v>
      </c>
      <c r="BA592" s="269">
        <v>6</v>
      </c>
    </row>
    <row r="593" spans="1:53" ht="39.950000000000003" customHeight="1">
      <c r="E593" s="271"/>
      <c r="F593" s="272"/>
      <c r="G593" s="263"/>
      <c r="H593" s="263"/>
      <c r="I593" s="263" t="s">
        <v>32</v>
      </c>
      <c r="J593" s="263"/>
      <c r="K593" s="263"/>
      <c r="L593" s="263"/>
      <c r="M593" s="263"/>
      <c r="N593" s="273"/>
      <c r="O593" s="266"/>
      <c r="P593" s="266" t="s">
        <v>34</v>
      </c>
      <c r="Q593" s="266"/>
      <c r="R593" s="266"/>
      <c r="S593" s="266"/>
      <c r="T593" s="266"/>
      <c r="U593" s="263"/>
      <c r="V593" s="263"/>
      <c r="W593" s="267"/>
      <c r="X593" s="263"/>
      <c r="AZ593" s="269" t="s">
        <v>42</v>
      </c>
      <c r="BA593" s="269">
        <v>7</v>
      </c>
    </row>
    <row r="594" spans="1:53" ht="39.950000000000003" customHeight="1">
      <c r="E594" s="264" t="s">
        <v>26</v>
      </c>
      <c r="F594" s="265" t="s">
        <v>41</v>
      </c>
      <c r="G594" s="263"/>
      <c r="H594" s="263"/>
      <c r="I594" s="486"/>
      <c r="J594" s="486"/>
      <c r="K594" s="486"/>
      <c r="L594" s="486"/>
      <c r="M594" s="263"/>
      <c r="N594" s="486" t="str">
        <f>IF(V587&gt;V590,I587,IF(V590&gt;V587,I590,""))</f>
        <v>ŠVAJDLENKOVÁ Laura</v>
      </c>
      <c r="O594" s="486"/>
      <c r="P594" s="486"/>
      <c r="Q594" s="486"/>
      <c r="R594" s="486"/>
      <c r="S594" s="486"/>
      <c r="T594" s="263"/>
      <c r="U594" s="263"/>
      <c r="V594" s="263"/>
      <c r="W594" s="267"/>
      <c r="X594" s="263"/>
      <c r="AZ594" s="269" t="s">
        <v>43</v>
      </c>
      <c r="BA594" s="269">
        <v>8</v>
      </c>
    </row>
    <row r="595" spans="1:53" ht="39.950000000000003" customHeight="1">
      <c r="E595" s="271"/>
      <c r="F595" s="272"/>
      <c r="G595" s="263"/>
      <c r="H595" s="263"/>
      <c r="I595" s="486"/>
      <c r="J595" s="486"/>
      <c r="K595" s="486"/>
      <c r="L595" s="486"/>
      <c r="M595" s="263"/>
      <c r="N595" s="486"/>
      <c r="O595" s="486"/>
      <c r="P595" s="486"/>
      <c r="Q595" s="486"/>
      <c r="R595" s="486"/>
      <c r="S595" s="486"/>
      <c r="T595" s="263"/>
      <c r="U595" s="263"/>
      <c r="V595" s="263"/>
      <c r="W595" s="267"/>
      <c r="X595" s="263"/>
    </row>
    <row r="596" spans="1:53" ht="39.950000000000003" customHeight="1">
      <c r="E596" s="264" t="s">
        <v>27</v>
      </c>
      <c r="F596" s="274" t="s">
        <v>22</v>
      </c>
      <c r="G596" s="263"/>
      <c r="H596" s="263"/>
      <c r="I596" s="263"/>
      <c r="J596" s="263"/>
      <c r="K596" s="263"/>
      <c r="L596" s="263"/>
      <c r="M596" s="263"/>
      <c r="N596" s="263"/>
      <c r="O596" s="263"/>
      <c r="P596" s="263"/>
      <c r="Q596" s="263"/>
      <c r="R596" s="263"/>
      <c r="S596" s="263"/>
      <c r="T596" s="263"/>
      <c r="U596" s="263"/>
      <c r="V596" s="263"/>
      <c r="W596" s="267"/>
      <c r="X596" s="263"/>
    </row>
    <row r="597" spans="1:53" ht="39.950000000000003" customHeight="1">
      <c r="E597" s="271"/>
      <c r="F597" s="272"/>
      <c r="G597" s="263"/>
      <c r="H597" s="263" t="s">
        <v>33</v>
      </c>
      <c r="I597" s="263"/>
      <c r="J597" s="263"/>
      <c r="K597" s="263"/>
      <c r="L597" s="263"/>
      <c r="M597" s="263"/>
      <c r="N597" s="263"/>
      <c r="O597" s="263"/>
      <c r="P597" s="263"/>
      <c r="Q597" s="263"/>
      <c r="R597" s="263"/>
      <c r="S597" s="263"/>
      <c r="T597" s="263"/>
      <c r="U597" s="263"/>
      <c r="V597" s="263"/>
      <c r="W597" s="267"/>
      <c r="X597" s="263"/>
    </row>
    <row r="598" spans="1:53" ht="39.950000000000003" customHeight="1">
      <c r="E598" s="271"/>
      <c r="F598" s="272"/>
      <c r="G598" s="263"/>
      <c r="H598" s="263"/>
      <c r="I598" s="263"/>
      <c r="J598" s="263"/>
      <c r="K598" s="263"/>
      <c r="L598" s="263"/>
      <c r="M598" s="263"/>
      <c r="N598" s="263"/>
      <c r="O598" s="263"/>
      <c r="P598" s="263"/>
      <c r="Q598" s="263"/>
      <c r="R598" s="263"/>
      <c r="S598" s="263"/>
      <c r="T598" s="263"/>
      <c r="U598" s="263"/>
      <c r="V598" s="263"/>
      <c r="W598" s="267"/>
      <c r="X598" s="263"/>
    </row>
    <row r="599" spans="1:53" ht="39.950000000000003" customHeight="1">
      <c r="E599" s="271"/>
      <c r="F599" s="272"/>
      <c r="G599" s="263"/>
      <c r="H599" s="263"/>
      <c r="I599" s="496" t="str">
        <f>I587</f>
        <v>ŠVAJDLENKOVÁ Laura</v>
      </c>
      <c r="J599" s="496"/>
      <c r="K599" s="496"/>
      <c r="L599" s="496"/>
      <c r="M599" s="263"/>
      <c r="N599" s="263"/>
      <c r="O599" s="263"/>
      <c r="P599" s="496" t="str">
        <f>I590</f>
        <v>PAPCUNOVÁ Viktória</v>
      </c>
      <c r="Q599" s="496"/>
      <c r="R599" s="496"/>
      <c r="S599" s="496"/>
      <c r="T599" s="497"/>
      <c r="U599" s="497"/>
      <c r="V599" s="263"/>
      <c r="W599" s="267"/>
      <c r="X599" s="263"/>
    </row>
    <row r="600" spans="1:53" ht="69.95" customHeight="1">
      <c r="E600" s="264"/>
      <c r="F600" s="265"/>
      <c r="G600" s="263"/>
      <c r="H600" s="275" t="s">
        <v>36</v>
      </c>
      <c r="I600" s="483"/>
      <c r="J600" s="494"/>
      <c r="K600" s="494"/>
      <c r="L600" s="495"/>
      <c r="M600" s="263"/>
      <c r="N600" s="263"/>
      <c r="O600" s="275" t="s">
        <v>36</v>
      </c>
      <c r="P600" s="486"/>
      <c r="Q600" s="486"/>
      <c r="R600" s="486"/>
      <c r="S600" s="486"/>
      <c r="T600" s="486"/>
      <c r="U600" s="486"/>
      <c r="V600" s="263"/>
      <c r="W600" s="267"/>
      <c r="X600" s="263"/>
    </row>
    <row r="601" spans="1:53" ht="69.95" customHeight="1">
      <c r="E601" s="264"/>
      <c r="F601" s="265"/>
      <c r="G601" s="263"/>
      <c r="H601" s="275" t="s">
        <v>37</v>
      </c>
      <c r="I601" s="486"/>
      <c r="J601" s="486"/>
      <c r="K601" s="486"/>
      <c r="L601" s="486"/>
      <c r="M601" s="263"/>
      <c r="N601" s="263"/>
      <c r="O601" s="275" t="s">
        <v>37</v>
      </c>
      <c r="P601" s="486"/>
      <c r="Q601" s="486"/>
      <c r="R601" s="486"/>
      <c r="S601" s="486"/>
      <c r="T601" s="486"/>
      <c r="U601" s="486"/>
      <c r="V601" s="263"/>
      <c r="W601" s="267"/>
      <c r="X601" s="263"/>
    </row>
    <row r="602" spans="1:53" ht="69.95" customHeight="1">
      <c r="E602" s="264"/>
      <c r="F602" s="265"/>
      <c r="G602" s="263"/>
      <c r="H602" s="275" t="s">
        <v>37</v>
      </c>
      <c r="I602" s="486"/>
      <c r="J602" s="486"/>
      <c r="K602" s="486"/>
      <c r="L602" s="486"/>
      <c r="M602" s="263"/>
      <c r="N602" s="263"/>
      <c r="O602" s="275" t="s">
        <v>37</v>
      </c>
      <c r="P602" s="486"/>
      <c r="Q602" s="486"/>
      <c r="R602" s="486"/>
      <c r="S602" s="486"/>
      <c r="T602" s="486"/>
      <c r="U602" s="486"/>
      <c r="V602" s="263"/>
      <c r="W602" s="267"/>
      <c r="X602" s="263"/>
    </row>
    <row r="603" spans="1:53" ht="39.950000000000003" customHeight="1" thickBot="1">
      <c r="E603" s="276"/>
      <c r="F603" s="277"/>
      <c r="G603" s="278"/>
      <c r="H603" s="278"/>
      <c r="I603" s="278"/>
      <c r="J603" s="278"/>
      <c r="K603" s="278"/>
      <c r="L603" s="278"/>
      <c r="M603" s="278"/>
      <c r="N603" s="278"/>
      <c r="O603" s="278"/>
      <c r="P603" s="278"/>
      <c r="Q603" s="278"/>
      <c r="R603" s="278"/>
      <c r="S603" s="278"/>
      <c r="T603" s="279"/>
      <c r="U603" s="279"/>
      <c r="V603" s="279"/>
      <c r="W603" s="280"/>
      <c r="X603" s="263"/>
    </row>
    <row r="604" spans="1:53" ht="62.25" thickBot="1"/>
    <row r="605" spans="1:53" ht="39.950000000000003" customHeight="1">
      <c r="A605" s="252" t="str">
        <f>CONCATENATE(F612,F614,F616)</f>
        <v>DG1-2</v>
      </c>
      <c r="E605" s="259" t="s">
        <v>70</v>
      </c>
      <c r="F605" s="260">
        <f>VLOOKUP(A605,'zoznam zapasov'!$A$6:$K$77,3,0)</f>
        <v>31</v>
      </c>
      <c r="G605" s="261"/>
      <c r="H605" s="322" t="s">
        <v>501</v>
      </c>
      <c r="I605" s="261"/>
      <c r="J605" s="261"/>
      <c r="K605" s="261"/>
      <c r="L605" s="261"/>
      <c r="M605" s="261"/>
      <c r="N605" s="261"/>
      <c r="O605" s="261"/>
      <c r="P605" s="261"/>
      <c r="Q605" s="261"/>
      <c r="R605" s="261"/>
      <c r="S605" s="261"/>
      <c r="T605" s="261"/>
      <c r="U605" s="261"/>
      <c r="V605" s="261" t="s">
        <v>30</v>
      </c>
      <c r="W605" s="262"/>
      <c r="X605" s="263"/>
      <c r="Z605" s="258" t="str">
        <f>CONCATENATE(V607,":",V610)</f>
        <v>3:0</v>
      </c>
      <c r="AE605" s="253" t="s">
        <v>11</v>
      </c>
      <c r="AV605" s="256" t="str">
        <f>CONCATENATE(AN607,",",AO607,",",AP607,",",AQ607,",",AR607,",",AS607,",",AT607)</f>
        <v>4,11,8,,,,</v>
      </c>
    </row>
    <row r="606" spans="1:53" ht="39.950000000000003" customHeight="1">
      <c r="E606" s="264"/>
      <c r="F606" s="265"/>
      <c r="G606" s="321" t="s">
        <v>500</v>
      </c>
      <c r="H606" s="323" t="s">
        <v>502</v>
      </c>
      <c r="I606" s="263"/>
      <c r="J606" s="263"/>
      <c r="K606" s="263"/>
      <c r="L606" s="263"/>
      <c r="M606" s="263"/>
      <c r="N606" s="266">
        <v>1</v>
      </c>
      <c r="O606" s="266">
        <v>2</v>
      </c>
      <c r="P606" s="266">
        <v>3</v>
      </c>
      <c r="Q606" s="266">
        <v>4</v>
      </c>
      <c r="R606" s="266">
        <v>5</v>
      </c>
      <c r="S606" s="266">
        <v>6</v>
      </c>
      <c r="T606" s="266">
        <v>7</v>
      </c>
      <c r="U606" s="263"/>
      <c r="V606" s="266" t="s">
        <v>31</v>
      </c>
      <c r="W606" s="267"/>
      <c r="X606" s="263"/>
      <c r="AE606" s="253" t="s">
        <v>68</v>
      </c>
      <c r="AV606" s="256" t="str">
        <f>CONCATENATE(AN608,",",AO608,",",AP608,",",AQ608,",",AR608,",",AS608,",",AT608)</f>
        <v>-4,-11,-8,,,,</v>
      </c>
    </row>
    <row r="607" spans="1:53" ht="39.950000000000003" customHeight="1">
      <c r="A607" s="252" t="str">
        <f>CONCATENATE(F612,VLOOKUP(F614,$AZ$7:$BA$14,2,0),LEFT(F616,1))</f>
        <v>D71</v>
      </c>
      <c r="E607" s="264" t="s">
        <v>29</v>
      </c>
      <c r="F607" s="265">
        <f>VLOOKUP(A605,'zoznam zapasov'!$A$6:$K$77,11,0)</f>
        <v>7</v>
      </c>
      <c r="G607" s="508"/>
      <c r="H607" s="495"/>
      <c r="I607" s="487" t="str">
        <f>IF(ISERROR(VLOOKUP(A607,vylosovanie!$A$8:$J$68,6,0))=TRUE,"",VLOOKUP(A607,vylosovanie!$A$8:$J$68,6,0))</f>
        <v>MAJERSKÁ Alena</v>
      </c>
      <c r="J607" s="487"/>
      <c r="K607" s="487"/>
      <c r="L607" s="487"/>
      <c r="M607" s="263"/>
      <c r="N607" s="489">
        <v>11</v>
      </c>
      <c r="O607" s="489">
        <v>13</v>
      </c>
      <c r="P607" s="489">
        <v>11</v>
      </c>
      <c r="Q607" s="489"/>
      <c r="R607" s="489"/>
      <c r="S607" s="489"/>
      <c r="T607" s="489"/>
      <c r="U607" s="263"/>
      <c r="V607" s="493">
        <f>IF(SUM(AF607:AL608)=0,"",SUM(AF607:AL607))</f>
        <v>3</v>
      </c>
      <c r="W607" s="267"/>
      <c r="X607" s="263"/>
      <c r="AE607" s="253" t="str">
        <f>VLOOKUP(I607,vylosovanie!$F$8:$L$190,7,0)</f>
        <v>D71</v>
      </c>
      <c r="AF607" s="268">
        <f>IF(N607&gt;N610,1,0)</f>
        <v>1</v>
      </c>
      <c r="AG607" s="268">
        <f t="shared" ref="AG607" si="410">IF(O607&gt;O610,1,0)</f>
        <v>1</v>
      </c>
      <c r="AH607" s="268">
        <f t="shared" ref="AH607" si="411">IF(P607&gt;P610,1,0)</f>
        <v>1</v>
      </c>
      <c r="AI607" s="268">
        <f t="shared" ref="AI607" si="412">IF(Q607&gt;Q610,1,0)</f>
        <v>0</v>
      </c>
      <c r="AJ607" s="268">
        <f t="shared" ref="AJ607" si="413">IF(R607&gt;R610,1,0)</f>
        <v>0</v>
      </c>
      <c r="AK607" s="268">
        <f t="shared" ref="AK607" si="414">IF(S607&gt;S610,1,0)</f>
        <v>0</v>
      </c>
      <c r="AL607" s="268">
        <f t="shared" ref="AL607" si="415">IF(T607&gt;T610,1,0)</f>
        <v>0</v>
      </c>
      <c r="AN607" s="268">
        <f t="shared" ref="AN607:AT607" si="416">IF(ISBLANK(N607)=TRUE,"",IF(AF607=1,N610,-N607))</f>
        <v>4</v>
      </c>
      <c r="AO607" s="268">
        <f t="shared" si="416"/>
        <v>11</v>
      </c>
      <c r="AP607" s="268">
        <f t="shared" si="416"/>
        <v>8</v>
      </c>
      <c r="AQ607" s="268" t="str">
        <f t="shared" si="416"/>
        <v/>
      </c>
      <c r="AR607" s="268" t="str">
        <f t="shared" si="416"/>
        <v/>
      </c>
      <c r="AS607" s="268" t="str">
        <f t="shared" si="416"/>
        <v/>
      </c>
      <c r="AT607" s="268" t="str">
        <f t="shared" si="416"/>
        <v/>
      </c>
      <c r="AZ607" s="269" t="s">
        <v>12</v>
      </c>
      <c r="BA607" s="269">
        <v>1</v>
      </c>
    </row>
    <row r="608" spans="1:53" ht="39.950000000000003" customHeight="1">
      <c r="E608" s="264"/>
      <c r="F608" s="265"/>
      <c r="G608" s="509"/>
      <c r="H608" s="495"/>
      <c r="I608" s="487"/>
      <c r="J608" s="487"/>
      <c r="K608" s="487"/>
      <c r="L608" s="487"/>
      <c r="M608" s="263"/>
      <c r="N608" s="490"/>
      <c r="O608" s="490"/>
      <c r="P608" s="490"/>
      <c r="Q608" s="490"/>
      <c r="R608" s="490"/>
      <c r="S608" s="490"/>
      <c r="T608" s="490"/>
      <c r="U608" s="263"/>
      <c r="V608" s="493"/>
      <c r="W608" s="267"/>
      <c r="X608" s="263"/>
      <c r="AE608" s="253" t="str">
        <f>VLOOKUP(I610,vylosovanie!$F$8:$L$190,7,0)</f>
        <v>D72</v>
      </c>
      <c r="AF608" s="268">
        <f>IF(N610&gt;N607,1,0)</f>
        <v>0</v>
      </c>
      <c r="AG608" s="268">
        <f t="shared" ref="AG608" si="417">IF(O610&gt;O607,1,0)</f>
        <v>0</v>
      </c>
      <c r="AH608" s="268">
        <f t="shared" ref="AH608" si="418">IF(P610&gt;P607,1,0)</f>
        <v>0</v>
      </c>
      <c r="AI608" s="268">
        <f t="shared" ref="AI608" si="419">IF(Q610&gt;Q607,1,0)</f>
        <v>0</v>
      </c>
      <c r="AJ608" s="268">
        <f t="shared" ref="AJ608" si="420">IF(R610&gt;R607,1,0)</f>
        <v>0</v>
      </c>
      <c r="AK608" s="268">
        <f t="shared" ref="AK608" si="421">IF(S610&gt;S607,1,0)</f>
        <v>0</v>
      </c>
      <c r="AL608" s="268">
        <f t="shared" ref="AL608" si="422">IF(T610&gt;T607,1,0)</f>
        <v>0</v>
      </c>
      <c r="AN608" s="268">
        <f t="shared" ref="AN608:AT608" si="423">IF(ISBLANK(N610)=TRUE,"",IF(AF608=1,N607,-N610))</f>
        <v>-4</v>
      </c>
      <c r="AO608" s="268">
        <f t="shared" si="423"/>
        <v>-11</v>
      </c>
      <c r="AP608" s="268">
        <f t="shared" si="423"/>
        <v>-8</v>
      </c>
      <c r="AQ608" s="268" t="str">
        <f t="shared" si="423"/>
        <v/>
      </c>
      <c r="AR608" s="268" t="str">
        <f t="shared" si="423"/>
        <v/>
      </c>
      <c r="AS608" s="268" t="str">
        <f t="shared" si="423"/>
        <v/>
      </c>
      <c r="AT608" s="268" t="str">
        <f t="shared" si="423"/>
        <v/>
      </c>
      <c r="AZ608" s="269" t="s">
        <v>18</v>
      </c>
      <c r="BA608" s="269">
        <v>2</v>
      </c>
    </row>
    <row r="609" spans="1:53" ht="39.950000000000003" customHeight="1">
      <c r="E609" s="264" t="s">
        <v>35</v>
      </c>
      <c r="F609" s="265" t="str">
        <f>VLOOKUP(A605,'zoznam zapasov'!$A$6:$K$77,9,0)</f>
        <v>So</v>
      </c>
      <c r="G609" s="263"/>
      <c r="H609" s="263"/>
      <c r="I609" s="263"/>
      <c r="J609" s="263"/>
      <c r="K609" s="263"/>
      <c r="L609" s="263"/>
      <c r="M609" s="263"/>
      <c r="N609" s="263"/>
      <c r="O609" s="263"/>
      <c r="P609" s="263"/>
      <c r="Q609" s="263"/>
      <c r="R609" s="263"/>
      <c r="S609" s="263"/>
      <c r="T609" s="263"/>
      <c r="U609" s="263"/>
      <c r="V609" s="263"/>
      <c r="W609" s="267"/>
      <c r="X609" s="263"/>
      <c r="AZ609" s="269" t="s">
        <v>38</v>
      </c>
      <c r="BA609" s="269">
        <v>3</v>
      </c>
    </row>
    <row r="610" spans="1:53" ht="39.950000000000003" customHeight="1">
      <c r="A610" s="252" t="str">
        <f>CONCATENATE(F612,VLOOKUP(F614,$AZ$7:$BA$14,2,0),RIGHT(F616,1))</f>
        <v>D72</v>
      </c>
      <c r="E610" s="264" t="s">
        <v>28</v>
      </c>
      <c r="F610" s="270" t="str">
        <f>VLOOKUP(A605,'zoznam zapasov'!$A$6:$K$77,10,0)</f>
        <v>10.45</v>
      </c>
      <c r="G610" s="508"/>
      <c r="H610" s="486"/>
      <c r="I610" s="487" t="str">
        <f>IF(ISERROR(VLOOKUP(A610,vylosovanie!$A$8:$J$68,6,0))=TRUE,"",VLOOKUP(A610,vylosovanie!$A$8:$J$68,6,0))</f>
        <v>VIŠŇOVSKÁ Nina</v>
      </c>
      <c r="J610" s="487"/>
      <c r="K610" s="487"/>
      <c r="L610" s="487"/>
      <c r="M610" s="263"/>
      <c r="N610" s="489">
        <v>4</v>
      </c>
      <c r="O610" s="489">
        <v>11</v>
      </c>
      <c r="P610" s="489">
        <v>8</v>
      </c>
      <c r="Q610" s="489"/>
      <c r="R610" s="489"/>
      <c r="S610" s="489"/>
      <c r="T610" s="489"/>
      <c r="U610" s="263"/>
      <c r="V610" s="493">
        <f>IF(SUM(AF607:AL608)=0,"",SUM(AF608:AL608))</f>
        <v>0</v>
      </c>
      <c r="W610" s="267"/>
      <c r="X610" s="263"/>
      <c r="AZ610" s="269" t="s">
        <v>39</v>
      </c>
      <c r="BA610" s="269">
        <v>4</v>
      </c>
    </row>
    <row r="611" spans="1:53" ht="39.950000000000003" customHeight="1">
      <c r="E611" s="271"/>
      <c r="F611" s="272"/>
      <c r="G611" s="509"/>
      <c r="H611" s="486"/>
      <c r="I611" s="487"/>
      <c r="J611" s="487"/>
      <c r="K611" s="487"/>
      <c r="L611" s="487"/>
      <c r="M611" s="263"/>
      <c r="N611" s="490"/>
      <c r="O611" s="490"/>
      <c r="P611" s="490"/>
      <c r="Q611" s="490"/>
      <c r="R611" s="490"/>
      <c r="S611" s="490"/>
      <c r="T611" s="490"/>
      <c r="U611" s="263"/>
      <c r="V611" s="493"/>
      <c r="W611" s="267"/>
      <c r="X611" s="263"/>
      <c r="AZ611" s="269" t="s">
        <v>40</v>
      </c>
      <c r="BA611" s="269">
        <v>5</v>
      </c>
    </row>
    <row r="612" spans="1:53" ht="39.950000000000003" customHeight="1">
      <c r="E612" s="264" t="s">
        <v>66</v>
      </c>
      <c r="F612" s="265" t="s">
        <v>39</v>
      </c>
      <c r="G612" s="263"/>
      <c r="H612" s="263"/>
      <c r="I612" s="263"/>
      <c r="J612" s="263"/>
      <c r="K612" s="263"/>
      <c r="L612" s="263"/>
      <c r="M612" s="263"/>
      <c r="N612" s="263"/>
      <c r="O612" s="263"/>
      <c r="P612" s="263"/>
      <c r="Q612" s="263"/>
      <c r="R612" s="263"/>
      <c r="S612" s="263"/>
      <c r="T612" s="263"/>
      <c r="U612" s="263"/>
      <c r="V612" s="263"/>
      <c r="W612" s="267"/>
      <c r="X612" s="263"/>
      <c r="AZ612" s="269" t="s">
        <v>41</v>
      </c>
      <c r="BA612" s="269">
        <v>6</v>
      </c>
    </row>
    <row r="613" spans="1:53" ht="39.950000000000003" customHeight="1">
      <c r="E613" s="271"/>
      <c r="F613" s="272"/>
      <c r="G613" s="263"/>
      <c r="H613" s="263"/>
      <c r="I613" s="263" t="s">
        <v>32</v>
      </c>
      <c r="J613" s="263"/>
      <c r="K613" s="263"/>
      <c r="L613" s="263"/>
      <c r="M613" s="263"/>
      <c r="N613" s="273"/>
      <c r="O613" s="266"/>
      <c r="P613" s="266" t="s">
        <v>34</v>
      </c>
      <c r="Q613" s="266"/>
      <c r="R613" s="266"/>
      <c r="S613" s="266"/>
      <c r="T613" s="266"/>
      <c r="U613" s="263"/>
      <c r="V613" s="263"/>
      <c r="W613" s="267"/>
      <c r="X613" s="263"/>
      <c r="AZ613" s="269" t="s">
        <v>42</v>
      </c>
      <c r="BA613" s="269">
        <v>7</v>
      </c>
    </row>
    <row r="614" spans="1:53" ht="39.950000000000003" customHeight="1">
      <c r="E614" s="264" t="s">
        <v>26</v>
      </c>
      <c r="F614" s="265" t="s">
        <v>42</v>
      </c>
      <c r="G614" s="263"/>
      <c r="H614" s="263"/>
      <c r="I614" s="486"/>
      <c r="J614" s="486"/>
      <c r="K614" s="486"/>
      <c r="L614" s="486"/>
      <c r="M614" s="263"/>
      <c r="N614" s="486" t="str">
        <f>IF(V607&gt;V610,I607,IF(V610&gt;V607,I610,""))</f>
        <v>MAJERSKÁ Alena</v>
      </c>
      <c r="O614" s="486"/>
      <c r="P614" s="486"/>
      <c r="Q614" s="486"/>
      <c r="R614" s="486"/>
      <c r="S614" s="486"/>
      <c r="T614" s="263"/>
      <c r="U614" s="263"/>
      <c r="V614" s="263"/>
      <c r="W614" s="267"/>
      <c r="X614" s="263"/>
      <c r="AZ614" s="269" t="s">
        <v>43</v>
      </c>
      <c r="BA614" s="269">
        <v>8</v>
      </c>
    </row>
    <row r="615" spans="1:53" ht="39.950000000000003" customHeight="1">
      <c r="E615" s="271"/>
      <c r="F615" s="272"/>
      <c r="G615" s="263"/>
      <c r="H615" s="263"/>
      <c r="I615" s="486"/>
      <c r="J615" s="486"/>
      <c r="K615" s="486"/>
      <c r="L615" s="486"/>
      <c r="M615" s="263"/>
      <c r="N615" s="486"/>
      <c r="O615" s="486"/>
      <c r="P615" s="486"/>
      <c r="Q615" s="486"/>
      <c r="R615" s="486"/>
      <c r="S615" s="486"/>
      <c r="T615" s="263"/>
      <c r="U615" s="263"/>
      <c r="V615" s="263"/>
      <c r="W615" s="267"/>
      <c r="X615" s="263"/>
    </row>
    <row r="616" spans="1:53" ht="39.950000000000003" customHeight="1">
      <c r="E616" s="264" t="s">
        <v>27</v>
      </c>
      <c r="F616" s="274" t="s">
        <v>22</v>
      </c>
      <c r="G616" s="263"/>
      <c r="H616" s="263"/>
      <c r="I616" s="263"/>
      <c r="J616" s="263"/>
      <c r="K616" s="263"/>
      <c r="L616" s="263"/>
      <c r="M616" s="263"/>
      <c r="N616" s="263"/>
      <c r="O616" s="263"/>
      <c r="P616" s="263"/>
      <c r="Q616" s="263"/>
      <c r="R616" s="263"/>
      <c r="S616" s="263"/>
      <c r="T616" s="263"/>
      <c r="U616" s="263"/>
      <c r="V616" s="263"/>
      <c r="W616" s="267"/>
      <c r="X616" s="263"/>
    </row>
    <row r="617" spans="1:53" ht="39.950000000000003" customHeight="1">
      <c r="E617" s="271"/>
      <c r="F617" s="272"/>
      <c r="G617" s="263"/>
      <c r="H617" s="263" t="s">
        <v>33</v>
      </c>
      <c r="I617" s="263"/>
      <c r="J617" s="263"/>
      <c r="K617" s="263"/>
      <c r="L617" s="263"/>
      <c r="M617" s="263"/>
      <c r="N617" s="263"/>
      <c r="O617" s="263"/>
      <c r="P617" s="263"/>
      <c r="Q617" s="263"/>
      <c r="R617" s="263"/>
      <c r="S617" s="263"/>
      <c r="T617" s="263"/>
      <c r="U617" s="263"/>
      <c r="V617" s="263"/>
      <c r="W617" s="267"/>
      <c r="X617" s="263"/>
    </row>
    <row r="618" spans="1:53" ht="39.950000000000003" customHeight="1">
      <c r="E618" s="271"/>
      <c r="F618" s="272"/>
      <c r="G618" s="263"/>
      <c r="H618" s="263"/>
      <c r="I618" s="263"/>
      <c r="J618" s="263"/>
      <c r="K618" s="263"/>
      <c r="L618" s="263"/>
      <c r="M618" s="263"/>
      <c r="N618" s="263"/>
      <c r="O618" s="263"/>
      <c r="P618" s="263"/>
      <c r="Q618" s="263"/>
      <c r="R618" s="263"/>
      <c r="S618" s="263"/>
      <c r="T618" s="263"/>
      <c r="U618" s="263"/>
      <c r="V618" s="263"/>
      <c r="W618" s="267"/>
      <c r="X618" s="263"/>
    </row>
    <row r="619" spans="1:53" ht="39.950000000000003" customHeight="1">
      <c r="E619" s="271"/>
      <c r="F619" s="272"/>
      <c r="G619" s="263"/>
      <c r="H619" s="263"/>
      <c r="I619" s="496" t="str">
        <f>I607</f>
        <v>MAJERSKÁ Alena</v>
      </c>
      <c r="J619" s="496"/>
      <c r="K619" s="496"/>
      <c r="L619" s="496"/>
      <c r="M619" s="263"/>
      <c r="N619" s="263"/>
      <c r="O619" s="263"/>
      <c r="P619" s="496" t="str">
        <f>I610</f>
        <v>VIŠŇOVSKÁ Nina</v>
      </c>
      <c r="Q619" s="496"/>
      <c r="R619" s="496"/>
      <c r="S619" s="496"/>
      <c r="T619" s="497"/>
      <c r="U619" s="497"/>
      <c r="V619" s="263"/>
      <c r="W619" s="267"/>
      <c r="X619" s="263"/>
    </row>
    <row r="620" spans="1:53" ht="69.95" customHeight="1">
      <c r="E620" s="264"/>
      <c r="F620" s="265"/>
      <c r="G620" s="263"/>
      <c r="H620" s="275" t="s">
        <v>36</v>
      </c>
      <c r="I620" s="483"/>
      <c r="J620" s="494"/>
      <c r="K620" s="494"/>
      <c r="L620" s="495"/>
      <c r="M620" s="263"/>
      <c r="N620" s="263"/>
      <c r="O620" s="275" t="s">
        <v>36</v>
      </c>
      <c r="P620" s="486"/>
      <c r="Q620" s="486"/>
      <c r="R620" s="486"/>
      <c r="S620" s="486"/>
      <c r="T620" s="486"/>
      <c r="U620" s="486"/>
      <c r="V620" s="263"/>
      <c r="W620" s="267"/>
      <c r="X620" s="263"/>
    </row>
    <row r="621" spans="1:53" ht="69.95" customHeight="1">
      <c r="E621" s="264"/>
      <c r="F621" s="265"/>
      <c r="G621" s="263"/>
      <c r="H621" s="275" t="s">
        <v>37</v>
      </c>
      <c r="I621" s="486"/>
      <c r="J621" s="486"/>
      <c r="K621" s="486"/>
      <c r="L621" s="486"/>
      <c r="M621" s="263"/>
      <c r="N621" s="263"/>
      <c r="O621" s="275" t="s">
        <v>37</v>
      </c>
      <c r="P621" s="486"/>
      <c r="Q621" s="486"/>
      <c r="R621" s="486"/>
      <c r="S621" s="486"/>
      <c r="T621" s="486"/>
      <c r="U621" s="486"/>
      <c r="V621" s="263"/>
      <c r="W621" s="267"/>
      <c r="X621" s="263"/>
    </row>
    <row r="622" spans="1:53" ht="69.95" customHeight="1">
      <c r="E622" s="264"/>
      <c r="F622" s="265"/>
      <c r="G622" s="263"/>
      <c r="H622" s="275" t="s">
        <v>37</v>
      </c>
      <c r="I622" s="486"/>
      <c r="J622" s="486"/>
      <c r="K622" s="486"/>
      <c r="L622" s="486"/>
      <c r="M622" s="263"/>
      <c r="N622" s="263"/>
      <c r="O622" s="275" t="s">
        <v>37</v>
      </c>
      <c r="P622" s="486"/>
      <c r="Q622" s="486"/>
      <c r="R622" s="486"/>
      <c r="S622" s="486"/>
      <c r="T622" s="486"/>
      <c r="U622" s="486"/>
      <c r="V622" s="263"/>
      <c r="W622" s="267"/>
      <c r="X622" s="263"/>
    </row>
    <row r="623" spans="1:53" ht="39.950000000000003" customHeight="1" thickBot="1">
      <c r="E623" s="276"/>
      <c r="F623" s="277"/>
      <c r="G623" s="278"/>
      <c r="H623" s="278"/>
      <c r="I623" s="278"/>
      <c r="J623" s="278"/>
      <c r="K623" s="278"/>
      <c r="L623" s="278"/>
      <c r="M623" s="278"/>
      <c r="N623" s="278"/>
      <c r="O623" s="278"/>
      <c r="P623" s="278"/>
      <c r="Q623" s="278"/>
      <c r="R623" s="278"/>
      <c r="S623" s="278"/>
      <c r="T623" s="279"/>
      <c r="U623" s="279"/>
      <c r="V623" s="279"/>
      <c r="W623" s="280"/>
      <c r="X623" s="263"/>
    </row>
    <row r="624" spans="1:53" ht="62.25" thickBot="1"/>
    <row r="625" spans="1:53" ht="39.950000000000003" customHeight="1">
      <c r="A625" s="252" t="str">
        <f>CONCATENATE(F632,F634,F636)</f>
        <v>DH1-2</v>
      </c>
      <c r="E625" s="259" t="s">
        <v>70</v>
      </c>
      <c r="F625" s="260">
        <f>VLOOKUP(A625,'zoznam zapasov'!$A$6:$K$77,3,0)</f>
        <v>32</v>
      </c>
      <c r="G625" s="261"/>
      <c r="H625" s="322" t="s">
        <v>501</v>
      </c>
      <c r="I625" s="261"/>
      <c r="J625" s="261"/>
      <c r="K625" s="261"/>
      <c r="L625" s="261"/>
      <c r="M625" s="261"/>
      <c r="N625" s="261"/>
      <c r="O625" s="261"/>
      <c r="P625" s="261"/>
      <c r="Q625" s="261"/>
      <c r="R625" s="261"/>
      <c r="S625" s="261"/>
      <c r="T625" s="261"/>
      <c r="U625" s="261"/>
      <c r="V625" s="261" t="s">
        <v>30</v>
      </c>
      <c r="W625" s="262"/>
      <c r="X625" s="263"/>
      <c r="Z625" s="258" t="str">
        <f>CONCATENATE(V627,":",V630)</f>
        <v>3:0</v>
      </c>
      <c r="AE625" s="253" t="s">
        <v>11</v>
      </c>
      <c r="AV625" s="256" t="str">
        <f>CONCATENATE(AN627,",",AO627,",",AP627,",",AQ627,",",AR627,",",AS627,",",AT627)</f>
        <v>8,12,8,,,,</v>
      </c>
    </row>
    <row r="626" spans="1:53" ht="39.950000000000003" customHeight="1">
      <c r="E626" s="264"/>
      <c r="F626" s="265"/>
      <c r="G626" s="321" t="s">
        <v>500</v>
      </c>
      <c r="H626" s="323" t="s">
        <v>502</v>
      </c>
      <c r="I626" s="263"/>
      <c r="J626" s="263"/>
      <c r="K626" s="263"/>
      <c r="L626" s="263"/>
      <c r="M626" s="263"/>
      <c r="N626" s="266">
        <v>1</v>
      </c>
      <c r="O626" s="266">
        <v>2</v>
      </c>
      <c r="P626" s="266">
        <v>3</v>
      </c>
      <c r="Q626" s="266">
        <v>4</v>
      </c>
      <c r="R626" s="266">
        <v>5</v>
      </c>
      <c r="S626" s="266">
        <v>6</v>
      </c>
      <c r="T626" s="266">
        <v>7</v>
      </c>
      <c r="U626" s="263"/>
      <c r="V626" s="266" t="s">
        <v>31</v>
      </c>
      <c r="W626" s="267"/>
      <c r="X626" s="263"/>
      <c r="AE626" s="253" t="s">
        <v>68</v>
      </c>
      <c r="AV626" s="256" t="str">
        <f>CONCATENATE(AN628,",",AO628,",",AP628,",",AQ628,",",AR628,",",AS628,",",AT628)</f>
        <v>-8,-12,-8,,,,</v>
      </c>
    </row>
    <row r="627" spans="1:53" ht="39.950000000000003" customHeight="1">
      <c r="A627" s="252" t="str">
        <f>CONCATENATE(F632,VLOOKUP(F634,$AZ$7:$BA$14,2,0),LEFT(F636,1))</f>
        <v>D81</v>
      </c>
      <c r="E627" s="264" t="s">
        <v>29</v>
      </c>
      <c r="F627" s="265">
        <f>VLOOKUP(A625,'zoznam zapasov'!$A$6:$K$77,11,0)</f>
        <v>8</v>
      </c>
      <c r="G627" s="508"/>
      <c r="H627" s="495"/>
      <c r="I627" s="487" t="str">
        <f>IF(ISERROR(VLOOKUP(A627,vylosovanie!$A$8:$J$68,6,0))=TRUE,"",VLOOKUP(A627,vylosovanie!$A$8:$J$68,6,0))</f>
        <v>TEREZKOVÁ Jana</v>
      </c>
      <c r="J627" s="487"/>
      <c r="K627" s="487"/>
      <c r="L627" s="487"/>
      <c r="M627" s="263"/>
      <c r="N627" s="489">
        <v>11</v>
      </c>
      <c r="O627" s="489">
        <v>14</v>
      </c>
      <c r="P627" s="489">
        <v>11</v>
      </c>
      <c r="Q627" s="489"/>
      <c r="R627" s="489"/>
      <c r="S627" s="489"/>
      <c r="T627" s="489"/>
      <c r="U627" s="263"/>
      <c r="V627" s="493">
        <f>IF(SUM(AF627:AL628)=0,"",SUM(AF627:AL627))</f>
        <v>3</v>
      </c>
      <c r="W627" s="267"/>
      <c r="X627" s="263"/>
      <c r="AE627" s="253" t="str">
        <f>VLOOKUP(I627,vylosovanie!$F$8:$L$190,7,0)</f>
        <v>D81</v>
      </c>
      <c r="AF627" s="268">
        <f>IF(N627&gt;N630,1,0)</f>
        <v>1</v>
      </c>
      <c r="AG627" s="268">
        <f t="shared" ref="AG627" si="424">IF(O627&gt;O630,1,0)</f>
        <v>1</v>
      </c>
      <c r="AH627" s="268">
        <f t="shared" ref="AH627" si="425">IF(P627&gt;P630,1,0)</f>
        <v>1</v>
      </c>
      <c r="AI627" s="268">
        <f t="shared" ref="AI627" si="426">IF(Q627&gt;Q630,1,0)</f>
        <v>0</v>
      </c>
      <c r="AJ627" s="268">
        <f t="shared" ref="AJ627" si="427">IF(R627&gt;R630,1,0)</f>
        <v>0</v>
      </c>
      <c r="AK627" s="268">
        <f t="shared" ref="AK627" si="428">IF(S627&gt;S630,1,0)</f>
        <v>0</v>
      </c>
      <c r="AL627" s="268">
        <f t="shared" ref="AL627" si="429">IF(T627&gt;T630,1,0)</f>
        <v>0</v>
      </c>
      <c r="AN627" s="268">
        <f t="shared" ref="AN627:AT627" si="430">IF(ISBLANK(N627)=TRUE,"",IF(AF627=1,N630,-N627))</f>
        <v>8</v>
      </c>
      <c r="AO627" s="268">
        <f t="shared" si="430"/>
        <v>12</v>
      </c>
      <c r="AP627" s="268">
        <f t="shared" si="430"/>
        <v>8</v>
      </c>
      <c r="AQ627" s="268" t="str">
        <f t="shared" si="430"/>
        <v/>
      </c>
      <c r="AR627" s="268" t="str">
        <f t="shared" si="430"/>
        <v/>
      </c>
      <c r="AS627" s="268" t="str">
        <f t="shared" si="430"/>
        <v/>
      </c>
      <c r="AT627" s="268" t="str">
        <f t="shared" si="430"/>
        <v/>
      </c>
      <c r="AZ627" s="269" t="s">
        <v>12</v>
      </c>
      <c r="BA627" s="269">
        <v>1</v>
      </c>
    </row>
    <row r="628" spans="1:53" ht="39.950000000000003" customHeight="1">
      <c r="E628" s="264"/>
      <c r="F628" s="265"/>
      <c r="G628" s="509"/>
      <c r="H628" s="495"/>
      <c r="I628" s="487"/>
      <c r="J628" s="487"/>
      <c r="K628" s="487"/>
      <c r="L628" s="487"/>
      <c r="M628" s="263"/>
      <c r="N628" s="490"/>
      <c r="O628" s="490"/>
      <c r="P628" s="490"/>
      <c r="Q628" s="490"/>
      <c r="R628" s="490"/>
      <c r="S628" s="490"/>
      <c r="T628" s="490"/>
      <c r="U628" s="263"/>
      <c r="V628" s="493"/>
      <c r="W628" s="267"/>
      <c r="X628" s="263"/>
      <c r="AE628" s="253" t="str">
        <f>VLOOKUP(I630,vylosovanie!$F$8:$L$190,7,0)</f>
        <v>D82</v>
      </c>
      <c r="AF628" s="268">
        <f>IF(N630&gt;N627,1,0)</f>
        <v>0</v>
      </c>
      <c r="AG628" s="268">
        <f t="shared" ref="AG628" si="431">IF(O630&gt;O627,1,0)</f>
        <v>0</v>
      </c>
      <c r="AH628" s="268">
        <f t="shared" ref="AH628" si="432">IF(P630&gt;P627,1,0)</f>
        <v>0</v>
      </c>
      <c r="AI628" s="268">
        <f t="shared" ref="AI628" si="433">IF(Q630&gt;Q627,1,0)</f>
        <v>0</v>
      </c>
      <c r="AJ628" s="268">
        <f t="shared" ref="AJ628" si="434">IF(R630&gt;R627,1,0)</f>
        <v>0</v>
      </c>
      <c r="AK628" s="268">
        <f t="shared" ref="AK628" si="435">IF(S630&gt;S627,1,0)</f>
        <v>0</v>
      </c>
      <c r="AL628" s="268">
        <f t="shared" ref="AL628" si="436">IF(T630&gt;T627,1,0)</f>
        <v>0</v>
      </c>
      <c r="AN628" s="268">
        <f t="shared" ref="AN628:AT628" si="437">IF(ISBLANK(N630)=TRUE,"",IF(AF628=1,N627,-N630))</f>
        <v>-8</v>
      </c>
      <c r="AO628" s="268">
        <f t="shared" si="437"/>
        <v>-12</v>
      </c>
      <c r="AP628" s="268">
        <f t="shared" si="437"/>
        <v>-8</v>
      </c>
      <c r="AQ628" s="268" t="str">
        <f t="shared" si="437"/>
        <v/>
      </c>
      <c r="AR628" s="268" t="str">
        <f t="shared" si="437"/>
        <v/>
      </c>
      <c r="AS628" s="268" t="str">
        <f t="shared" si="437"/>
        <v/>
      </c>
      <c r="AT628" s="268" t="str">
        <f t="shared" si="437"/>
        <v/>
      </c>
      <c r="AZ628" s="269" t="s">
        <v>18</v>
      </c>
      <c r="BA628" s="269">
        <v>2</v>
      </c>
    </row>
    <row r="629" spans="1:53" ht="39.950000000000003" customHeight="1">
      <c r="E629" s="264" t="s">
        <v>35</v>
      </c>
      <c r="F629" s="265" t="str">
        <f>VLOOKUP(A625,'zoznam zapasov'!$A$6:$K$77,9,0)</f>
        <v>So</v>
      </c>
      <c r="G629" s="263"/>
      <c r="H629" s="263"/>
      <c r="I629" s="263"/>
      <c r="J629" s="263"/>
      <c r="K629" s="263"/>
      <c r="L629" s="263"/>
      <c r="M629" s="263"/>
      <c r="N629" s="263"/>
      <c r="O629" s="263"/>
      <c r="P629" s="263"/>
      <c r="Q629" s="263"/>
      <c r="R629" s="263"/>
      <c r="S629" s="263"/>
      <c r="T629" s="263"/>
      <c r="U629" s="263"/>
      <c r="V629" s="263"/>
      <c r="W629" s="267"/>
      <c r="X629" s="263"/>
      <c r="AZ629" s="269" t="s">
        <v>38</v>
      </c>
      <c r="BA629" s="269">
        <v>3</v>
      </c>
    </row>
    <row r="630" spans="1:53" ht="39.950000000000003" customHeight="1">
      <c r="A630" s="252" t="str">
        <f>CONCATENATE(F632,VLOOKUP(F634,$AZ$7:$BA$14,2,0),RIGHT(F636,1))</f>
        <v>D82</v>
      </c>
      <c r="E630" s="264" t="s">
        <v>28</v>
      </c>
      <c r="F630" s="270" t="str">
        <f>VLOOKUP(A625,'zoznam zapasov'!$A$6:$K$77,10,0)</f>
        <v>10.45</v>
      </c>
      <c r="G630" s="508"/>
      <c r="H630" s="486"/>
      <c r="I630" s="487" t="str">
        <f>IF(ISERROR(VLOOKUP(A630,vylosovanie!$A$8:$J$68,6,0))=TRUE,"",VLOOKUP(A630,vylosovanie!$A$8:$J$68,6,0))</f>
        <v>VOJTASOVA Patrícia</v>
      </c>
      <c r="J630" s="487"/>
      <c r="K630" s="487"/>
      <c r="L630" s="487"/>
      <c r="M630" s="263">
        <v>8</v>
      </c>
      <c r="N630" s="489">
        <v>8</v>
      </c>
      <c r="O630" s="489">
        <v>12</v>
      </c>
      <c r="P630" s="489">
        <v>8</v>
      </c>
      <c r="Q630" s="489"/>
      <c r="R630" s="489"/>
      <c r="S630" s="489"/>
      <c r="T630" s="489"/>
      <c r="U630" s="263"/>
      <c r="V630" s="493">
        <f>IF(SUM(AF627:AL628)=0,"",SUM(AF628:AL628))</f>
        <v>0</v>
      </c>
      <c r="W630" s="267"/>
      <c r="X630" s="263"/>
      <c r="AZ630" s="269" t="s">
        <v>39</v>
      </c>
      <c r="BA630" s="269">
        <v>4</v>
      </c>
    </row>
    <row r="631" spans="1:53" ht="39.950000000000003" customHeight="1">
      <c r="E631" s="271"/>
      <c r="F631" s="272"/>
      <c r="G631" s="509"/>
      <c r="H631" s="486"/>
      <c r="I631" s="487"/>
      <c r="J631" s="487"/>
      <c r="K631" s="487"/>
      <c r="L631" s="487"/>
      <c r="M631" s="263"/>
      <c r="N631" s="490"/>
      <c r="O631" s="490"/>
      <c r="P631" s="490"/>
      <c r="Q631" s="490"/>
      <c r="R631" s="490"/>
      <c r="S631" s="490"/>
      <c r="T631" s="490"/>
      <c r="U631" s="263"/>
      <c r="V631" s="493"/>
      <c r="W631" s="267"/>
      <c r="X631" s="263"/>
      <c r="AZ631" s="269" t="s">
        <v>40</v>
      </c>
      <c r="BA631" s="269">
        <v>5</v>
      </c>
    </row>
    <row r="632" spans="1:53" ht="39.950000000000003" customHeight="1">
      <c r="E632" s="264" t="s">
        <v>66</v>
      </c>
      <c r="F632" s="265" t="s">
        <v>39</v>
      </c>
      <c r="G632" s="263"/>
      <c r="H632" s="263"/>
      <c r="I632" s="263"/>
      <c r="J632" s="263"/>
      <c r="K632" s="263"/>
      <c r="L632" s="263"/>
      <c r="M632" s="263"/>
      <c r="N632" s="263"/>
      <c r="O632" s="263"/>
      <c r="P632" s="263"/>
      <c r="Q632" s="263"/>
      <c r="R632" s="263"/>
      <c r="S632" s="263"/>
      <c r="T632" s="263"/>
      <c r="U632" s="263"/>
      <c r="V632" s="263"/>
      <c r="W632" s="267"/>
      <c r="X632" s="263"/>
      <c r="AZ632" s="269" t="s">
        <v>41</v>
      </c>
      <c r="BA632" s="269">
        <v>6</v>
      </c>
    </row>
    <row r="633" spans="1:53" ht="39.950000000000003" customHeight="1">
      <c r="E633" s="271"/>
      <c r="F633" s="272"/>
      <c r="G633" s="263"/>
      <c r="H633" s="263"/>
      <c r="I633" s="263" t="s">
        <v>32</v>
      </c>
      <c r="J633" s="263"/>
      <c r="K633" s="263"/>
      <c r="L633" s="263"/>
      <c r="M633" s="263"/>
      <c r="N633" s="273"/>
      <c r="O633" s="266"/>
      <c r="P633" s="266" t="s">
        <v>34</v>
      </c>
      <c r="Q633" s="266"/>
      <c r="R633" s="266"/>
      <c r="S633" s="266"/>
      <c r="T633" s="266"/>
      <c r="U633" s="263"/>
      <c r="V633" s="263"/>
      <c r="W633" s="267"/>
      <c r="X633" s="263"/>
      <c r="AZ633" s="269" t="s">
        <v>42</v>
      </c>
      <c r="BA633" s="269">
        <v>7</v>
      </c>
    </row>
    <row r="634" spans="1:53" ht="39.950000000000003" customHeight="1">
      <c r="E634" s="264" t="s">
        <v>26</v>
      </c>
      <c r="F634" s="265" t="s">
        <v>43</v>
      </c>
      <c r="G634" s="263"/>
      <c r="H634" s="263"/>
      <c r="I634" s="486"/>
      <c r="J634" s="486"/>
      <c r="K634" s="486"/>
      <c r="L634" s="486"/>
      <c r="M634" s="263"/>
      <c r="N634" s="486" t="str">
        <f>IF(V627&gt;V630,I627,IF(V630&gt;V627,I630,""))</f>
        <v>TEREZKOVÁ Jana</v>
      </c>
      <c r="O634" s="486"/>
      <c r="P634" s="486"/>
      <c r="Q634" s="486"/>
      <c r="R634" s="486"/>
      <c r="S634" s="486"/>
      <c r="T634" s="263"/>
      <c r="U634" s="263"/>
      <c r="V634" s="263"/>
      <c r="W634" s="267"/>
      <c r="X634" s="263"/>
      <c r="AZ634" s="269" t="s">
        <v>43</v>
      </c>
      <c r="BA634" s="269">
        <v>8</v>
      </c>
    </row>
    <row r="635" spans="1:53" ht="39.950000000000003" customHeight="1">
      <c r="E635" s="271"/>
      <c r="F635" s="272"/>
      <c r="G635" s="263"/>
      <c r="H635" s="263"/>
      <c r="I635" s="486"/>
      <c r="J635" s="486"/>
      <c r="K635" s="486"/>
      <c r="L635" s="486"/>
      <c r="M635" s="263"/>
      <c r="N635" s="486"/>
      <c r="O635" s="486"/>
      <c r="P635" s="486"/>
      <c r="Q635" s="486"/>
      <c r="R635" s="486"/>
      <c r="S635" s="486"/>
      <c r="T635" s="263"/>
      <c r="U635" s="263"/>
      <c r="V635" s="263"/>
      <c r="W635" s="267"/>
      <c r="X635" s="263"/>
    </row>
    <row r="636" spans="1:53" ht="39.950000000000003" customHeight="1">
      <c r="E636" s="264" t="s">
        <v>27</v>
      </c>
      <c r="F636" s="274" t="s">
        <v>22</v>
      </c>
      <c r="G636" s="263"/>
      <c r="H636" s="263"/>
      <c r="I636" s="263"/>
      <c r="J636" s="263"/>
      <c r="K636" s="263"/>
      <c r="L636" s="263"/>
      <c r="M636" s="263"/>
      <c r="N636" s="263"/>
      <c r="O636" s="263"/>
      <c r="P636" s="263"/>
      <c r="Q636" s="263"/>
      <c r="R636" s="263"/>
      <c r="S636" s="263"/>
      <c r="T636" s="263"/>
      <c r="U636" s="263"/>
      <c r="V636" s="263"/>
      <c r="W636" s="267"/>
      <c r="X636" s="263"/>
    </row>
    <row r="637" spans="1:53" ht="39.950000000000003" customHeight="1">
      <c r="E637" s="271"/>
      <c r="F637" s="272"/>
      <c r="G637" s="263"/>
      <c r="H637" s="263" t="s">
        <v>33</v>
      </c>
      <c r="I637" s="263"/>
      <c r="J637" s="263"/>
      <c r="K637" s="263"/>
      <c r="L637" s="263"/>
      <c r="M637" s="263"/>
      <c r="N637" s="263"/>
      <c r="O637" s="263"/>
      <c r="P637" s="263"/>
      <c r="Q637" s="263"/>
      <c r="R637" s="263"/>
      <c r="S637" s="263"/>
      <c r="T637" s="263"/>
      <c r="U637" s="263"/>
      <c r="V637" s="263"/>
      <c r="W637" s="267"/>
      <c r="X637" s="263"/>
    </row>
    <row r="638" spans="1:53" ht="39.950000000000003" customHeight="1">
      <c r="E638" s="271"/>
      <c r="F638" s="272"/>
      <c r="G638" s="263"/>
      <c r="H638" s="263"/>
      <c r="I638" s="263"/>
      <c r="J638" s="263"/>
      <c r="K638" s="263"/>
      <c r="L638" s="263"/>
      <c r="M638" s="263"/>
      <c r="N638" s="263"/>
      <c r="O638" s="263"/>
      <c r="P638" s="263"/>
      <c r="Q638" s="263"/>
      <c r="R638" s="263"/>
      <c r="S638" s="263"/>
      <c r="T638" s="263"/>
      <c r="U638" s="263"/>
      <c r="V638" s="263"/>
      <c r="W638" s="267"/>
      <c r="X638" s="263"/>
    </row>
    <row r="639" spans="1:53" ht="39.950000000000003" customHeight="1">
      <c r="E639" s="271"/>
      <c r="F639" s="272"/>
      <c r="G639" s="263"/>
      <c r="H639" s="263"/>
      <c r="I639" s="496" t="str">
        <f>I627</f>
        <v>TEREZKOVÁ Jana</v>
      </c>
      <c r="J639" s="496"/>
      <c r="K639" s="496"/>
      <c r="L639" s="496"/>
      <c r="M639" s="263"/>
      <c r="N639" s="263"/>
      <c r="O639" s="263"/>
      <c r="P639" s="496" t="str">
        <f>I630</f>
        <v>VOJTASOVA Patrícia</v>
      </c>
      <c r="Q639" s="496"/>
      <c r="R639" s="496"/>
      <c r="S639" s="496"/>
      <c r="T639" s="497"/>
      <c r="U639" s="497"/>
      <c r="V639" s="263"/>
      <c r="W639" s="267"/>
      <c r="X639" s="263"/>
    </row>
    <row r="640" spans="1:53" ht="69.95" customHeight="1">
      <c r="E640" s="264"/>
      <c r="F640" s="265"/>
      <c r="G640" s="263"/>
      <c r="H640" s="275" t="s">
        <v>36</v>
      </c>
      <c r="I640" s="483"/>
      <c r="J640" s="494"/>
      <c r="K640" s="494"/>
      <c r="L640" s="495"/>
      <c r="M640" s="263"/>
      <c r="N640" s="263"/>
      <c r="O640" s="275" t="s">
        <v>36</v>
      </c>
      <c r="P640" s="486"/>
      <c r="Q640" s="486"/>
      <c r="R640" s="486"/>
      <c r="S640" s="486"/>
      <c r="T640" s="486"/>
      <c r="U640" s="486"/>
      <c r="V640" s="263"/>
      <c r="W640" s="267"/>
      <c r="X640" s="263"/>
    </row>
    <row r="641" spans="1:53" ht="69.95" customHeight="1">
      <c r="E641" s="264"/>
      <c r="F641" s="265"/>
      <c r="G641" s="263"/>
      <c r="H641" s="275" t="s">
        <v>37</v>
      </c>
      <c r="I641" s="486"/>
      <c r="J641" s="486"/>
      <c r="K641" s="486"/>
      <c r="L641" s="486"/>
      <c r="M641" s="263"/>
      <c r="N641" s="263"/>
      <c r="O641" s="275" t="s">
        <v>37</v>
      </c>
      <c r="P641" s="486"/>
      <c r="Q641" s="486"/>
      <c r="R641" s="486"/>
      <c r="S641" s="486"/>
      <c r="T641" s="486"/>
      <c r="U641" s="486"/>
      <c r="V641" s="263"/>
      <c r="W641" s="267"/>
      <c r="X641" s="263"/>
    </row>
    <row r="642" spans="1:53" ht="69.95" customHeight="1">
      <c r="E642" s="264"/>
      <c r="F642" s="265"/>
      <c r="G642" s="263"/>
      <c r="H642" s="275" t="s">
        <v>37</v>
      </c>
      <c r="I642" s="486"/>
      <c r="J642" s="486"/>
      <c r="K642" s="486"/>
      <c r="L642" s="486"/>
      <c r="M642" s="263"/>
      <c r="N642" s="263"/>
      <c r="O642" s="275" t="s">
        <v>37</v>
      </c>
      <c r="P642" s="486"/>
      <c r="Q642" s="486"/>
      <c r="R642" s="486"/>
      <c r="S642" s="486"/>
      <c r="T642" s="486"/>
      <c r="U642" s="486"/>
      <c r="V642" s="263"/>
      <c r="W642" s="267"/>
      <c r="X642" s="263"/>
    </row>
    <row r="643" spans="1:53" ht="39.950000000000003" customHeight="1" thickBot="1">
      <c r="E643" s="276"/>
      <c r="F643" s="277"/>
      <c r="G643" s="278"/>
      <c r="H643" s="278"/>
      <c r="I643" s="278"/>
      <c r="J643" s="278"/>
      <c r="K643" s="278"/>
      <c r="L643" s="278"/>
      <c r="M643" s="278"/>
      <c r="N643" s="278"/>
      <c r="O643" s="278"/>
      <c r="P643" s="278"/>
      <c r="Q643" s="278"/>
      <c r="R643" s="278"/>
      <c r="S643" s="278"/>
      <c r="T643" s="279"/>
      <c r="U643" s="279"/>
      <c r="V643" s="279"/>
      <c r="W643" s="280"/>
      <c r="X643" s="263"/>
    </row>
    <row r="644" spans="1:53" ht="62.25" thickBot="1"/>
    <row r="645" spans="1:53" ht="39.950000000000003" customHeight="1">
      <c r="A645" s="252" t="str">
        <f>CONCATENATE(F652,F654,F656)</f>
        <v>CHA1-2</v>
      </c>
      <c r="E645" s="259" t="s">
        <v>70</v>
      </c>
      <c r="F645" s="260">
        <f>VLOOKUP(A645,'zoznam zapasov'!$A$6:$K$77,3,0)</f>
        <v>33</v>
      </c>
      <c r="G645" s="261"/>
      <c r="H645" s="322" t="s">
        <v>501</v>
      </c>
      <c r="I645" s="261"/>
      <c r="J645" s="261"/>
      <c r="K645" s="261"/>
      <c r="L645" s="261"/>
      <c r="M645" s="261"/>
      <c r="N645" s="261"/>
      <c r="O645" s="261"/>
      <c r="P645" s="261"/>
      <c r="Q645" s="261"/>
      <c r="R645" s="261"/>
      <c r="S645" s="261"/>
      <c r="T645" s="261"/>
      <c r="U645" s="261"/>
      <c r="V645" s="261" t="s">
        <v>30</v>
      </c>
      <c r="W645" s="262"/>
      <c r="X645" s="263"/>
      <c r="Z645" s="258" t="str">
        <f>CONCATENATE(V647,":",V650)</f>
        <v>3:1</v>
      </c>
      <c r="AE645" s="253" t="s">
        <v>11</v>
      </c>
      <c r="AV645" s="256" t="str">
        <f>CONCATENATE(AN647,",",AO647,",",AP647,",",AQ647,",",AR647,",",AS647,",",AT647)</f>
        <v>11,-14,6,6,,,</v>
      </c>
    </row>
    <row r="646" spans="1:53" ht="39.950000000000003" customHeight="1">
      <c r="E646" s="264"/>
      <c r="F646" s="265"/>
      <c r="G646" s="321" t="s">
        <v>500</v>
      </c>
      <c r="H646" s="323" t="s">
        <v>502</v>
      </c>
      <c r="I646" s="263"/>
      <c r="J646" s="263"/>
      <c r="K646" s="263"/>
      <c r="L646" s="263"/>
      <c r="M646" s="263"/>
      <c r="N646" s="266">
        <v>1</v>
      </c>
      <c r="O646" s="266">
        <v>2</v>
      </c>
      <c r="P646" s="266">
        <v>3</v>
      </c>
      <c r="Q646" s="266">
        <v>4</v>
      </c>
      <c r="R646" s="266">
        <v>5</v>
      </c>
      <c r="S646" s="266">
        <v>6</v>
      </c>
      <c r="T646" s="266">
        <v>7</v>
      </c>
      <c r="U646" s="263"/>
      <c r="V646" s="266" t="s">
        <v>31</v>
      </c>
      <c r="W646" s="267"/>
      <c r="X646" s="263"/>
      <c r="AE646" s="253" t="s">
        <v>68</v>
      </c>
      <c r="AV646" s="256" t="str">
        <f>CONCATENATE(AN648,",",AO648,",",AP648,",",AQ648,",",AR648,",",AS648,",",AT648)</f>
        <v>-11,14,-6,-6,,,</v>
      </c>
    </row>
    <row r="647" spans="1:53" ht="39.950000000000003" customHeight="1">
      <c r="A647" s="252" t="str">
        <f>CONCATENATE(F652,VLOOKUP(F654,$AZ$7:$BA$14,2,0),LEFT(F656,1))</f>
        <v>CH11</v>
      </c>
      <c r="E647" s="264" t="s">
        <v>29</v>
      </c>
      <c r="F647" s="265">
        <f>VLOOKUP(A645,'zoznam zapasov'!$A$6:$K$77,11,0)</f>
        <v>1</v>
      </c>
      <c r="G647" s="508"/>
      <c r="H647" s="495"/>
      <c r="I647" s="487" t="str">
        <f>IF(ISERROR(VLOOKUP(A647,vylosovanie!$A$8:$J$68,6,0))=TRUE,"",VLOOKUP(A647,vylosovanie!$A$8:$J$68,6,0))</f>
        <v>DIKO Dalibor</v>
      </c>
      <c r="J647" s="487"/>
      <c r="K647" s="487"/>
      <c r="L647" s="487"/>
      <c r="M647" s="263"/>
      <c r="N647" s="489">
        <v>13</v>
      </c>
      <c r="O647" s="489">
        <v>14</v>
      </c>
      <c r="P647" s="489">
        <v>11</v>
      </c>
      <c r="Q647" s="489">
        <v>11</v>
      </c>
      <c r="R647" s="489"/>
      <c r="S647" s="489"/>
      <c r="T647" s="489"/>
      <c r="U647" s="263"/>
      <c r="V647" s="493">
        <f>IF(SUM(AF647:AL648)=0,"",SUM(AF647:AL647))</f>
        <v>3</v>
      </c>
      <c r="W647" s="267"/>
      <c r="X647" s="263"/>
      <c r="AE647" s="253" t="str">
        <f>VLOOKUP(I647,vylosovanie!$F$8:$L$190,7,0)</f>
        <v>CH11</v>
      </c>
      <c r="AF647" s="268">
        <f>IF(N647&gt;N650,1,0)</f>
        <v>1</v>
      </c>
      <c r="AG647" s="268">
        <f t="shared" ref="AG647" si="438">IF(O647&gt;O650,1,0)</f>
        <v>0</v>
      </c>
      <c r="AH647" s="268">
        <f t="shared" ref="AH647" si="439">IF(P647&gt;P650,1,0)</f>
        <v>1</v>
      </c>
      <c r="AI647" s="268">
        <f t="shared" ref="AI647" si="440">IF(Q647&gt;Q650,1,0)</f>
        <v>1</v>
      </c>
      <c r="AJ647" s="268">
        <f t="shared" ref="AJ647" si="441">IF(R647&gt;R650,1,0)</f>
        <v>0</v>
      </c>
      <c r="AK647" s="268">
        <f t="shared" ref="AK647" si="442">IF(S647&gt;S650,1,0)</f>
        <v>0</v>
      </c>
      <c r="AL647" s="268">
        <f t="shared" ref="AL647" si="443">IF(T647&gt;T650,1,0)</f>
        <v>0</v>
      </c>
      <c r="AN647" s="268">
        <f t="shared" ref="AN647:AT647" si="444">IF(ISBLANK(N647)=TRUE,"",IF(AF647=1,N650,-N647))</f>
        <v>11</v>
      </c>
      <c r="AO647" s="268">
        <f t="shared" si="444"/>
        <v>-14</v>
      </c>
      <c r="AP647" s="268">
        <f t="shared" si="444"/>
        <v>6</v>
      </c>
      <c r="AQ647" s="268">
        <f t="shared" si="444"/>
        <v>6</v>
      </c>
      <c r="AR647" s="268" t="str">
        <f t="shared" si="444"/>
        <v/>
      </c>
      <c r="AS647" s="268" t="str">
        <f t="shared" si="444"/>
        <v/>
      </c>
      <c r="AT647" s="268" t="str">
        <f t="shared" si="444"/>
        <v/>
      </c>
      <c r="AZ647" s="269" t="s">
        <v>12</v>
      </c>
      <c r="BA647" s="269">
        <v>1</v>
      </c>
    </row>
    <row r="648" spans="1:53" ht="39.950000000000003" customHeight="1">
      <c r="E648" s="264"/>
      <c r="F648" s="265"/>
      <c r="G648" s="509"/>
      <c r="H648" s="495"/>
      <c r="I648" s="487"/>
      <c r="J648" s="487"/>
      <c r="K648" s="487"/>
      <c r="L648" s="487"/>
      <c r="M648" s="263"/>
      <c r="N648" s="490"/>
      <c r="O648" s="490"/>
      <c r="P648" s="490"/>
      <c r="Q648" s="490"/>
      <c r="R648" s="490"/>
      <c r="S648" s="490"/>
      <c r="T648" s="490"/>
      <c r="U648" s="263"/>
      <c r="V648" s="493"/>
      <c r="W648" s="267"/>
      <c r="X648" s="263"/>
      <c r="AE648" s="253" t="str">
        <f>VLOOKUP(I650,vylosovanie!$F$8:$L$190,7,0)</f>
        <v>CH12</v>
      </c>
      <c r="AF648" s="268">
        <f>IF(N650&gt;N647,1,0)</f>
        <v>0</v>
      </c>
      <c r="AG648" s="268">
        <f t="shared" ref="AG648" si="445">IF(O650&gt;O647,1,0)</f>
        <v>1</v>
      </c>
      <c r="AH648" s="268">
        <f t="shared" ref="AH648" si="446">IF(P650&gt;P647,1,0)</f>
        <v>0</v>
      </c>
      <c r="AI648" s="268">
        <f t="shared" ref="AI648" si="447">IF(Q650&gt;Q647,1,0)</f>
        <v>0</v>
      </c>
      <c r="AJ648" s="268">
        <f t="shared" ref="AJ648" si="448">IF(R650&gt;R647,1,0)</f>
        <v>0</v>
      </c>
      <c r="AK648" s="268">
        <f t="shared" ref="AK648" si="449">IF(S650&gt;S647,1,0)</f>
        <v>0</v>
      </c>
      <c r="AL648" s="268">
        <f t="shared" ref="AL648" si="450">IF(T650&gt;T647,1,0)</f>
        <v>0</v>
      </c>
      <c r="AN648" s="268">
        <f t="shared" ref="AN648:AT648" si="451">IF(ISBLANK(N650)=TRUE,"",IF(AF648=1,N647,-N650))</f>
        <v>-11</v>
      </c>
      <c r="AO648" s="268">
        <f t="shared" si="451"/>
        <v>14</v>
      </c>
      <c r="AP648" s="268">
        <f t="shared" si="451"/>
        <v>-6</v>
      </c>
      <c r="AQ648" s="268">
        <f t="shared" si="451"/>
        <v>-6</v>
      </c>
      <c r="AR648" s="268" t="str">
        <f t="shared" si="451"/>
        <v/>
      </c>
      <c r="AS648" s="268" t="str">
        <f t="shared" si="451"/>
        <v/>
      </c>
      <c r="AT648" s="268" t="str">
        <f t="shared" si="451"/>
        <v/>
      </c>
      <c r="AZ648" s="269" t="s">
        <v>18</v>
      </c>
      <c r="BA648" s="269">
        <v>2</v>
      </c>
    </row>
    <row r="649" spans="1:53" ht="39.950000000000003" customHeight="1">
      <c r="E649" s="264" t="s">
        <v>35</v>
      </c>
      <c r="F649" s="265" t="str">
        <f>VLOOKUP(A645,'zoznam zapasov'!$A$6:$K$77,9,0)</f>
        <v>So</v>
      </c>
      <c r="G649" s="263"/>
      <c r="H649" s="263"/>
      <c r="I649" s="263"/>
      <c r="J649" s="263"/>
      <c r="K649" s="263"/>
      <c r="L649" s="263"/>
      <c r="M649" s="263"/>
      <c r="N649" s="263"/>
      <c r="O649" s="263"/>
      <c r="P649" s="263"/>
      <c r="Q649" s="263"/>
      <c r="R649" s="263"/>
      <c r="S649" s="263"/>
      <c r="T649" s="263"/>
      <c r="U649" s="263"/>
      <c r="V649" s="263"/>
      <c r="W649" s="267"/>
      <c r="X649" s="263"/>
      <c r="AZ649" s="269" t="s">
        <v>38</v>
      </c>
      <c r="BA649" s="269">
        <v>3</v>
      </c>
    </row>
    <row r="650" spans="1:53" ht="39.950000000000003" customHeight="1">
      <c r="A650" s="252" t="str">
        <f>CONCATENATE(F652,VLOOKUP(F654,$AZ$7:$BA$14,2,0),RIGHT(F656,1))</f>
        <v>CH12</v>
      </c>
      <c r="E650" s="264" t="s">
        <v>28</v>
      </c>
      <c r="F650" s="270" t="str">
        <f>VLOOKUP(A645,'zoznam zapasov'!$A$6:$K$77,10,0)</f>
        <v>11.10</v>
      </c>
      <c r="G650" s="508"/>
      <c r="H650" s="486"/>
      <c r="I650" s="487" t="str">
        <f>IF(ISERROR(VLOOKUP(A650,vylosovanie!$A$8:$J$68,6,0))=TRUE,"",VLOOKUP(A650,vylosovanie!$A$8:$J$68,6,0))</f>
        <v>IVANČO Félix</v>
      </c>
      <c r="J650" s="487"/>
      <c r="K650" s="487"/>
      <c r="L650" s="487"/>
      <c r="M650" s="263"/>
      <c r="N650" s="489">
        <v>11</v>
      </c>
      <c r="O650" s="489">
        <v>16</v>
      </c>
      <c r="P650" s="489">
        <v>6</v>
      </c>
      <c r="Q650" s="489">
        <v>6</v>
      </c>
      <c r="R650" s="489"/>
      <c r="S650" s="489"/>
      <c r="T650" s="489"/>
      <c r="U650" s="263"/>
      <c r="V650" s="493">
        <f>IF(SUM(AF647:AL648)=0,"",SUM(AF648:AL648))</f>
        <v>1</v>
      </c>
      <c r="W650" s="267"/>
      <c r="X650" s="263"/>
      <c r="AZ650" s="269" t="s">
        <v>39</v>
      </c>
      <c r="BA650" s="269">
        <v>4</v>
      </c>
    </row>
    <row r="651" spans="1:53" ht="39.950000000000003" customHeight="1">
      <c r="E651" s="271"/>
      <c r="F651" s="272"/>
      <c r="G651" s="509"/>
      <c r="H651" s="486"/>
      <c r="I651" s="487"/>
      <c r="J651" s="487"/>
      <c r="K651" s="487"/>
      <c r="L651" s="487"/>
      <c r="M651" s="263"/>
      <c r="N651" s="490"/>
      <c r="O651" s="490"/>
      <c r="P651" s="490"/>
      <c r="Q651" s="490"/>
      <c r="R651" s="490"/>
      <c r="S651" s="490"/>
      <c r="T651" s="490"/>
      <c r="U651" s="263"/>
      <c r="V651" s="493"/>
      <c r="W651" s="267"/>
      <c r="X651" s="263"/>
      <c r="AZ651" s="269" t="s">
        <v>40</v>
      </c>
      <c r="BA651" s="269">
        <v>5</v>
      </c>
    </row>
    <row r="652" spans="1:53" ht="39.950000000000003" customHeight="1">
      <c r="E652" s="264" t="s">
        <v>66</v>
      </c>
      <c r="F652" s="265" t="s">
        <v>65</v>
      </c>
      <c r="G652" s="263"/>
      <c r="H652" s="263"/>
      <c r="I652" s="263"/>
      <c r="J652" s="263"/>
      <c r="K652" s="263"/>
      <c r="L652" s="263"/>
      <c r="M652" s="263"/>
      <c r="N652" s="263"/>
      <c r="O652" s="263"/>
      <c r="P652" s="263"/>
      <c r="Q652" s="263"/>
      <c r="R652" s="263"/>
      <c r="S652" s="263"/>
      <c r="T652" s="263"/>
      <c r="U652" s="263"/>
      <c r="V652" s="263"/>
      <c r="W652" s="267"/>
      <c r="X652" s="263"/>
      <c r="AZ652" s="269" t="s">
        <v>41</v>
      </c>
      <c r="BA652" s="269">
        <v>6</v>
      </c>
    </row>
    <row r="653" spans="1:53" ht="39.950000000000003" customHeight="1">
      <c r="E653" s="271"/>
      <c r="F653" s="272"/>
      <c r="G653" s="263"/>
      <c r="H653" s="263"/>
      <c r="I653" s="263" t="s">
        <v>32</v>
      </c>
      <c r="J653" s="263"/>
      <c r="K653" s="263"/>
      <c r="L653" s="263"/>
      <c r="M653" s="263"/>
      <c r="N653" s="273"/>
      <c r="O653" s="266"/>
      <c r="P653" s="266" t="s">
        <v>34</v>
      </c>
      <c r="Q653" s="266"/>
      <c r="R653" s="266"/>
      <c r="S653" s="266"/>
      <c r="T653" s="266"/>
      <c r="U653" s="263"/>
      <c r="V653" s="263"/>
      <c r="W653" s="267"/>
      <c r="X653" s="263"/>
      <c r="AZ653" s="269" t="s">
        <v>42</v>
      </c>
      <c r="BA653" s="269">
        <v>7</v>
      </c>
    </row>
    <row r="654" spans="1:53" ht="39.950000000000003" customHeight="1">
      <c r="E654" s="264" t="s">
        <v>26</v>
      </c>
      <c r="F654" s="265" t="s">
        <v>12</v>
      </c>
      <c r="G654" s="263"/>
      <c r="H654" s="263"/>
      <c r="I654" s="486"/>
      <c r="J654" s="486"/>
      <c r="K654" s="486"/>
      <c r="L654" s="486"/>
      <c r="M654" s="263"/>
      <c r="N654" s="486" t="str">
        <f>IF(V647&gt;V650,I647,IF(V650&gt;V647,I650,""))</f>
        <v>DIKO Dalibor</v>
      </c>
      <c r="O654" s="486"/>
      <c r="P654" s="486"/>
      <c r="Q654" s="486"/>
      <c r="R654" s="486"/>
      <c r="S654" s="486"/>
      <c r="T654" s="263"/>
      <c r="U654" s="263"/>
      <c r="V654" s="263"/>
      <c r="W654" s="267"/>
      <c r="X654" s="263"/>
      <c r="AZ654" s="269" t="s">
        <v>43</v>
      </c>
      <c r="BA654" s="269">
        <v>8</v>
      </c>
    </row>
    <row r="655" spans="1:53" ht="39.950000000000003" customHeight="1">
      <c r="E655" s="271"/>
      <c r="F655" s="272"/>
      <c r="G655" s="263"/>
      <c r="H655" s="263"/>
      <c r="I655" s="486"/>
      <c r="J655" s="486"/>
      <c r="K655" s="486"/>
      <c r="L655" s="486"/>
      <c r="M655" s="263"/>
      <c r="N655" s="486"/>
      <c r="O655" s="486"/>
      <c r="P655" s="486"/>
      <c r="Q655" s="486"/>
      <c r="R655" s="486"/>
      <c r="S655" s="486"/>
      <c r="T655" s="263"/>
      <c r="U655" s="263"/>
      <c r="V655" s="263"/>
      <c r="W655" s="267"/>
      <c r="X655" s="263"/>
    </row>
    <row r="656" spans="1:53" ht="39.950000000000003" customHeight="1">
      <c r="E656" s="264" t="s">
        <v>27</v>
      </c>
      <c r="F656" s="274" t="s">
        <v>22</v>
      </c>
      <c r="G656" s="263"/>
      <c r="H656" s="263"/>
      <c r="I656" s="263"/>
      <c r="J656" s="263"/>
      <c r="K656" s="263"/>
      <c r="L656" s="263"/>
      <c r="M656" s="263"/>
      <c r="N656" s="263"/>
      <c r="O656" s="263"/>
      <c r="P656" s="263"/>
      <c r="Q656" s="263"/>
      <c r="R656" s="263"/>
      <c r="S656" s="263"/>
      <c r="T656" s="263"/>
      <c r="U656" s="263"/>
      <c r="V656" s="263"/>
      <c r="W656" s="267"/>
      <c r="X656" s="263"/>
    </row>
    <row r="657" spans="1:53" ht="39.950000000000003" customHeight="1">
      <c r="E657" s="271"/>
      <c r="F657" s="272"/>
      <c r="G657" s="263"/>
      <c r="H657" s="263" t="s">
        <v>33</v>
      </c>
      <c r="I657" s="263"/>
      <c r="J657" s="263"/>
      <c r="K657" s="263"/>
      <c r="L657" s="263"/>
      <c r="M657" s="263"/>
      <c r="N657" s="263"/>
      <c r="O657" s="263"/>
      <c r="P657" s="263"/>
      <c r="Q657" s="263"/>
      <c r="R657" s="263"/>
      <c r="S657" s="263"/>
      <c r="T657" s="263"/>
      <c r="U657" s="263"/>
      <c r="V657" s="263"/>
      <c r="W657" s="267"/>
      <c r="X657" s="263"/>
    </row>
    <row r="658" spans="1:53" ht="39.950000000000003" customHeight="1">
      <c r="E658" s="271"/>
      <c r="F658" s="272"/>
      <c r="G658" s="263"/>
      <c r="H658" s="263"/>
      <c r="I658" s="263"/>
      <c r="J658" s="263"/>
      <c r="K658" s="263"/>
      <c r="L658" s="263"/>
      <c r="M658" s="263"/>
      <c r="N658" s="263"/>
      <c r="O658" s="263"/>
      <c r="P658" s="263"/>
      <c r="Q658" s="263"/>
      <c r="R658" s="263"/>
      <c r="S658" s="263"/>
      <c r="T658" s="263"/>
      <c r="U658" s="263"/>
      <c r="V658" s="263"/>
      <c r="W658" s="267"/>
      <c r="X658" s="263"/>
    </row>
    <row r="659" spans="1:53" ht="39.950000000000003" customHeight="1">
      <c r="E659" s="271"/>
      <c r="F659" s="272"/>
      <c r="G659" s="263"/>
      <c r="H659" s="263"/>
      <c r="I659" s="496" t="str">
        <f>I647</f>
        <v>DIKO Dalibor</v>
      </c>
      <c r="J659" s="496"/>
      <c r="K659" s="496"/>
      <c r="L659" s="496"/>
      <c r="M659" s="263"/>
      <c r="N659" s="263"/>
      <c r="O659" s="263"/>
      <c r="P659" s="496" t="str">
        <f>I650</f>
        <v>IVANČO Félix</v>
      </c>
      <c r="Q659" s="496"/>
      <c r="R659" s="496"/>
      <c r="S659" s="496"/>
      <c r="T659" s="497"/>
      <c r="U659" s="497"/>
      <c r="V659" s="263"/>
      <c r="W659" s="267"/>
      <c r="X659" s="263"/>
    </row>
    <row r="660" spans="1:53" ht="69.95" customHeight="1">
      <c r="E660" s="264"/>
      <c r="F660" s="265"/>
      <c r="G660" s="263"/>
      <c r="H660" s="275" t="s">
        <v>36</v>
      </c>
      <c r="I660" s="483"/>
      <c r="J660" s="494"/>
      <c r="K660" s="494"/>
      <c r="L660" s="495"/>
      <c r="M660" s="263"/>
      <c r="N660" s="263"/>
      <c r="O660" s="275" t="s">
        <v>36</v>
      </c>
      <c r="P660" s="486"/>
      <c r="Q660" s="486"/>
      <c r="R660" s="486"/>
      <c r="S660" s="486"/>
      <c r="T660" s="486"/>
      <c r="U660" s="486"/>
      <c r="V660" s="263"/>
      <c r="W660" s="267"/>
      <c r="X660" s="263"/>
    </row>
    <row r="661" spans="1:53" ht="69.95" customHeight="1">
      <c r="E661" s="264"/>
      <c r="F661" s="265"/>
      <c r="G661" s="263"/>
      <c r="H661" s="275" t="s">
        <v>37</v>
      </c>
      <c r="I661" s="486"/>
      <c r="J661" s="486"/>
      <c r="K661" s="486"/>
      <c r="L661" s="486"/>
      <c r="M661" s="263"/>
      <c r="N661" s="263"/>
      <c r="O661" s="275" t="s">
        <v>37</v>
      </c>
      <c r="P661" s="486"/>
      <c r="Q661" s="486"/>
      <c r="R661" s="486"/>
      <c r="S661" s="486"/>
      <c r="T661" s="486"/>
      <c r="U661" s="486"/>
      <c r="V661" s="263"/>
      <c r="W661" s="267"/>
      <c r="X661" s="263"/>
    </row>
    <row r="662" spans="1:53" ht="69.95" customHeight="1">
      <c r="E662" s="264"/>
      <c r="F662" s="265"/>
      <c r="G662" s="263"/>
      <c r="H662" s="275" t="s">
        <v>37</v>
      </c>
      <c r="I662" s="486"/>
      <c r="J662" s="486"/>
      <c r="K662" s="486"/>
      <c r="L662" s="486"/>
      <c r="M662" s="263"/>
      <c r="N662" s="263"/>
      <c r="O662" s="275" t="s">
        <v>37</v>
      </c>
      <c r="P662" s="486"/>
      <c r="Q662" s="486"/>
      <c r="R662" s="486"/>
      <c r="S662" s="486"/>
      <c r="T662" s="486"/>
      <c r="U662" s="486"/>
      <c r="V662" s="263"/>
      <c r="W662" s="267"/>
      <c r="X662" s="263"/>
    </row>
    <row r="663" spans="1:53" ht="39.950000000000003" customHeight="1" thickBot="1">
      <c r="E663" s="276"/>
      <c r="F663" s="277"/>
      <c r="G663" s="278"/>
      <c r="H663" s="278"/>
      <c r="I663" s="278"/>
      <c r="J663" s="278"/>
      <c r="K663" s="278"/>
      <c r="L663" s="278"/>
      <c r="M663" s="278"/>
      <c r="N663" s="278"/>
      <c r="O663" s="278"/>
      <c r="P663" s="278"/>
      <c r="Q663" s="278"/>
      <c r="R663" s="278"/>
      <c r="S663" s="278"/>
      <c r="T663" s="279"/>
      <c r="U663" s="279"/>
      <c r="V663" s="279"/>
      <c r="W663" s="280"/>
      <c r="X663" s="263"/>
    </row>
    <row r="664" spans="1:53" ht="62.25" thickBot="1">
      <c r="A664" s="252" t="s">
        <v>62</v>
      </c>
    </row>
    <row r="665" spans="1:53" ht="39.950000000000003" customHeight="1">
      <c r="A665" s="252" t="str">
        <f>CONCATENATE(F672,F674,F676)</f>
        <v>CHA3-4</v>
      </c>
      <c r="E665" s="259" t="s">
        <v>70</v>
      </c>
      <c r="F665" s="260">
        <f>VLOOKUP(A665,'zoznam zapasov'!$A$6:$K$77,3,0)</f>
        <v>34</v>
      </c>
      <c r="G665" s="261"/>
      <c r="H665" s="322" t="s">
        <v>501</v>
      </c>
      <c r="I665" s="261"/>
      <c r="J665" s="261"/>
      <c r="K665" s="261"/>
      <c r="L665" s="261"/>
      <c r="M665" s="261"/>
      <c r="N665" s="261"/>
      <c r="O665" s="261"/>
      <c r="P665" s="261"/>
      <c r="Q665" s="261"/>
      <c r="R665" s="261"/>
      <c r="S665" s="261"/>
      <c r="T665" s="261"/>
      <c r="U665" s="261"/>
      <c r="V665" s="261" t="s">
        <v>30</v>
      </c>
      <c r="W665" s="262"/>
      <c r="X665" s="263"/>
      <c r="Z665" s="258" t="str">
        <f>CONCATENATE(V667,":",V670)</f>
        <v>1:3</v>
      </c>
      <c r="AE665" s="253" t="s">
        <v>11</v>
      </c>
      <c r="AV665" s="256" t="str">
        <f>CONCATENATE(AN667,",",AO667,",",AP667,",",AQ667,",",AR667,",",AS667,",",AT667)</f>
        <v>-3,7,-11,-8,,,</v>
      </c>
    </row>
    <row r="666" spans="1:53" ht="39.950000000000003" customHeight="1">
      <c r="E666" s="264"/>
      <c r="F666" s="265"/>
      <c r="G666" s="321" t="s">
        <v>500</v>
      </c>
      <c r="H666" s="323" t="s">
        <v>502</v>
      </c>
      <c r="I666" s="263"/>
      <c r="J666" s="263"/>
      <c r="K666" s="263"/>
      <c r="L666" s="263"/>
      <c r="M666" s="263"/>
      <c r="N666" s="266">
        <v>1</v>
      </c>
      <c r="O666" s="266">
        <v>2</v>
      </c>
      <c r="P666" s="266">
        <v>3</v>
      </c>
      <c r="Q666" s="266">
        <v>4</v>
      </c>
      <c r="R666" s="266">
        <v>5</v>
      </c>
      <c r="S666" s="266">
        <v>6</v>
      </c>
      <c r="T666" s="266">
        <v>7</v>
      </c>
      <c r="U666" s="263"/>
      <c r="V666" s="266" t="s">
        <v>31</v>
      </c>
      <c r="W666" s="267"/>
      <c r="X666" s="263"/>
      <c r="AE666" s="253" t="s">
        <v>68</v>
      </c>
      <c r="AV666" s="256" t="str">
        <f>CONCATENATE(AN668,",",AO668,",",AP668,",",AQ668,",",AR668,",",AS668,",",AT668)</f>
        <v>3,-7,11,8,,,</v>
      </c>
    </row>
    <row r="667" spans="1:53" ht="39.950000000000003" customHeight="1">
      <c r="A667" s="252" t="str">
        <f>CONCATENATE(F672,VLOOKUP(F674,$AZ$7:$BA$14,2,0),LEFT(F676,1))</f>
        <v>CH13</v>
      </c>
      <c r="E667" s="264" t="s">
        <v>29</v>
      </c>
      <c r="F667" s="265">
        <f>VLOOKUP(A665,'zoznam zapasov'!$A$6:$K$77,11,0)</f>
        <v>2</v>
      </c>
      <c r="G667" s="508"/>
      <c r="H667" s="495"/>
      <c r="I667" s="487" t="str">
        <f>IF(ISERROR(VLOOKUP(A667,vylosovanie!$A$8:$J$68,6,0))=TRUE,"",VLOOKUP(A667,vylosovanie!$A$8:$J$68,6,0))</f>
        <v>MIKLUŠČÁK Benjamín</v>
      </c>
      <c r="J667" s="487"/>
      <c r="K667" s="487"/>
      <c r="L667" s="487"/>
      <c r="M667" s="263"/>
      <c r="N667" s="489">
        <v>3</v>
      </c>
      <c r="O667" s="489">
        <v>11</v>
      </c>
      <c r="P667" s="489">
        <v>11</v>
      </c>
      <c r="Q667" s="489">
        <v>8</v>
      </c>
      <c r="R667" s="489"/>
      <c r="S667" s="489"/>
      <c r="T667" s="489"/>
      <c r="U667" s="263"/>
      <c r="V667" s="493">
        <f>IF(SUM(AF667:AL668)=0,"",SUM(AF667:AL667))</f>
        <v>1</v>
      </c>
      <c r="W667" s="267"/>
      <c r="X667" s="263"/>
      <c r="AE667" s="253" t="str">
        <f>VLOOKUP(I667,vylosovanie!$F$8:$L$190,7,0)</f>
        <v>CH13</v>
      </c>
      <c r="AF667" s="268">
        <f>IF(N667&gt;N670,1,0)</f>
        <v>0</v>
      </c>
      <c r="AG667" s="268">
        <f t="shared" ref="AG667" si="452">IF(O667&gt;O670,1,0)</f>
        <v>1</v>
      </c>
      <c r="AH667" s="268">
        <f t="shared" ref="AH667" si="453">IF(P667&gt;P670,1,0)</f>
        <v>0</v>
      </c>
      <c r="AI667" s="268">
        <f t="shared" ref="AI667" si="454">IF(Q667&gt;Q670,1,0)</f>
        <v>0</v>
      </c>
      <c r="AJ667" s="268">
        <f t="shared" ref="AJ667" si="455">IF(R667&gt;R670,1,0)</f>
        <v>0</v>
      </c>
      <c r="AK667" s="268">
        <f t="shared" ref="AK667" si="456">IF(S667&gt;S670,1,0)</f>
        <v>0</v>
      </c>
      <c r="AL667" s="268">
        <f t="shared" ref="AL667" si="457">IF(T667&gt;T670,1,0)</f>
        <v>0</v>
      </c>
      <c r="AN667" s="268">
        <f t="shared" ref="AN667:AT667" si="458">IF(ISBLANK(N667)=TRUE,"",IF(AF667=1,N670,-N667))</f>
        <v>-3</v>
      </c>
      <c r="AO667" s="268">
        <f t="shared" si="458"/>
        <v>7</v>
      </c>
      <c r="AP667" s="268">
        <f t="shared" si="458"/>
        <v>-11</v>
      </c>
      <c r="AQ667" s="268">
        <f t="shared" si="458"/>
        <v>-8</v>
      </c>
      <c r="AR667" s="268" t="str">
        <f t="shared" si="458"/>
        <v/>
      </c>
      <c r="AS667" s="268" t="str">
        <f t="shared" si="458"/>
        <v/>
      </c>
      <c r="AT667" s="268" t="str">
        <f t="shared" si="458"/>
        <v/>
      </c>
      <c r="AZ667" s="269" t="s">
        <v>12</v>
      </c>
      <c r="BA667" s="269">
        <v>1</v>
      </c>
    </row>
    <row r="668" spans="1:53" ht="39.950000000000003" customHeight="1">
      <c r="E668" s="264"/>
      <c r="F668" s="265"/>
      <c r="G668" s="509"/>
      <c r="H668" s="495"/>
      <c r="I668" s="487"/>
      <c r="J668" s="487"/>
      <c r="K668" s="487"/>
      <c r="L668" s="487"/>
      <c r="M668" s="263"/>
      <c r="N668" s="490"/>
      <c r="O668" s="490"/>
      <c r="P668" s="490"/>
      <c r="Q668" s="490"/>
      <c r="R668" s="490"/>
      <c r="S668" s="490"/>
      <c r="T668" s="490"/>
      <c r="U668" s="263"/>
      <c r="V668" s="493"/>
      <c r="W668" s="267"/>
      <c r="X668" s="263"/>
      <c r="AE668" s="253" t="str">
        <f>VLOOKUP(I670,vylosovanie!$F$8:$L$190,7,0)</f>
        <v>CH14</v>
      </c>
      <c r="AF668" s="268">
        <f>IF(N670&gt;N667,1,0)</f>
        <v>1</v>
      </c>
      <c r="AG668" s="268">
        <f t="shared" ref="AG668" si="459">IF(O670&gt;O667,1,0)</f>
        <v>0</v>
      </c>
      <c r="AH668" s="268">
        <f t="shared" ref="AH668" si="460">IF(P670&gt;P667,1,0)</f>
        <v>1</v>
      </c>
      <c r="AI668" s="268">
        <f t="shared" ref="AI668" si="461">IF(Q670&gt;Q667,1,0)</f>
        <v>1</v>
      </c>
      <c r="AJ668" s="268">
        <f t="shared" ref="AJ668" si="462">IF(R670&gt;R667,1,0)</f>
        <v>0</v>
      </c>
      <c r="AK668" s="268">
        <f t="shared" ref="AK668" si="463">IF(S670&gt;S667,1,0)</f>
        <v>0</v>
      </c>
      <c r="AL668" s="268">
        <f t="shared" ref="AL668" si="464">IF(T670&gt;T667,1,0)</f>
        <v>0</v>
      </c>
      <c r="AN668" s="268">
        <f t="shared" ref="AN668:AT668" si="465">IF(ISBLANK(N670)=TRUE,"",IF(AF668=1,N667,-N670))</f>
        <v>3</v>
      </c>
      <c r="AO668" s="268">
        <f t="shared" si="465"/>
        <v>-7</v>
      </c>
      <c r="AP668" s="268">
        <f t="shared" si="465"/>
        <v>11</v>
      </c>
      <c r="AQ668" s="268">
        <f t="shared" si="465"/>
        <v>8</v>
      </c>
      <c r="AR668" s="268" t="str">
        <f t="shared" si="465"/>
        <v/>
      </c>
      <c r="AS668" s="268" t="str">
        <f t="shared" si="465"/>
        <v/>
      </c>
      <c r="AT668" s="268" t="str">
        <f t="shared" si="465"/>
        <v/>
      </c>
      <c r="AZ668" s="269" t="s">
        <v>18</v>
      </c>
      <c r="BA668" s="269">
        <v>2</v>
      </c>
    </row>
    <row r="669" spans="1:53" ht="39.950000000000003" customHeight="1">
      <c r="E669" s="264" t="s">
        <v>35</v>
      </c>
      <c r="F669" s="265" t="str">
        <f>VLOOKUP(A665,'zoznam zapasov'!$A$6:$K$77,9,0)</f>
        <v>So</v>
      </c>
      <c r="G669" s="263"/>
      <c r="H669" s="263"/>
      <c r="I669" s="263"/>
      <c r="J669" s="263"/>
      <c r="K669" s="263"/>
      <c r="L669" s="263"/>
      <c r="M669" s="263"/>
      <c r="N669" s="263"/>
      <c r="O669" s="263"/>
      <c r="P669" s="263"/>
      <c r="Q669" s="263"/>
      <c r="R669" s="263"/>
      <c r="S669" s="263"/>
      <c r="T669" s="263"/>
      <c r="U669" s="263"/>
      <c r="V669" s="263"/>
      <c r="W669" s="267"/>
      <c r="X669" s="263"/>
      <c r="AZ669" s="269" t="s">
        <v>38</v>
      </c>
      <c r="BA669" s="269">
        <v>3</v>
      </c>
    </row>
    <row r="670" spans="1:53" ht="39.950000000000003" customHeight="1">
      <c r="A670" s="252" t="str">
        <f>CONCATENATE(F672,VLOOKUP(F674,$AZ$7:$BA$14,2,0),RIGHT(F676,1))</f>
        <v>CH14</v>
      </c>
      <c r="E670" s="264" t="s">
        <v>28</v>
      </c>
      <c r="F670" s="270" t="str">
        <f>VLOOKUP(A665,'zoznam zapasov'!$A$6:$K$77,10,0)</f>
        <v>11.10</v>
      </c>
      <c r="G670" s="508"/>
      <c r="H670" s="486"/>
      <c r="I670" s="487" t="str">
        <f>IF(ISERROR(VLOOKUP(A670,vylosovanie!$A$8:$J$68,6,0))=TRUE,"",VLOOKUP(A670,vylosovanie!$A$8:$J$68,6,0))</f>
        <v>MARUNIAK Martin</v>
      </c>
      <c r="J670" s="487"/>
      <c r="K670" s="487"/>
      <c r="L670" s="487"/>
      <c r="M670" s="263"/>
      <c r="N670" s="489">
        <v>11</v>
      </c>
      <c r="O670" s="489">
        <v>7</v>
      </c>
      <c r="P670" s="489">
        <v>13</v>
      </c>
      <c r="Q670" s="489">
        <v>11</v>
      </c>
      <c r="R670" s="489"/>
      <c r="S670" s="489"/>
      <c r="T670" s="489"/>
      <c r="U670" s="263"/>
      <c r="V670" s="493">
        <f>IF(SUM(AF667:AL668)=0,"",SUM(AF668:AL668))</f>
        <v>3</v>
      </c>
      <c r="W670" s="267"/>
      <c r="X670" s="263"/>
      <c r="AZ670" s="269" t="s">
        <v>39</v>
      </c>
      <c r="BA670" s="269">
        <v>4</v>
      </c>
    </row>
    <row r="671" spans="1:53" ht="39.950000000000003" customHeight="1">
      <c r="E671" s="271"/>
      <c r="F671" s="272"/>
      <c r="G671" s="509"/>
      <c r="H671" s="486"/>
      <c r="I671" s="487"/>
      <c r="J671" s="487"/>
      <c r="K671" s="487"/>
      <c r="L671" s="487"/>
      <c r="M671" s="263"/>
      <c r="N671" s="490"/>
      <c r="O671" s="490"/>
      <c r="P671" s="490"/>
      <c r="Q671" s="490"/>
      <c r="R671" s="490"/>
      <c r="S671" s="490"/>
      <c r="T671" s="490"/>
      <c r="U671" s="263"/>
      <c r="V671" s="493"/>
      <c r="W671" s="267"/>
      <c r="X671" s="263"/>
      <c r="AZ671" s="269" t="s">
        <v>40</v>
      </c>
      <c r="BA671" s="269">
        <v>5</v>
      </c>
    </row>
    <row r="672" spans="1:53" ht="39.950000000000003" customHeight="1">
      <c r="E672" s="264" t="s">
        <v>66</v>
      </c>
      <c r="F672" s="265" t="s">
        <v>65</v>
      </c>
      <c r="G672" s="263"/>
      <c r="H672" s="263"/>
      <c r="I672" s="263"/>
      <c r="J672" s="263"/>
      <c r="K672" s="263"/>
      <c r="L672" s="263"/>
      <c r="M672" s="263"/>
      <c r="N672" s="263"/>
      <c r="O672" s="263"/>
      <c r="P672" s="263"/>
      <c r="Q672" s="263"/>
      <c r="R672" s="263"/>
      <c r="S672" s="263"/>
      <c r="T672" s="263"/>
      <c r="U672" s="263"/>
      <c r="V672" s="263"/>
      <c r="W672" s="267"/>
      <c r="X672" s="263"/>
      <c r="AZ672" s="269" t="s">
        <v>41</v>
      </c>
      <c r="BA672" s="269">
        <v>6</v>
      </c>
    </row>
    <row r="673" spans="1:53" ht="39.950000000000003" customHeight="1">
      <c r="E673" s="271"/>
      <c r="F673" s="272"/>
      <c r="G673" s="263"/>
      <c r="H673" s="263"/>
      <c r="I673" s="263" t="s">
        <v>32</v>
      </c>
      <c r="J673" s="263"/>
      <c r="K673" s="263"/>
      <c r="L673" s="263"/>
      <c r="M673" s="263"/>
      <c r="N673" s="273"/>
      <c r="O673" s="266"/>
      <c r="P673" s="266" t="s">
        <v>34</v>
      </c>
      <c r="Q673" s="266"/>
      <c r="R673" s="266"/>
      <c r="S673" s="266"/>
      <c r="T673" s="266"/>
      <c r="U673" s="263"/>
      <c r="V673" s="263"/>
      <c r="W673" s="267"/>
      <c r="X673" s="263"/>
      <c r="AZ673" s="269" t="s">
        <v>42</v>
      </c>
      <c r="BA673" s="269">
        <v>7</v>
      </c>
    </row>
    <row r="674" spans="1:53" ht="39.950000000000003" customHeight="1">
      <c r="E674" s="264" t="s">
        <v>26</v>
      </c>
      <c r="F674" s="265" t="s">
        <v>12</v>
      </c>
      <c r="G674" s="263"/>
      <c r="H674" s="263"/>
      <c r="I674" s="486"/>
      <c r="J674" s="486"/>
      <c r="K674" s="486"/>
      <c r="L674" s="486"/>
      <c r="M674" s="263"/>
      <c r="N674" s="486" t="str">
        <f>IF(V667&gt;V670,I667,IF(V670&gt;V667,I670,""))</f>
        <v>MARUNIAK Martin</v>
      </c>
      <c r="O674" s="486"/>
      <c r="P674" s="486"/>
      <c r="Q674" s="486"/>
      <c r="R674" s="486"/>
      <c r="S674" s="486"/>
      <c r="T674" s="263"/>
      <c r="U674" s="263"/>
      <c r="V674" s="263"/>
      <c r="W674" s="267"/>
      <c r="X674" s="263"/>
      <c r="AZ674" s="269" t="s">
        <v>43</v>
      </c>
      <c r="BA674" s="269">
        <v>8</v>
      </c>
    </row>
    <row r="675" spans="1:53" ht="39.950000000000003" customHeight="1">
      <c r="E675" s="271"/>
      <c r="F675" s="272"/>
      <c r="G675" s="263"/>
      <c r="H675" s="263"/>
      <c r="I675" s="486"/>
      <c r="J675" s="486"/>
      <c r="K675" s="486"/>
      <c r="L675" s="486"/>
      <c r="M675" s="263"/>
      <c r="N675" s="486"/>
      <c r="O675" s="486"/>
      <c r="P675" s="486"/>
      <c r="Q675" s="486"/>
      <c r="R675" s="486"/>
      <c r="S675" s="486"/>
      <c r="T675" s="263"/>
      <c r="U675" s="263"/>
      <c r="V675" s="263"/>
      <c r="W675" s="267"/>
      <c r="X675" s="263"/>
    </row>
    <row r="676" spans="1:53" ht="39.950000000000003" customHeight="1">
      <c r="E676" s="264" t="s">
        <v>27</v>
      </c>
      <c r="F676" s="274" t="s">
        <v>23</v>
      </c>
      <c r="G676" s="263"/>
      <c r="H676" s="263"/>
      <c r="I676" s="263"/>
      <c r="J676" s="263"/>
      <c r="K676" s="263"/>
      <c r="L676" s="263"/>
      <c r="M676" s="263"/>
      <c r="N676" s="263"/>
      <c r="O676" s="263"/>
      <c r="P676" s="263"/>
      <c r="Q676" s="263"/>
      <c r="R676" s="263"/>
      <c r="S676" s="263"/>
      <c r="T676" s="263"/>
      <c r="U676" s="263"/>
      <c r="V676" s="263"/>
      <c r="W676" s="267"/>
      <c r="X676" s="263"/>
    </row>
    <row r="677" spans="1:53" ht="39.950000000000003" customHeight="1">
      <c r="E677" s="271"/>
      <c r="F677" s="272"/>
      <c r="G677" s="263"/>
      <c r="H677" s="263" t="s">
        <v>33</v>
      </c>
      <c r="I677" s="263"/>
      <c r="J677" s="263"/>
      <c r="K677" s="263"/>
      <c r="L677" s="263"/>
      <c r="M677" s="263"/>
      <c r="N677" s="263"/>
      <c r="O677" s="263"/>
      <c r="P677" s="263"/>
      <c r="Q677" s="263"/>
      <c r="R677" s="263"/>
      <c r="S677" s="263"/>
      <c r="T677" s="263"/>
      <c r="U677" s="263"/>
      <c r="V677" s="263"/>
      <c r="W677" s="267"/>
      <c r="X677" s="263"/>
    </row>
    <row r="678" spans="1:53" ht="39.950000000000003" customHeight="1">
      <c r="E678" s="271"/>
      <c r="F678" s="272"/>
      <c r="G678" s="263"/>
      <c r="H678" s="263"/>
      <c r="I678" s="263"/>
      <c r="J678" s="263"/>
      <c r="K678" s="263"/>
      <c r="L678" s="263"/>
      <c r="M678" s="263"/>
      <c r="N678" s="263"/>
      <c r="O678" s="263"/>
      <c r="P678" s="263"/>
      <c r="Q678" s="263"/>
      <c r="R678" s="263"/>
      <c r="S678" s="263"/>
      <c r="T678" s="263"/>
      <c r="U678" s="263"/>
      <c r="V678" s="263"/>
      <c r="W678" s="267"/>
      <c r="X678" s="263"/>
    </row>
    <row r="679" spans="1:53" ht="39.950000000000003" customHeight="1">
      <c r="E679" s="271"/>
      <c r="F679" s="272"/>
      <c r="G679" s="263"/>
      <c r="H679" s="263"/>
      <c r="I679" s="496" t="str">
        <f>I667</f>
        <v>MIKLUŠČÁK Benjamín</v>
      </c>
      <c r="J679" s="496"/>
      <c r="K679" s="496"/>
      <c r="L679" s="496"/>
      <c r="M679" s="263"/>
      <c r="N679" s="263"/>
      <c r="O679" s="263"/>
      <c r="P679" s="496" t="str">
        <f>I670</f>
        <v>MARUNIAK Martin</v>
      </c>
      <c r="Q679" s="496"/>
      <c r="R679" s="496"/>
      <c r="S679" s="496"/>
      <c r="T679" s="497"/>
      <c r="U679" s="497"/>
      <c r="V679" s="263"/>
      <c r="W679" s="267"/>
      <c r="X679" s="263"/>
    </row>
    <row r="680" spans="1:53" ht="69.95" customHeight="1">
      <c r="E680" s="264"/>
      <c r="F680" s="265"/>
      <c r="G680" s="263"/>
      <c r="H680" s="275" t="s">
        <v>36</v>
      </c>
      <c r="I680" s="483"/>
      <c r="J680" s="494"/>
      <c r="K680" s="494"/>
      <c r="L680" s="495"/>
      <c r="M680" s="263"/>
      <c r="N680" s="263"/>
      <c r="O680" s="275" t="s">
        <v>36</v>
      </c>
      <c r="P680" s="486"/>
      <c r="Q680" s="486"/>
      <c r="R680" s="486"/>
      <c r="S680" s="486"/>
      <c r="T680" s="486"/>
      <c r="U680" s="486"/>
      <c r="V680" s="263"/>
      <c r="W680" s="267"/>
      <c r="X680" s="263"/>
    </row>
    <row r="681" spans="1:53" ht="69.95" customHeight="1">
      <c r="E681" s="264"/>
      <c r="F681" s="265"/>
      <c r="G681" s="263"/>
      <c r="H681" s="275" t="s">
        <v>37</v>
      </c>
      <c r="I681" s="486"/>
      <c r="J681" s="486"/>
      <c r="K681" s="486"/>
      <c r="L681" s="486"/>
      <c r="M681" s="263"/>
      <c r="N681" s="263"/>
      <c r="O681" s="275" t="s">
        <v>37</v>
      </c>
      <c r="P681" s="486"/>
      <c r="Q681" s="486"/>
      <c r="R681" s="486"/>
      <c r="S681" s="486"/>
      <c r="T681" s="486"/>
      <c r="U681" s="486"/>
      <c r="V681" s="263"/>
      <c r="W681" s="267"/>
      <c r="X681" s="263"/>
    </row>
    <row r="682" spans="1:53" ht="69.95" customHeight="1">
      <c r="E682" s="264"/>
      <c r="F682" s="265"/>
      <c r="G682" s="263"/>
      <c r="H682" s="275" t="s">
        <v>37</v>
      </c>
      <c r="I682" s="486"/>
      <c r="J682" s="486"/>
      <c r="K682" s="486"/>
      <c r="L682" s="486"/>
      <c r="M682" s="263"/>
      <c r="N682" s="263"/>
      <c r="O682" s="275" t="s">
        <v>37</v>
      </c>
      <c r="P682" s="486"/>
      <c r="Q682" s="486"/>
      <c r="R682" s="486"/>
      <c r="S682" s="486"/>
      <c r="T682" s="486"/>
      <c r="U682" s="486"/>
      <c r="V682" s="263"/>
      <c r="W682" s="267"/>
      <c r="X682" s="263"/>
    </row>
    <row r="683" spans="1:53" ht="39.950000000000003" customHeight="1" thickBot="1">
      <c r="E683" s="276"/>
      <c r="F683" s="277"/>
      <c r="G683" s="278"/>
      <c r="H683" s="278"/>
      <c r="I683" s="278"/>
      <c r="J683" s="278"/>
      <c r="K683" s="278"/>
      <c r="L683" s="278"/>
      <c r="M683" s="278"/>
      <c r="N683" s="278"/>
      <c r="O683" s="278"/>
      <c r="P683" s="278"/>
      <c r="Q683" s="278"/>
      <c r="R683" s="278"/>
      <c r="S683" s="278"/>
      <c r="T683" s="279"/>
      <c r="U683" s="279"/>
      <c r="V683" s="279"/>
      <c r="W683" s="280"/>
      <c r="X683" s="263"/>
    </row>
    <row r="684" spans="1:53" ht="62.25" thickBot="1">
      <c r="A684" s="252" t="s">
        <v>62</v>
      </c>
    </row>
    <row r="685" spans="1:53" ht="39.950000000000003" customHeight="1">
      <c r="A685" s="252" t="str">
        <f>CONCATENATE(F692,F694,F696)</f>
        <v>CHB1-2</v>
      </c>
      <c r="E685" s="259" t="s">
        <v>70</v>
      </c>
      <c r="F685" s="260">
        <f>VLOOKUP(A685,'zoznam zapasov'!$A$6:$K$77,3,0)</f>
        <v>35</v>
      </c>
      <c r="G685" s="261"/>
      <c r="H685" s="322" t="s">
        <v>501</v>
      </c>
      <c r="I685" s="261"/>
      <c r="J685" s="261"/>
      <c r="K685" s="261"/>
      <c r="L685" s="261"/>
      <c r="M685" s="261"/>
      <c r="N685" s="261"/>
      <c r="O685" s="261"/>
      <c r="P685" s="261"/>
      <c r="Q685" s="261"/>
      <c r="R685" s="261"/>
      <c r="S685" s="261"/>
      <c r="T685" s="261"/>
      <c r="U685" s="261"/>
      <c r="V685" s="261" t="s">
        <v>30</v>
      </c>
      <c r="W685" s="262"/>
      <c r="X685" s="263"/>
      <c r="Z685" s="258" t="str">
        <f>CONCATENATE(V687,":",V690)</f>
        <v>3:0</v>
      </c>
      <c r="AE685" s="253" t="s">
        <v>11</v>
      </c>
      <c r="AV685" s="256" t="str">
        <f>CONCATENATE(AN687,",",AO687,",",AP687,",",AQ687,",",AR687,",",AS687,",",AT687)</f>
        <v>2,4,8,,,,</v>
      </c>
    </row>
    <row r="686" spans="1:53" ht="39.950000000000003" customHeight="1">
      <c r="E686" s="264"/>
      <c r="F686" s="265"/>
      <c r="G686" s="321" t="s">
        <v>500</v>
      </c>
      <c r="H686" s="323" t="s">
        <v>502</v>
      </c>
      <c r="I686" s="263"/>
      <c r="J686" s="263"/>
      <c r="K686" s="263"/>
      <c r="L686" s="263"/>
      <c r="M686" s="263"/>
      <c r="N686" s="266">
        <v>1</v>
      </c>
      <c r="O686" s="266">
        <v>2</v>
      </c>
      <c r="P686" s="266">
        <v>3</v>
      </c>
      <c r="Q686" s="266">
        <v>4</v>
      </c>
      <c r="R686" s="266">
        <v>5</v>
      </c>
      <c r="S686" s="266">
        <v>6</v>
      </c>
      <c r="T686" s="266">
        <v>7</v>
      </c>
      <c r="U686" s="263"/>
      <c r="V686" s="266" t="s">
        <v>31</v>
      </c>
      <c r="W686" s="267"/>
      <c r="X686" s="263"/>
      <c r="AE686" s="253" t="s">
        <v>68</v>
      </c>
      <c r="AV686" s="256" t="str">
        <f>CONCATENATE(AN688,",",AO688,",",AP688,",",AQ688,",",AR688,",",AS688,",",AT688)</f>
        <v>-2,-4,-8,,,,</v>
      </c>
    </row>
    <row r="687" spans="1:53" ht="39.950000000000003" customHeight="1">
      <c r="A687" s="252" t="str">
        <f>CONCATENATE(F692,VLOOKUP(F694,$AZ$7:$BA$14,2,0),LEFT(F696,1))</f>
        <v>CH21</v>
      </c>
      <c r="E687" s="264" t="s">
        <v>29</v>
      </c>
      <c r="F687" s="265">
        <f>VLOOKUP(A685,'zoznam zapasov'!$A$6:$K$77,11,0)</f>
        <v>3</v>
      </c>
      <c r="G687" s="508"/>
      <c r="H687" s="495"/>
      <c r="I687" s="487" t="str">
        <f>IF(ISERROR(VLOOKUP(A687,vylosovanie!$A$8:$J$68,6,0))=TRUE,"",VLOOKUP(A687,vylosovanie!$A$8:$J$68,6,0))</f>
        <v>KYSEL Martin</v>
      </c>
      <c r="J687" s="487"/>
      <c r="K687" s="487"/>
      <c r="L687" s="487"/>
      <c r="M687" s="263"/>
      <c r="N687" s="489">
        <v>11</v>
      </c>
      <c r="O687" s="489">
        <v>11</v>
      </c>
      <c r="P687" s="489">
        <v>11</v>
      </c>
      <c r="Q687" s="489"/>
      <c r="R687" s="489"/>
      <c r="S687" s="489"/>
      <c r="T687" s="489"/>
      <c r="U687" s="263"/>
      <c r="V687" s="493">
        <f>IF(SUM(AF687:AL688)=0,"",SUM(AF687:AL687))</f>
        <v>3</v>
      </c>
      <c r="W687" s="267"/>
      <c r="X687" s="263"/>
      <c r="AE687" s="253" t="str">
        <f>VLOOKUP(I687,vylosovanie!$F$8:$L$190,7,0)</f>
        <v>CH21</v>
      </c>
      <c r="AF687" s="268">
        <f>IF(N687&gt;N690,1,0)</f>
        <v>1</v>
      </c>
      <c r="AG687" s="268">
        <f t="shared" ref="AG687" si="466">IF(O687&gt;O690,1,0)</f>
        <v>1</v>
      </c>
      <c r="AH687" s="268">
        <f t="shared" ref="AH687" si="467">IF(P687&gt;P690,1,0)</f>
        <v>1</v>
      </c>
      <c r="AI687" s="268">
        <f t="shared" ref="AI687" si="468">IF(Q687&gt;Q690,1,0)</f>
        <v>0</v>
      </c>
      <c r="AJ687" s="268">
        <f t="shared" ref="AJ687" si="469">IF(R687&gt;R690,1,0)</f>
        <v>0</v>
      </c>
      <c r="AK687" s="268">
        <f t="shared" ref="AK687" si="470">IF(S687&gt;S690,1,0)</f>
        <v>0</v>
      </c>
      <c r="AL687" s="268">
        <f t="shared" ref="AL687" si="471">IF(T687&gt;T690,1,0)</f>
        <v>0</v>
      </c>
      <c r="AN687" s="268">
        <f t="shared" ref="AN687:AT687" si="472">IF(ISBLANK(N687)=TRUE,"",IF(AF687=1,N690,-N687))</f>
        <v>2</v>
      </c>
      <c r="AO687" s="268">
        <f t="shared" si="472"/>
        <v>4</v>
      </c>
      <c r="AP687" s="268">
        <f t="shared" si="472"/>
        <v>8</v>
      </c>
      <c r="AQ687" s="268" t="str">
        <f t="shared" si="472"/>
        <v/>
      </c>
      <c r="AR687" s="268" t="str">
        <f t="shared" si="472"/>
        <v/>
      </c>
      <c r="AS687" s="268" t="str">
        <f t="shared" si="472"/>
        <v/>
      </c>
      <c r="AT687" s="268" t="str">
        <f t="shared" si="472"/>
        <v/>
      </c>
      <c r="AZ687" s="269" t="s">
        <v>12</v>
      </c>
      <c r="BA687" s="269">
        <v>1</v>
      </c>
    </row>
    <row r="688" spans="1:53" ht="39.950000000000003" customHeight="1">
      <c r="E688" s="264"/>
      <c r="F688" s="265"/>
      <c r="G688" s="509"/>
      <c r="H688" s="495"/>
      <c r="I688" s="487"/>
      <c r="J688" s="487"/>
      <c r="K688" s="487"/>
      <c r="L688" s="487"/>
      <c r="M688" s="263"/>
      <c r="N688" s="490"/>
      <c r="O688" s="490"/>
      <c r="P688" s="490"/>
      <c r="Q688" s="490"/>
      <c r="R688" s="490"/>
      <c r="S688" s="490"/>
      <c r="T688" s="490"/>
      <c r="U688" s="263"/>
      <c r="V688" s="493"/>
      <c r="W688" s="267"/>
      <c r="X688" s="263"/>
      <c r="AE688" s="253" t="str">
        <f>VLOOKUP(I690,vylosovanie!$F$8:$L$190,7,0)</f>
        <v>CH22</v>
      </c>
      <c r="AF688" s="268">
        <f>IF(N690&gt;N687,1,0)</f>
        <v>0</v>
      </c>
      <c r="AG688" s="268">
        <f t="shared" ref="AG688" si="473">IF(O690&gt;O687,1,0)</f>
        <v>0</v>
      </c>
      <c r="AH688" s="268">
        <f t="shared" ref="AH688" si="474">IF(P690&gt;P687,1,0)</f>
        <v>0</v>
      </c>
      <c r="AI688" s="268">
        <f t="shared" ref="AI688" si="475">IF(Q690&gt;Q687,1,0)</f>
        <v>0</v>
      </c>
      <c r="AJ688" s="268">
        <f t="shared" ref="AJ688" si="476">IF(R690&gt;R687,1,0)</f>
        <v>0</v>
      </c>
      <c r="AK688" s="268">
        <f t="shared" ref="AK688" si="477">IF(S690&gt;S687,1,0)</f>
        <v>0</v>
      </c>
      <c r="AL688" s="268">
        <f t="shared" ref="AL688" si="478">IF(T690&gt;T687,1,0)</f>
        <v>0</v>
      </c>
      <c r="AN688" s="268">
        <f t="shared" ref="AN688:AT688" si="479">IF(ISBLANK(N690)=TRUE,"",IF(AF688=1,N687,-N690))</f>
        <v>-2</v>
      </c>
      <c r="AO688" s="268">
        <f t="shared" si="479"/>
        <v>-4</v>
      </c>
      <c r="AP688" s="268">
        <f t="shared" si="479"/>
        <v>-8</v>
      </c>
      <c r="AQ688" s="268" t="str">
        <f t="shared" si="479"/>
        <v/>
      </c>
      <c r="AR688" s="268" t="str">
        <f t="shared" si="479"/>
        <v/>
      </c>
      <c r="AS688" s="268" t="str">
        <f t="shared" si="479"/>
        <v/>
      </c>
      <c r="AT688" s="268" t="str">
        <f t="shared" si="479"/>
        <v/>
      </c>
      <c r="AZ688" s="269" t="s">
        <v>18</v>
      </c>
      <c r="BA688" s="269">
        <v>2</v>
      </c>
    </row>
    <row r="689" spans="1:53" ht="39.950000000000003" customHeight="1">
      <c r="E689" s="264" t="s">
        <v>35</v>
      </c>
      <c r="F689" s="265" t="str">
        <f>VLOOKUP(A685,'zoznam zapasov'!$A$6:$K$77,9,0)</f>
        <v>So</v>
      </c>
      <c r="G689" s="263"/>
      <c r="H689" s="263"/>
      <c r="I689" s="263"/>
      <c r="J689" s="263"/>
      <c r="K689" s="263"/>
      <c r="L689" s="263"/>
      <c r="M689" s="263"/>
      <c r="N689" s="263"/>
      <c r="O689" s="263"/>
      <c r="P689" s="263"/>
      <c r="Q689" s="263"/>
      <c r="R689" s="263"/>
      <c r="S689" s="263"/>
      <c r="T689" s="263"/>
      <c r="U689" s="263"/>
      <c r="V689" s="263"/>
      <c r="W689" s="267"/>
      <c r="X689" s="263"/>
      <c r="AZ689" s="269" t="s">
        <v>38</v>
      </c>
      <c r="BA689" s="269">
        <v>3</v>
      </c>
    </row>
    <row r="690" spans="1:53" ht="39.950000000000003" customHeight="1">
      <c r="A690" s="252" t="str">
        <f>CONCATENATE(F692,VLOOKUP(F694,$AZ$7:$BA$14,2,0),RIGHT(F696,1))</f>
        <v>CH22</v>
      </c>
      <c r="E690" s="264" t="s">
        <v>28</v>
      </c>
      <c r="F690" s="270" t="str">
        <f>VLOOKUP(A685,'zoznam zapasov'!$A$6:$K$77,10,0)</f>
        <v>11.10</v>
      </c>
      <c r="G690" s="508"/>
      <c r="H690" s="486"/>
      <c r="I690" s="487" t="str">
        <f>IF(ISERROR(VLOOKUP(A690,vylosovanie!$A$8:$J$68,6,0))=TRUE,"",VLOOKUP(A690,vylosovanie!$A$8:$J$68,6,0))</f>
        <v>SUCHA Tomáš</v>
      </c>
      <c r="J690" s="487"/>
      <c r="K690" s="487"/>
      <c r="L690" s="487"/>
      <c r="M690" s="263"/>
      <c r="N690" s="489">
        <v>2</v>
      </c>
      <c r="O690" s="489">
        <v>4</v>
      </c>
      <c r="P690" s="489">
        <v>8</v>
      </c>
      <c r="Q690" s="489"/>
      <c r="R690" s="489"/>
      <c r="S690" s="489"/>
      <c r="T690" s="489"/>
      <c r="U690" s="263"/>
      <c r="V690" s="493">
        <f>IF(SUM(AF687:AL688)=0,"",SUM(AF688:AL688))</f>
        <v>0</v>
      </c>
      <c r="W690" s="267"/>
      <c r="X690" s="263"/>
      <c r="AZ690" s="269" t="s">
        <v>39</v>
      </c>
      <c r="BA690" s="269">
        <v>4</v>
      </c>
    </row>
    <row r="691" spans="1:53" ht="39.950000000000003" customHeight="1">
      <c r="E691" s="271"/>
      <c r="F691" s="272"/>
      <c r="G691" s="509"/>
      <c r="H691" s="486"/>
      <c r="I691" s="487"/>
      <c r="J691" s="487"/>
      <c r="K691" s="487"/>
      <c r="L691" s="487"/>
      <c r="M691" s="263"/>
      <c r="N691" s="490"/>
      <c r="O691" s="490"/>
      <c r="P691" s="490"/>
      <c r="Q691" s="490"/>
      <c r="R691" s="490"/>
      <c r="S691" s="490"/>
      <c r="T691" s="490"/>
      <c r="U691" s="263"/>
      <c r="V691" s="493"/>
      <c r="W691" s="267"/>
      <c r="X691" s="263"/>
      <c r="AZ691" s="269" t="s">
        <v>40</v>
      </c>
      <c r="BA691" s="269">
        <v>5</v>
      </c>
    </row>
    <row r="692" spans="1:53" ht="39.950000000000003" customHeight="1">
      <c r="E692" s="264" t="s">
        <v>66</v>
      </c>
      <c r="F692" s="265" t="s">
        <v>65</v>
      </c>
      <c r="G692" s="263"/>
      <c r="H692" s="263"/>
      <c r="I692" s="263"/>
      <c r="J692" s="263"/>
      <c r="K692" s="263"/>
      <c r="L692" s="263"/>
      <c r="M692" s="263"/>
      <c r="N692" s="263"/>
      <c r="O692" s="263"/>
      <c r="P692" s="263"/>
      <c r="Q692" s="263"/>
      <c r="R692" s="263"/>
      <c r="S692" s="263"/>
      <c r="T692" s="263"/>
      <c r="U692" s="263"/>
      <c r="V692" s="263"/>
      <c r="W692" s="267"/>
      <c r="X692" s="263"/>
      <c r="AZ692" s="269" t="s">
        <v>41</v>
      </c>
      <c r="BA692" s="269">
        <v>6</v>
      </c>
    </row>
    <row r="693" spans="1:53" ht="39.950000000000003" customHeight="1">
      <c r="E693" s="271"/>
      <c r="F693" s="272"/>
      <c r="G693" s="263"/>
      <c r="H693" s="263"/>
      <c r="I693" s="263" t="s">
        <v>32</v>
      </c>
      <c r="J693" s="263"/>
      <c r="K693" s="263"/>
      <c r="L693" s="263"/>
      <c r="M693" s="263"/>
      <c r="N693" s="273"/>
      <c r="O693" s="266"/>
      <c r="P693" s="266" t="s">
        <v>34</v>
      </c>
      <c r="Q693" s="266"/>
      <c r="R693" s="266"/>
      <c r="S693" s="266"/>
      <c r="T693" s="266"/>
      <c r="U693" s="263"/>
      <c r="V693" s="263"/>
      <c r="W693" s="267"/>
      <c r="X693" s="263"/>
      <c r="AZ693" s="269" t="s">
        <v>42</v>
      </c>
      <c r="BA693" s="269">
        <v>7</v>
      </c>
    </row>
    <row r="694" spans="1:53" ht="39.950000000000003" customHeight="1">
      <c r="E694" s="264" t="s">
        <v>26</v>
      </c>
      <c r="F694" s="265" t="s">
        <v>18</v>
      </c>
      <c r="G694" s="263"/>
      <c r="H694" s="263"/>
      <c r="I694" s="486"/>
      <c r="J694" s="486"/>
      <c r="K694" s="486"/>
      <c r="L694" s="486"/>
      <c r="M694" s="263"/>
      <c r="N694" s="486" t="str">
        <f>IF(V687&gt;V690,I687,IF(V690&gt;V687,I690,""))</f>
        <v>KYSEL Martin</v>
      </c>
      <c r="O694" s="486"/>
      <c r="P694" s="486"/>
      <c r="Q694" s="486"/>
      <c r="R694" s="486"/>
      <c r="S694" s="486"/>
      <c r="T694" s="263"/>
      <c r="U694" s="263"/>
      <c r="V694" s="263"/>
      <c r="W694" s="267"/>
      <c r="X694" s="263"/>
      <c r="AZ694" s="269" t="s">
        <v>43</v>
      </c>
      <c r="BA694" s="269">
        <v>8</v>
      </c>
    </row>
    <row r="695" spans="1:53" ht="39.950000000000003" customHeight="1">
      <c r="E695" s="271"/>
      <c r="F695" s="272"/>
      <c r="G695" s="263"/>
      <c r="H695" s="263"/>
      <c r="I695" s="486"/>
      <c r="J695" s="486"/>
      <c r="K695" s="486"/>
      <c r="L695" s="486"/>
      <c r="M695" s="263"/>
      <c r="N695" s="486"/>
      <c r="O695" s="486"/>
      <c r="P695" s="486"/>
      <c r="Q695" s="486"/>
      <c r="R695" s="486"/>
      <c r="S695" s="486"/>
      <c r="T695" s="263"/>
      <c r="U695" s="263"/>
      <c r="V695" s="263"/>
      <c r="W695" s="267"/>
      <c r="X695" s="263"/>
    </row>
    <row r="696" spans="1:53" ht="39.950000000000003" customHeight="1">
      <c r="E696" s="264" t="s">
        <v>27</v>
      </c>
      <c r="F696" s="274" t="s">
        <v>22</v>
      </c>
      <c r="G696" s="263"/>
      <c r="H696" s="263"/>
      <c r="I696" s="263"/>
      <c r="J696" s="263"/>
      <c r="K696" s="263"/>
      <c r="L696" s="263"/>
      <c r="M696" s="263"/>
      <c r="N696" s="263"/>
      <c r="O696" s="263"/>
      <c r="P696" s="263"/>
      <c r="Q696" s="263"/>
      <c r="R696" s="263"/>
      <c r="S696" s="263"/>
      <c r="T696" s="263"/>
      <c r="U696" s="263"/>
      <c r="V696" s="263"/>
      <c r="W696" s="267"/>
      <c r="X696" s="263"/>
    </row>
    <row r="697" spans="1:53" ht="39.950000000000003" customHeight="1">
      <c r="E697" s="271"/>
      <c r="F697" s="272"/>
      <c r="G697" s="263"/>
      <c r="H697" s="263" t="s">
        <v>33</v>
      </c>
      <c r="I697" s="263"/>
      <c r="J697" s="263"/>
      <c r="K697" s="263"/>
      <c r="L697" s="263"/>
      <c r="M697" s="263"/>
      <c r="N697" s="263"/>
      <c r="O697" s="263"/>
      <c r="P697" s="263"/>
      <c r="Q697" s="263"/>
      <c r="R697" s="263"/>
      <c r="S697" s="263"/>
      <c r="T697" s="263"/>
      <c r="U697" s="263"/>
      <c r="V697" s="263"/>
      <c r="W697" s="267"/>
      <c r="X697" s="263"/>
    </row>
    <row r="698" spans="1:53" ht="39.950000000000003" customHeight="1">
      <c r="E698" s="271"/>
      <c r="F698" s="272"/>
      <c r="G698" s="263"/>
      <c r="H698" s="263"/>
      <c r="I698" s="263"/>
      <c r="J698" s="263"/>
      <c r="K698" s="263"/>
      <c r="L698" s="263"/>
      <c r="M698" s="263"/>
      <c r="N698" s="263"/>
      <c r="O698" s="263"/>
      <c r="P698" s="263"/>
      <c r="Q698" s="263"/>
      <c r="R698" s="263"/>
      <c r="S698" s="263"/>
      <c r="T698" s="263"/>
      <c r="U698" s="263"/>
      <c r="V698" s="263"/>
      <c r="W698" s="267"/>
      <c r="X698" s="263"/>
    </row>
    <row r="699" spans="1:53" ht="39.950000000000003" customHeight="1">
      <c r="E699" s="271"/>
      <c r="F699" s="272"/>
      <c r="G699" s="263"/>
      <c r="H699" s="263"/>
      <c r="I699" s="496" t="str">
        <f>I687</f>
        <v>KYSEL Martin</v>
      </c>
      <c r="J699" s="496"/>
      <c r="K699" s="496"/>
      <c r="L699" s="496"/>
      <c r="M699" s="263"/>
      <c r="N699" s="263"/>
      <c r="O699" s="263"/>
      <c r="P699" s="496" t="str">
        <f>I690</f>
        <v>SUCHA Tomáš</v>
      </c>
      <c r="Q699" s="496"/>
      <c r="R699" s="496"/>
      <c r="S699" s="496"/>
      <c r="T699" s="497"/>
      <c r="U699" s="497"/>
      <c r="V699" s="263"/>
      <c r="W699" s="267"/>
      <c r="X699" s="263"/>
    </row>
    <row r="700" spans="1:53" ht="69.95" customHeight="1">
      <c r="E700" s="264"/>
      <c r="F700" s="265"/>
      <c r="G700" s="263"/>
      <c r="H700" s="275" t="s">
        <v>36</v>
      </c>
      <c r="I700" s="483"/>
      <c r="J700" s="494"/>
      <c r="K700" s="494"/>
      <c r="L700" s="495"/>
      <c r="M700" s="263"/>
      <c r="N700" s="263"/>
      <c r="O700" s="275" t="s">
        <v>36</v>
      </c>
      <c r="P700" s="486"/>
      <c r="Q700" s="486"/>
      <c r="R700" s="486"/>
      <c r="S700" s="486"/>
      <c r="T700" s="486"/>
      <c r="U700" s="486"/>
      <c r="V700" s="263"/>
      <c r="W700" s="267"/>
      <c r="X700" s="263"/>
    </row>
    <row r="701" spans="1:53" ht="69.95" customHeight="1">
      <c r="E701" s="264"/>
      <c r="F701" s="265"/>
      <c r="G701" s="263"/>
      <c r="H701" s="275" t="s">
        <v>37</v>
      </c>
      <c r="I701" s="486"/>
      <c r="J701" s="486"/>
      <c r="K701" s="486"/>
      <c r="L701" s="486"/>
      <c r="M701" s="263"/>
      <c r="N701" s="263"/>
      <c r="O701" s="275" t="s">
        <v>37</v>
      </c>
      <c r="P701" s="486"/>
      <c r="Q701" s="486"/>
      <c r="R701" s="486"/>
      <c r="S701" s="486"/>
      <c r="T701" s="486"/>
      <c r="U701" s="486"/>
      <c r="V701" s="263"/>
      <c r="W701" s="267"/>
      <c r="X701" s="263"/>
    </row>
    <row r="702" spans="1:53" ht="69.95" customHeight="1">
      <c r="E702" s="264"/>
      <c r="F702" s="265"/>
      <c r="G702" s="263"/>
      <c r="H702" s="275" t="s">
        <v>37</v>
      </c>
      <c r="I702" s="486"/>
      <c r="J702" s="486"/>
      <c r="K702" s="486"/>
      <c r="L702" s="486"/>
      <c r="M702" s="263"/>
      <c r="N702" s="263"/>
      <c r="O702" s="275" t="s">
        <v>37</v>
      </c>
      <c r="P702" s="486"/>
      <c r="Q702" s="486"/>
      <c r="R702" s="486"/>
      <c r="S702" s="486"/>
      <c r="T702" s="486"/>
      <c r="U702" s="486"/>
      <c r="V702" s="263"/>
      <c r="W702" s="267"/>
      <c r="X702" s="263"/>
    </row>
    <row r="703" spans="1:53" ht="39.950000000000003" customHeight="1" thickBot="1">
      <c r="E703" s="276"/>
      <c r="F703" s="277"/>
      <c r="G703" s="278"/>
      <c r="H703" s="278"/>
      <c r="I703" s="278"/>
      <c r="J703" s="278"/>
      <c r="K703" s="278"/>
      <c r="L703" s="278"/>
      <c r="M703" s="278"/>
      <c r="N703" s="278"/>
      <c r="O703" s="278"/>
      <c r="P703" s="278"/>
      <c r="Q703" s="278"/>
      <c r="R703" s="278"/>
      <c r="S703" s="278"/>
      <c r="T703" s="279"/>
      <c r="U703" s="279"/>
      <c r="V703" s="279"/>
      <c r="W703" s="280"/>
      <c r="X703" s="263"/>
    </row>
    <row r="704" spans="1:53" ht="62.25" thickBot="1"/>
    <row r="705" spans="1:53" ht="39.950000000000003" customHeight="1">
      <c r="A705" s="252" t="str">
        <f>CONCATENATE(F712,F714,F716)</f>
        <v>CHB3-4</v>
      </c>
      <c r="E705" s="259" t="s">
        <v>70</v>
      </c>
      <c r="F705" s="260">
        <f>VLOOKUP(A705,'zoznam zapasov'!$A$6:$K$77,3,0)</f>
        <v>36</v>
      </c>
      <c r="G705" s="261"/>
      <c r="H705" s="322" t="s">
        <v>501</v>
      </c>
      <c r="I705" s="261"/>
      <c r="J705" s="261"/>
      <c r="K705" s="261"/>
      <c r="L705" s="261"/>
      <c r="M705" s="261"/>
      <c r="N705" s="261"/>
      <c r="O705" s="261"/>
      <c r="P705" s="261"/>
      <c r="Q705" s="261"/>
      <c r="R705" s="261"/>
      <c r="S705" s="261"/>
      <c r="T705" s="261"/>
      <c r="U705" s="261"/>
      <c r="V705" s="261" t="s">
        <v>30</v>
      </c>
      <c r="W705" s="262"/>
      <c r="X705" s="263"/>
      <c r="Z705" s="258" t="str">
        <f>CONCATENATE(V707,":",V710)</f>
        <v>3:0</v>
      </c>
      <c r="AE705" s="253" t="s">
        <v>11</v>
      </c>
      <c r="AV705" s="256" t="str">
        <f>CONCATENATE(AN707,",",AO707,",",AP707,",",AQ707,",",AR707,",",AS707,",",AT707)</f>
        <v>7,7,6,,,,</v>
      </c>
    </row>
    <row r="706" spans="1:53" ht="39.950000000000003" customHeight="1">
      <c r="E706" s="264"/>
      <c r="F706" s="265"/>
      <c r="G706" s="321" t="s">
        <v>500</v>
      </c>
      <c r="H706" s="323" t="s">
        <v>502</v>
      </c>
      <c r="I706" s="263"/>
      <c r="J706" s="263"/>
      <c r="K706" s="263"/>
      <c r="L706" s="263"/>
      <c r="M706" s="263"/>
      <c r="N706" s="266">
        <v>1</v>
      </c>
      <c r="O706" s="266">
        <v>2</v>
      </c>
      <c r="P706" s="266">
        <v>3</v>
      </c>
      <c r="Q706" s="266">
        <v>4</v>
      </c>
      <c r="R706" s="266">
        <v>5</v>
      </c>
      <c r="S706" s="266">
        <v>6</v>
      </c>
      <c r="T706" s="266">
        <v>7</v>
      </c>
      <c r="U706" s="263"/>
      <c r="V706" s="266" t="s">
        <v>31</v>
      </c>
      <c r="W706" s="267"/>
      <c r="X706" s="263"/>
      <c r="AE706" s="253" t="s">
        <v>68</v>
      </c>
      <c r="AV706" s="256" t="str">
        <f>CONCATENATE(AN708,",",AO708,",",AP708,",",AQ708,",",AR708,",",AS708,",",AT708)</f>
        <v>-7,-7,-6,,,,</v>
      </c>
    </row>
    <row r="707" spans="1:53" ht="39.950000000000003" customHeight="1">
      <c r="A707" s="252" t="str">
        <f>CONCATENATE(F712,VLOOKUP(F714,$AZ$7:$BA$14,2,0),LEFT(F716,1))</f>
        <v>CH23</v>
      </c>
      <c r="E707" s="264" t="s">
        <v>29</v>
      </c>
      <c r="F707" s="265">
        <f>VLOOKUP(A705,'zoznam zapasov'!$A$6:$K$77,11,0)</f>
        <v>4</v>
      </c>
      <c r="G707" s="508"/>
      <c r="H707" s="495"/>
      <c r="I707" s="487" t="str">
        <f>IF(ISERROR(VLOOKUP(A707,vylosovanie!$A$8:$J$68,6,0))=TRUE,"",VLOOKUP(A707,vylosovanie!$A$8:$J$68,6,0))</f>
        <v>KAPUSTA Martin</v>
      </c>
      <c r="J707" s="487"/>
      <c r="K707" s="487"/>
      <c r="L707" s="487"/>
      <c r="M707" s="263"/>
      <c r="N707" s="489">
        <v>11</v>
      </c>
      <c r="O707" s="489">
        <v>11</v>
      </c>
      <c r="P707" s="489">
        <v>11</v>
      </c>
      <c r="Q707" s="489"/>
      <c r="R707" s="489"/>
      <c r="S707" s="489"/>
      <c r="T707" s="489"/>
      <c r="U707" s="263"/>
      <c r="V707" s="493">
        <f>IF(SUM(AF707:AL708)=0,"",SUM(AF707:AL707))</f>
        <v>3</v>
      </c>
      <c r="W707" s="267"/>
      <c r="X707" s="263"/>
      <c r="AE707" s="253" t="str">
        <f>VLOOKUP(I707,vylosovanie!$F$8:$L$190,7,0)</f>
        <v>CH23</v>
      </c>
      <c r="AF707" s="268">
        <f>IF(N707&gt;N710,1,0)</f>
        <v>1</v>
      </c>
      <c r="AG707" s="268">
        <f t="shared" ref="AG707" si="480">IF(O707&gt;O710,1,0)</f>
        <v>1</v>
      </c>
      <c r="AH707" s="268">
        <f t="shared" ref="AH707" si="481">IF(P707&gt;P710,1,0)</f>
        <v>1</v>
      </c>
      <c r="AI707" s="268">
        <f t="shared" ref="AI707" si="482">IF(Q707&gt;Q710,1,0)</f>
        <v>0</v>
      </c>
      <c r="AJ707" s="268">
        <f t="shared" ref="AJ707" si="483">IF(R707&gt;R710,1,0)</f>
        <v>0</v>
      </c>
      <c r="AK707" s="268">
        <f t="shared" ref="AK707" si="484">IF(S707&gt;S710,1,0)</f>
        <v>0</v>
      </c>
      <c r="AL707" s="268">
        <f t="shared" ref="AL707" si="485">IF(T707&gt;T710,1,0)</f>
        <v>0</v>
      </c>
      <c r="AN707" s="268">
        <f t="shared" ref="AN707:AT707" si="486">IF(ISBLANK(N707)=TRUE,"",IF(AF707=1,N710,-N707))</f>
        <v>7</v>
      </c>
      <c r="AO707" s="268">
        <f t="shared" si="486"/>
        <v>7</v>
      </c>
      <c r="AP707" s="268">
        <f t="shared" si="486"/>
        <v>6</v>
      </c>
      <c r="AQ707" s="268" t="str">
        <f t="shared" si="486"/>
        <v/>
      </c>
      <c r="AR707" s="268" t="str">
        <f t="shared" si="486"/>
        <v/>
      </c>
      <c r="AS707" s="268" t="str">
        <f t="shared" si="486"/>
        <v/>
      </c>
      <c r="AT707" s="268" t="str">
        <f t="shared" si="486"/>
        <v/>
      </c>
      <c r="AZ707" s="269" t="s">
        <v>12</v>
      </c>
      <c r="BA707" s="269">
        <v>1</v>
      </c>
    </row>
    <row r="708" spans="1:53" ht="39.950000000000003" customHeight="1">
      <c r="E708" s="264"/>
      <c r="F708" s="265"/>
      <c r="G708" s="509"/>
      <c r="H708" s="495"/>
      <c r="I708" s="487"/>
      <c r="J708" s="487"/>
      <c r="K708" s="487"/>
      <c r="L708" s="487"/>
      <c r="M708" s="263"/>
      <c r="N708" s="490"/>
      <c r="O708" s="490"/>
      <c r="P708" s="490"/>
      <c r="Q708" s="490"/>
      <c r="R708" s="490"/>
      <c r="S708" s="490"/>
      <c r="T708" s="490"/>
      <c r="U708" s="263"/>
      <c r="V708" s="493"/>
      <c r="W708" s="267"/>
      <c r="X708" s="263"/>
      <c r="AE708" s="253" t="str">
        <f>VLOOKUP(I710,vylosovanie!$F$8:$L$190,7,0)</f>
        <v>CH24</v>
      </c>
      <c r="AF708" s="268">
        <f>IF(N710&gt;N707,1,0)</f>
        <v>0</v>
      </c>
      <c r="AG708" s="268">
        <f t="shared" ref="AG708" si="487">IF(O710&gt;O707,1,0)</f>
        <v>0</v>
      </c>
      <c r="AH708" s="268">
        <f t="shared" ref="AH708" si="488">IF(P710&gt;P707,1,0)</f>
        <v>0</v>
      </c>
      <c r="AI708" s="268">
        <f t="shared" ref="AI708" si="489">IF(Q710&gt;Q707,1,0)</f>
        <v>0</v>
      </c>
      <c r="AJ708" s="268">
        <f t="shared" ref="AJ708" si="490">IF(R710&gt;R707,1,0)</f>
        <v>0</v>
      </c>
      <c r="AK708" s="268">
        <f t="shared" ref="AK708" si="491">IF(S710&gt;S707,1,0)</f>
        <v>0</v>
      </c>
      <c r="AL708" s="268">
        <f t="shared" ref="AL708" si="492">IF(T710&gt;T707,1,0)</f>
        <v>0</v>
      </c>
      <c r="AN708" s="268">
        <f t="shared" ref="AN708:AT708" si="493">IF(ISBLANK(N710)=TRUE,"",IF(AF708=1,N707,-N710))</f>
        <v>-7</v>
      </c>
      <c r="AO708" s="268">
        <f t="shared" si="493"/>
        <v>-7</v>
      </c>
      <c r="AP708" s="268">
        <f t="shared" si="493"/>
        <v>-6</v>
      </c>
      <c r="AQ708" s="268" t="str">
        <f t="shared" si="493"/>
        <v/>
      </c>
      <c r="AR708" s="268" t="str">
        <f t="shared" si="493"/>
        <v/>
      </c>
      <c r="AS708" s="268" t="str">
        <f t="shared" si="493"/>
        <v/>
      </c>
      <c r="AT708" s="268" t="str">
        <f t="shared" si="493"/>
        <v/>
      </c>
      <c r="AZ708" s="269" t="s">
        <v>18</v>
      </c>
      <c r="BA708" s="269">
        <v>2</v>
      </c>
    </row>
    <row r="709" spans="1:53" ht="39.950000000000003" customHeight="1">
      <c r="E709" s="264" t="s">
        <v>35</v>
      </c>
      <c r="F709" s="265" t="str">
        <f>VLOOKUP(A705,'zoznam zapasov'!$A$6:$K$77,9,0)</f>
        <v>So</v>
      </c>
      <c r="G709" s="263"/>
      <c r="H709" s="263"/>
      <c r="I709" s="263"/>
      <c r="J709" s="263"/>
      <c r="K709" s="263"/>
      <c r="L709" s="263"/>
      <c r="M709" s="263"/>
      <c r="N709" s="263"/>
      <c r="O709" s="263"/>
      <c r="P709" s="263"/>
      <c r="Q709" s="263"/>
      <c r="R709" s="263"/>
      <c r="S709" s="263"/>
      <c r="T709" s="263"/>
      <c r="U709" s="263"/>
      <c r="V709" s="263"/>
      <c r="W709" s="267"/>
      <c r="X709" s="263"/>
      <c r="AZ709" s="269" t="s">
        <v>38</v>
      </c>
      <c r="BA709" s="269">
        <v>3</v>
      </c>
    </row>
    <row r="710" spans="1:53" ht="39.950000000000003" customHeight="1">
      <c r="A710" s="252" t="str">
        <f>CONCATENATE(F712,VLOOKUP(F714,$AZ$7:$BA$14,2,0),RIGHT(F716,1))</f>
        <v>CH24</v>
      </c>
      <c r="E710" s="264" t="s">
        <v>28</v>
      </c>
      <c r="F710" s="270" t="str">
        <f>VLOOKUP(A705,'zoznam zapasov'!$A$6:$K$77,10,0)</f>
        <v>11.10</v>
      </c>
      <c r="G710" s="508"/>
      <c r="H710" s="486"/>
      <c r="I710" s="487" t="str">
        <f>IF(ISERROR(VLOOKUP(A710,vylosovanie!$A$8:$J$68,6,0))=TRUE,"",VLOOKUP(A710,vylosovanie!$A$8:$J$68,6,0))</f>
        <v>ZAJAC Jakub</v>
      </c>
      <c r="J710" s="487"/>
      <c r="K710" s="487"/>
      <c r="L710" s="487"/>
      <c r="M710" s="263"/>
      <c r="N710" s="489">
        <v>7</v>
      </c>
      <c r="O710" s="489">
        <v>7</v>
      </c>
      <c r="P710" s="489">
        <v>6</v>
      </c>
      <c r="Q710" s="489"/>
      <c r="R710" s="489"/>
      <c r="S710" s="489"/>
      <c r="T710" s="489"/>
      <c r="U710" s="263"/>
      <c r="V710" s="493">
        <f>IF(SUM(AF707:AL708)=0,"",SUM(AF708:AL708))</f>
        <v>0</v>
      </c>
      <c r="W710" s="267"/>
      <c r="X710" s="263"/>
      <c r="AZ710" s="269" t="s">
        <v>39</v>
      </c>
      <c r="BA710" s="269">
        <v>4</v>
      </c>
    </row>
    <row r="711" spans="1:53" ht="39.950000000000003" customHeight="1">
      <c r="E711" s="271"/>
      <c r="F711" s="272"/>
      <c r="G711" s="509"/>
      <c r="H711" s="486"/>
      <c r="I711" s="487"/>
      <c r="J711" s="487"/>
      <c r="K711" s="487"/>
      <c r="L711" s="487"/>
      <c r="M711" s="263"/>
      <c r="N711" s="490"/>
      <c r="O711" s="490"/>
      <c r="P711" s="490"/>
      <c r="Q711" s="490"/>
      <c r="R711" s="490"/>
      <c r="S711" s="490"/>
      <c r="T711" s="490"/>
      <c r="U711" s="263"/>
      <c r="V711" s="493"/>
      <c r="W711" s="267"/>
      <c r="X711" s="263"/>
      <c r="AZ711" s="269" t="s">
        <v>40</v>
      </c>
      <c r="BA711" s="269">
        <v>5</v>
      </c>
    </row>
    <row r="712" spans="1:53" ht="39.950000000000003" customHeight="1">
      <c r="E712" s="264" t="s">
        <v>66</v>
      </c>
      <c r="F712" s="265" t="s">
        <v>65</v>
      </c>
      <c r="G712" s="263"/>
      <c r="H712" s="263"/>
      <c r="I712" s="263"/>
      <c r="J712" s="263"/>
      <c r="K712" s="263"/>
      <c r="L712" s="263"/>
      <c r="M712" s="263"/>
      <c r="N712" s="263"/>
      <c r="O712" s="263"/>
      <c r="P712" s="263"/>
      <c r="Q712" s="263"/>
      <c r="R712" s="263"/>
      <c r="S712" s="263"/>
      <c r="T712" s="263"/>
      <c r="U712" s="263"/>
      <c r="V712" s="263"/>
      <c r="W712" s="267"/>
      <c r="X712" s="263"/>
      <c r="AZ712" s="269" t="s">
        <v>41</v>
      </c>
      <c r="BA712" s="269">
        <v>6</v>
      </c>
    </row>
    <row r="713" spans="1:53" ht="39.950000000000003" customHeight="1">
      <c r="E713" s="271"/>
      <c r="F713" s="272"/>
      <c r="G713" s="263"/>
      <c r="H713" s="263"/>
      <c r="I713" s="263" t="s">
        <v>32</v>
      </c>
      <c r="J713" s="263"/>
      <c r="K713" s="263"/>
      <c r="L713" s="263"/>
      <c r="M713" s="263"/>
      <c r="N713" s="273"/>
      <c r="O713" s="266"/>
      <c r="P713" s="266" t="s">
        <v>34</v>
      </c>
      <c r="Q713" s="266"/>
      <c r="R713" s="266"/>
      <c r="S713" s="266"/>
      <c r="T713" s="266"/>
      <c r="U713" s="263"/>
      <c r="V713" s="263"/>
      <c r="W713" s="267"/>
      <c r="X713" s="263"/>
      <c r="AZ713" s="269" t="s">
        <v>42</v>
      </c>
      <c r="BA713" s="269">
        <v>7</v>
      </c>
    </row>
    <row r="714" spans="1:53" ht="39.950000000000003" customHeight="1">
      <c r="E714" s="264" t="s">
        <v>26</v>
      </c>
      <c r="F714" s="265" t="s">
        <v>18</v>
      </c>
      <c r="G714" s="263"/>
      <c r="H714" s="263"/>
      <c r="I714" s="486"/>
      <c r="J714" s="486"/>
      <c r="K714" s="486"/>
      <c r="L714" s="486"/>
      <c r="M714" s="263"/>
      <c r="N714" s="486" t="str">
        <f>IF(V707&gt;V710,I707,IF(V710&gt;V707,I710,""))</f>
        <v>KAPUSTA Martin</v>
      </c>
      <c r="O714" s="486"/>
      <c r="P714" s="486"/>
      <c r="Q714" s="486"/>
      <c r="R714" s="486"/>
      <c r="S714" s="486"/>
      <c r="T714" s="263"/>
      <c r="U714" s="263"/>
      <c r="V714" s="263"/>
      <c r="W714" s="267"/>
      <c r="X714" s="263"/>
      <c r="AZ714" s="269" t="s">
        <v>43</v>
      </c>
      <c r="BA714" s="269">
        <v>8</v>
      </c>
    </row>
    <row r="715" spans="1:53" ht="39.950000000000003" customHeight="1">
      <c r="E715" s="271"/>
      <c r="F715" s="272"/>
      <c r="G715" s="263"/>
      <c r="H715" s="263"/>
      <c r="I715" s="486"/>
      <c r="J715" s="486"/>
      <c r="K715" s="486"/>
      <c r="L715" s="486"/>
      <c r="M715" s="263"/>
      <c r="N715" s="486"/>
      <c r="O715" s="486"/>
      <c r="P715" s="486"/>
      <c r="Q715" s="486"/>
      <c r="R715" s="486"/>
      <c r="S715" s="486"/>
      <c r="T715" s="263"/>
      <c r="U715" s="263"/>
      <c r="V715" s="263"/>
      <c r="W715" s="267"/>
      <c r="X715" s="263"/>
    </row>
    <row r="716" spans="1:53" ht="39.950000000000003" customHeight="1">
      <c r="E716" s="264" t="s">
        <v>27</v>
      </c>
      <c r="F716" s="274" t="s">
        <v>23</v>
      </c>
      <c r="G716" s="263"/>
      <c r="H716" s="263"/>
      <c r="I716" s="263"/>
      <c r="J716" s="263"/>
      <c r="K716" s="263"/>
      <c r="L716" s="263"/>
      <c r="M716" s="263"/>
      <c r="N716" s="263"/>
      <c r="O716" s="263"/>
      <c r="P716" s="263"/>
      <c r="Q716" s="263"/>
      <c r="R716" s="263"/>
      <c r="S716" s="263"/>
      <c r="T716" s="263"/>
      <c r="U716" s="263"/>
      <c r="V716" s="263"/>
      <c r="W716" s="267"/>
      <c r="X716" s="263"/>
    </row>
    <row r="717" spans="1:53" ht="39.950000000000003" customHeight="1">
      <c r="E717" s="271"/>
      <c r="F717" s="272"/>
      <c r="G717" s="263"/>
      <c r="H717" s="263" t="s">
        <v>33</v>
      </c>
      <c r="I717" s="263"/>
      <c r="J717" s="263"/>
      <c r="K717" s="263"/>
      <c r="L717" s="263"/>
      <c r="M717" s="263"/>
      <c r="N717" s="263"/>
      <c r="O717" s="263"/>
      <c r="P717" s="263"/>
      <c r="Q717" s="263"/>
      <c r="R717" s="263"/>
      <c r="S717" s="263"/>
      <c r="T717" s="263"/>
      <c r="U717" s="263"/>
      <c r="V717" s="263"/>
      <c r="W717" s="267"/>
      <c r="X717" s="263"/>
    </row>
    <row r="718" spans="1:53" ht="39.950000000000003" customHeight="1">
      <c r="E718" s="271"/>
      <c r="F718" s="272"/>
      <c r="G718" s="263"/>
      <c r="H718" s="263"/>
      <c r="I718" s="263"/>
      <c r="J718" s="263"/>
      <c r="K718" s="263"/>
      <c r="L718" s="263"/>
      <c r="M718" s="263"/>
      <c r="N718" s="263"/>
      <c r="O718" s="263"/>
      <c r="P718" s="263"/>
      <c r="Q718" s="263"/>
      <c r="R718" s="263"/>
      <c r="S718" s="263"/>
      <c r="T718" s="263"/>
      <c r="U718" s="263"/>
      <c r="V718" s="263"/>
      <c r="W718" s="267"/>
      <c r="X718" s="263"/>
    </row>
    <row r="719" spans="1:53" ht="39.950000000000003" customHeight="1">
      <c r="E719" s="271"/>
      <c r="F719" s="272"/>
      <c r="G719" s="263"/>
      <c r="H719" s="263"/>
      <c r="I719" s="496" t="str">
        <f>I707</f>
        <v>KAPUSTA Martin</v>
      </c>
      <c r="J719" s="496"/>
      <c r="K719" s="496"/>
      <c r="L719" s="496"/>
      <c r="M719" s="263"/>
      <c r="N719" s="263"/>
      <c r="O719" s="263"/>
      <c r="P719" s="496" t="str">
        <f>I710</f>
        <v>ZAJAC Jakub</v>
      </c>
      <c r="Q719" s="496"/>
      <c r="R719" s="496"/>
      <c r="S719" s="496"/>
      <c r="T719" s="497"/>
      <c r="U719" s="497"/>
      <c r="V719" s="263"/>
      <c r="W719" s="267"/>
      <c r="X719" s="263"/>
    </row>
    <row r="720" spans="1:53" ht="69.95" customHeight="1">
      <c r="E720" s="264"/>
      <c r="F720" s="265"/>
      <c r="G720" s="263"/>
      <c r="H720" s="275" t="s">
        <v>36</v>
      </c>
      <c r="I720" s="483"/>
      <c r="J720" s="494"/>
      <c r="K720" s="494"/>
      <c r="L720" s="495"/>
      <c r="M720" s="263"/>
      <c r="N720" s="263"/>
      <c r="O720" s="275" t="s">
        <v>36</v>
      </c>
      <c r="P720" s="486"/>
      <c r="Q720" s="486"/>
      <c r="R720" s="486"/>
      <c r="S720" s="486"/>
      <c r="T720" s="486"/>
      <c r="U720" s="486"/>
      <c r="V720" s="263"/>
      <c r="W720" s="267"/>
      <c r="X720" s="263"/>
    </row>
    <row r="721" spans="1:53" ht="69.95" customHeight="1">
      <c r="E721" s="264"/>
      <c r="F721" s="265"/>
      <c r="G721" s="263"/>
      <c r="H721" s="275" t="s">
        <v>37</v>
      </c>
      <c r="I721" s="486"/>
      <c r="J721" s="486"/>
      <c r="K721" s="486"/>
      <c r="L721" s="486"/>
      <c r="M721" s="263"/>
      <c r="N721" s="263"/>
      <c r="O721" s="275" t="s">
        <v>37</v>
      </c>
      <c r="P721" s="486"/>
      <c r="Q721" s="486"/>
      <c r="R721" s="486"/>
      <c r="S721" s="486"/>
      <c r="T721" s="486"/>
      <c r="U721" s="486"/>
      <c r="V721" s="263"/>
      <c r="W721" s="267"/>
      <c r="X721" s="263"/>
    </row>
    <row r="722" spans="1:53" ht="69.95" customHeight="1">
      <c r="E722" s="264"/>
      <c r="F722" s="265"/>
      <c r="G722" s="263"/>
      <c r="H722" s="275" t="s">
        <v>37</v>
      </c>
      <c r="I722" s="486"/>
      <c r="J722" s="486"/>
      <c r="K722" s="486"/>
      <c r="L722" s="486"/>
      <c r="M722" s="263"/>
      <c r="N722" s="263"/>
      <c r="O722" s="275" t="s">
        <v>37</v>
      </c>
      <c r="P722" s="486"/>
      <c r="Q722" s="486"/>
      <c r="R722" s="486"/>
      <c r="S722" s="486"/>
      <c r="T722" s="486"/>
      <c r="U722" s="486"/>
      <c r="V722" s="263"/>
      <c r="W722" s="267"/>
      <c r="X722" s="263"/>
    </row>
    <row r="723" spans="1:53" ht="39.950000000000003" customHeight="1" thickBot="1">
      <c r="E723" s="276"/>
      <c r="F723" s="277"/>
      <c r="G723" s="278"/>
      <c r="H723" s="278"/>
      <c r="I723" s="278"/>
      <c r="J723" s="278"/>
      <c r="K723" s="278"/>
      <c r="L723" s="278"/>
      <c r="M723" s="278"/>
      <c r="N723" s="278"/>
      <c r="O723" s="278"/>
      <c r="P723" s="278"/>
      <c r="Q723" s="278"/>
      <c r="R723" s="278"/>
      <c r="S723" s="278"/>
      <c r="T723" s="279"/>
      <c r="U723" s="279"/>
      <c r="V723" s="279"/>
      <c r="W723" s="280"/>
      <c r="X723" s="263"/>
    </row>
    <row r="724" spans="1:53" ht="62.25" thickBot="1"/>
    <row r="725" spans="1:53" ht="39.950000000000003" customHeight="1">
      <c r="A725" s="252" t="str">
        <f>CONCATENATE(F732,F734,F736)</f>
        <v>CHC1-2</v>
      </c>
      <c r="E725" s="259" t="s">
        <v>70</v>
      </c>
      <c r="F725" s="260">
        <f>VLOOKUP(A725,'zoznam zapasov'!$A$6:$K$77,3,0)</f>
        <v>37</v>
      </c>
      <c r="G725" s="261"/>
      <c r="H725" s="322" t="s">
        <v>501</v>
      </c>
      <c r="I725" s="261"/>
      <c r="J725" s="261"/>
      <c r="K725" s="261"/>
      <c r="L725" s="261"/>
      <c r="M725" s="261"/>
      <c r="N725" s="261"/>
      <c r="O725" s="261"/>
      <c r="P725" s="261"/>
      <c r="Q725" s="261"/>
      <c r="R725" s="261"/>
      <c r="S725" s="261"/>
      <c r="T725" s="261"/>
      <c r="U725" s="261"/>
      <c r="V725" s="261" t="s">
        <v>30</v>
      </c>
      <c r="W725" s="262"/>
      <c r="X725" s="263"/>
      <c r="Z725" s="258" t="str">
        <f>CONCATENATE(V727,":",V730)</f>
        <v>2:3</v>
      </c>
      <c r="AE725" s="253" t="s">
        <v>11</v>
      </c>
      <c r="AV725" s="256" t="str">
        <f>CONCATENATE(AN727,",",AO727,",",AP727,",",AQ727,",",AR727,",",AS727,",",AT727)</f>
        <v>-7,5,-11,7,-2,,</v>
      </c>
    </row>
    <row r="726" spans="1:53" ht="39.950000000000003" customHeight="1">
      <c r="E726" s="264"/>
      <c r="F726" s="265"/>
      <c r="G726" s="321" t="s">
        <v>500</v>
      </c>
      <c r="H726" s="323" t="s">
        <v>502</v>
      </c>
      <c r="I726" s="263"/>
      <c r="J726" s="263"/>
      <c r="K726" s="263"/>
      <c r="L726" s="263"/>
      <c r="M726" s="263"/>
      <c r="N726" s="266">
        <v>1</v>
      </c>
      <c r="O726" s="266">
        <v>2</v>
      </c>
      <c r="P726" s="266">
        <v>3</v>
      </c>
      <c r="Q726" s="266">
        <v>4</v>
      </c>
      <c r="R726" s="266">
        <v>5</v>
      </c>
      <c r="S726" s="266">
        <v>6</v>
      </c>
      <c r="T726" s="266">
        <v>7</v>
      </c>
      <c r="U726" s="263"/>
      <c r="V726" s="266" t="s">
        <v>31</v>
      </c>
      <c r="W726" s="267"/>
      <c r="X726" s="263"/>
      <c r="AE726" s="253" t="s">
        <v>68</v>
      </c>
      <c r="AV726" s="256" t="str">
        <f>CONCATENATE(AN728,",",AO728,",",AP728,",",AQ728,",",AR728,",",AS728,",",AT728)</f>
        <v>7,-5,11,-7,2,,</v>
      </c>
    </row>
    <row r="727" spans="1:53" ht="39.950000000000003" customHeight="1">
      <c r="A727" s="252" t="str">
        <f>CONCATENATE(F732,VLOOKUP(F734,$AZ$7:$BA$14,2,0),LEFT(F736,1))</f>
        <v>CH31</v>
      </c>
      <c r="E727" s="264" t="s">
        <v>29</v>
      </c>
      <c r="F727" s="265">
        <f>VLOOKUP(A725,'zoznam zapasov'!$A$6:$K$77,11,0)</f>
        <v>5</v>
      </c>
      <c r="G727" s="508"/>
      <c r="H727" s="495"/>
      <c r="I727" s="487" t="str">
        <f>IF(ISERROR(VLOOKUP(A727,vylosovanie!$A$8:$J$68,6,0))=TRUE,"",VLOOKUP(A727,vylosovanie!$A$8:$J$68,6,0))</f>
        <v>FEČO Samuel</v>
      </c>
      <c r="J727" s="487"/>
      <c r="K727" s="487"/>
      <c r="L727" s="487"/>
      <c r="M727" s="263"/>
      <c r="N727" s="489">
        <v>7</v>
      </c>
      <c r="O727" s="489">
        <v>11</v>
      </c>
      <c r="P727" s="489">
        <v>11</v>
      </c>
      <c r="Q727" s="489">
        <v>11</v>
      </c>
      <c r="R727" s="489">
        <v>2</v>
      </c>
      <c r="S727" s="489"/>
      <c r="T727" s="489"/>
      <c r="U727" s="263"/>
      <c r="V727" s="493">
        <f>IF(SUM(AF727:AL728)=0,"",SUM(AF727:AL727))</f>
        <v>2</v>
      </c>
      <c r="W727" s="267"/>
      <c r="X727" s="263"/>
      <c r="AE727" s="253" t="str">
        <f>VLOOKUP(I727,vylosovanie!$F$8:$L$190,7,0)</f>
        <v>CH31</v>
      </c>
      <c r="AF727" s="268">
        <f>IF(N727&gt;N730,1,0)</f>
        <v>0</v>
      </c>
      <c r="AG727" s="268">
        <f t="shared" ref="AG727" si="494">IF(O727&gt;O730,1,0)</f>
        <v>1</v>
      </c>
      <c r="AH727" s="268">
        <f t="shared" ref="AH727" si="495">IF(P727&gt;P730,1,0)</f>
        <v>0</v>
      </c>
      <c r="AI727" s="268">
        <f t="shared" ref="AI727" si="496">IF(Q727&gt;Q730,1,0)</f>
        <v>1</v>
      </c>
      <c r="AJ727" s="268">
        <f t="shared" ref="AJ727" si="497">IF(R727&gt;R730,1,0)</f>
        <v>0</v>
      </c>
      <c r="AK727" s="268">
        <f t="shared" ref="AK727" si="498">IF(S727&gt;S730,1,0)</f>
        <v>0</v>
      </c>
      <c r="AL727" s="268">
        <f t="shared" ref="AL727" si="499">IF(T727&gt;T730,1,0)</f>
        <v>0</v>
      </c>
      <c r="AN727" s="268">
        <f t="shared" ref="AN727:AT727" si="500">IF(ISBLANK(N727)=TRUE,"",IF(AF727=1,N730,-N727))</f>
        <v>-7</v>
      </c>
      <c r="AO727" s="268">
        <f t="shared" si="500"/>
        <v>5</v>
      </c>
      <c r="AP727" s="268">
        <f t="shared" si="500"/>
        <v>-11</v>
      </c>
      <c r="AQ727" s="268">
        <f t="shared" si="500"/>
        <v>7</v>
      </c>
      <c r="AR727" s="268">
        <f t="shared" si="500"/>
        <v>-2</v>
      </c>
      <c r="AS727" s="268" t="str">
        <f t="shared" si="500"/>
        <v/>
      </c>
      <c r="AT727" s="268" t="str">
        <f t="shared" si="500"/>
        <v/>
      </c>
      <c r="AZ727" s="269" t="s">
        <v>12</v>
      </c>
      <c r="BA727" s="269">
        <v>1</v>
      </c>
    </row>
    <row r="728" spans="1:53" ht="39.950000000000003" customHeight="1">
      <c r="E728" s="264"/>
      <c r="F728" s="265"/>
      <c r="G728" s="509"/>
      <c r="H728" s="495"/>
      <c r="I728" s="487"/>
      <c r="J728" s="487"/>
      <c r="K728" s="487"/>
      <c r="L728" s="487"/>
      <c r="M728" s="263"/>
      <c r="N728" s="490"/>
      <c r="O728" s="490"/>
      <c r="P728" s="490"/>
      <c r="Q728" s="490"/>
      <c r="R728" s="490"/>
      <c r="S728" s="490"/>
      <c r="T728" s="490"/>
      <c r="U728" s="263"/>
      <c r="V728" s="493"/>
      <c r="W728" s="267"/>
      <c r="X728" s="263"/>
      <c r="AE728" s="253" t="str">
        <f>VLOOKUP(I730,vylosovanie!$F$8:$L$190,7,0)</f>
        <v>CH32</v>
      </c>
      <c r="AF728" s="268">
        <f>IF(N730&gt;N727,1,0)</f>
        <v>1</v>
      </c>
      <c r="AG728" s="268">
        <f t="shared" ref="AG728" si="501">IF(O730&gt;O727,1,0)</f>
        <v>0</v>
      </c>
      <c r="AH728" s="268">
        <f t="shared" ref="AH728" si="502">IF(P730&gt;P727,1,0)</f>
        <v>1</v>
      </c>
      <c r="AI728" s="268">
        <f t="shared" ref="AI728" si="503">IF(Q730&gt;Q727,1,0)</f>
        <v>0</v>
      </c>
      <c r="AJ728" s="268">
        <f t="shared" ref="AJ728" si="504">IF(R730&gt;R727,1,0)</f>
        <v>1</v>
      </c>
      <c r="AK728" s="268">
        <f t="shared" ref="AK728" si="505">IF(S730&gt;S727,1,0)</f>
        <v>0</v>
      </c>
      <c r="AL728" s="268">
        <f t="shared" ref="AL728" si="506">IF(T730&gt;T727,1,0)</f>
        <v>0</v>
      </c>
      <c r="AN728" s="268">
        <f t="shared" ref="AN728:AT728" si="507">IF(ISBLANK(N730)=TRUE,"",IF(AF728=1,N727,-N730))</f>
        <v>7</v>
      </c>
      <c r="AO728" s="268">
        <f t="shared" si="507"/>
        <v>-5</v>
      </c>
      <c r="AP728" s="268">
        <f t="shared" si="507"/>
        <v>11</v>
      </c>
      <c r="AQ728" s="268">
        <f t="shared" si="507"/>
        <v>-7</v>
      </c>
      <c r="AR728" s="268">
        <f t="shared" si="507"/>
        <v>2</v>
      </c>
      <c r="AS728" s="268" t="str">
        <f t="shared" si="507"/>
        <v/>
      </c>
      <c r="AT728" s="268" t="str">
        <f t="shared" si="507"/>
        <v/>
      </c>
      <c r="AZ728" s="269" t="s">
        <v>18</v>
      </c>
      <c r="BA728" s="269">
        <v>2</v>
      </c>
    </row>
    <row r="729" spans="1:53" ht="39.950000000000003" customHeight="1">
      <c r="E729" s="264" t="s">
        <v>35</v>
      </c>
      <c r="F729" s="265" t="str">
        <f>VLOOKUP(A725,'zoznam zapasov'!$A$6:$K$77,9,0)</f>
        <v>So</v>
      </c>
      <c r="G729" s="263"/>
      <c r="H729" s="263"/>
      <c r="I729" s="263"/>
      <c r="J729" s="263"/>
      <c r="K729" s="263"/>
      <c r="L729" s="263"/>
      <c r="M729" s="263"/>
      <c r="N729" s="263"/>
      <c r="O729" s="263"/>
      <c r="P729" s="263"/>
      <c r="Q729" s="263"/>
      <c r="R729" s="263"/>
      <c r="S729" s="263"/>
      <c r="T729" s="263"/>
      <c r="U729" s="263"/>
      <c r="V729" s="263"/>
      <c r="W729" s="267"/>
      <c r="X729" s="263"/>
      <c r="AZ729" s="269" t="s">
        <v>38</v>
      </c>
      <c r="BA729" s="269">
        <v>3</v>
      </c>
    </row>
    <row r="730" spans="1:53" ht="39.950000000000003" customHeight="1">
      <c r="A730" s="252" t="str">
        <f>CONCATENATE(F732,VLOOKUP(F734,$AZ$7:$BA$14,2,0),RIGHT(F736,1))</f>
        <v>CH32</v>
      </c>
      <c r="E730" s="264" t="s">
        <v>28</v>
      </c>
      <c r="F730" s="270" t="str">
        <f>VLOOKUP(A725,'zoznam zapasov'!$A$6:$K$77,10,0)</f>
        <v>11.10</v>
      </c>
      <c r="G730" s="508"/>
      <c r="H730" s="486"/>
      <c r="I730" s="487" t="str">
        <f>IF(ISERROR(VLOOKUP(A730,vylosovanie!$A$8:$J$68,6,0))=TRUE,"",VLOOKUP(A730,vylosovanie!$A$8:$J$68,6,0))</f>
        <v>KLAJBER Adam</v>
      </c>
      <c r="J730" s="487"/>
      <c r="K730" s="487"/>
      <c r="L730" s="487"/>
      <c r="M730" s="263"/>
      <c r="N730" s="489">
        <v>11</v>
      </c>
      <c r="O730" s="489">
        <v>5</v>
      </c>
      <c r="P730" s="489">
        <v>13</v>
      </c>
      <c r="Q730" s="489">
        <v>7</v>
      </c>
      <c r="R730" s="489">
        <v>11</v>
      </c>
      <c r="S730" s="489"/>
      <c r="T730" s="489"/>
      <c r="U730" s="263"/>
      <c r="V730" s="493">
        <f>IF(SUM(AF727:AL728)=0,"",SUM(AF728:AL728))</f>
        <v>3</v>
      </c>
      <c r="W730" s="267"/>
      <c r="X730" s="263"/>
      <c r="AZ730" s="269" t="s">
        <v>39</v>
      </c>
      <c r="BA730" s="269">
        <v>4</v>
      </c>
    </row>
    <row r="731" spans="1:53" ht="39.950000000000003" customHeight="1">
      <c r="E731" s="271"/>
      <c r="F731" s="272"/>
      <c r="G731" s="509"/>
      <c r="H731" s="486"/>
      <c r="I731" s="487"/>
      <c r="J731" s="487"/>
      <c r="K731" s="487"/>
      <c r="L731" s="487"/>
      <c r="M731" s="263"/>
      <c r="N731" s="490"/>
      <c r="O731" s="490"/>
      <c r="P731" s="490"/>
      <c r="Q731" s="490"/>
      <c r="R731" s="490"/>
      <c r="S731" s="490"/>
      <c r="T731" s="490"/>
      <c r="U731" s="263"/>
      <c r="V731" s="493"/>
      <c r="W731" s="267"/>
      <c r="X731" s="263"/>
      <c r="AZ731" s="269" t="s">
        <v>40</v>
      </c>
      <c r="BA731" s="269">
        <v>5</v>
      </c>
    </row>
    <row r="732" spans="1:53" ht="39.950000000000003" customHeight="1">
      <c r="E732" s="264" t="s">
        <v>66</v>
      </c>
      <c r="F732" s="265" t="s">
        <v>65</v>
      </c>
      <c r="G732" s="263"/>
      <c r="H732" s="263"/>
      <c r="I732" s="263"/>
      <c r="J732" s="263"/>
      <c r="K732" s="263"/>
      <c r="L732" s="263"/>
      <c r="M732" s="263"/>
      <c r="N732" s="263"/>
      <c r="O732" s="263"/>
      <c r="P732" s="263"/>
      <c r="Q732" s="263"/>
      <c r="R732" s="263"/>
      <c r="S732" s="263"/>
      <c r="T732" s="263"/>
      <c r="U732" s="263"/>
      <c r="V732" s="263"/>
      <c r="W732" s="267"/>
      <c r="X732" s="263"/>
      <c r="AZ732" s="269" t="s">
        <v>41</v>
      </c>
      <c r="BA732" s="269">
        <v>6</v>
      </c>
    </row>
    <row r="733" spans="1:53" ht="39.950000000000003" customHeight="1">
      <c r="E733" s="271"/>
      <c r="F733" s="272"/>
      <c r="G733" s="263"/>
      <c r="H733" s="263"/>
      <c r="I733" s="263" t="s">
        <v>32</v>
      </c>
      <c r="J733" s="263"/>
      <c r="K733" s="263"/>
      <c r="L733" s="263"/>
      <c r="M733" s="263"/>
      <c r="N733" s="273"/>
      <c r="O733" s="266"/>
      <c r="P733" s="266" t="s">
        <v>34</v>
      </c>
      <c r="Q733" s="266"/>
      <c r="R733" s="266"/>
      <c r="S733" s="266"/>
      <c r="T733" s="266"/>
      <c r="U733" s="263"/>
      <c r="V733" s="263"/>
      <c r="W733" s="267"/>
      <c r="X733" s="263"/>
      <c r="AZ733" s="269" t="s">
        <v>42</v>
      </c>
      <c r="BA733" s="269">
        <v>7</v>
      </c>
    </row>
    <row r="734" spans="1:53" ht="39.950000000000003" customHeight="1">
      <c r="E734" s="264" t="s">
        <v>26</v>
      </c>
      <c r="F734" s="265" t="s">
        <v>38</v>
      </c>
      <c r="G734" s="263"/>
      <c r="H734" s="263"/>
      <c r="I734" s="486"/>
      <c r="J734" s="486"/>
      <c r="K734" s="486"/>
      <c r="L734" s="486"/>
      <c r="M734" s="263"/>
      <c r="N734" s="486" t="str">
        <f>IF(V727&gt;V730,I727,IF(V730&gt;V727,I730,""))</f>
        <v>KLAJBER Adam</v>
      </c>
      <c r="O734" s="486"/>
      <c r="P734" s="486"/>
      <c r="Q734" s="486"/>
      <c r="R734" s="486"/>
      <c r="S734" s="486"/>
      <c r="T734" s="263"/>
      <c r="U734" s="263"/>
      <c r="V734" s="263"/>
      <c r="W734" s="267"/>
      <c r="X734" s="263"/>
      <c r="AZ734" s="269" t="s">
        <v>43</v>
      </c>
      <c r="BA734" s="269">
        <v>8</v>
      </c>
    </row>
    <row r="735" spans="1:53" ht="39.950000000000003" customHeight="1">
      <c r="E735" s="271"/>
      <c r="F735" s="272"/>
      <c r="G735" s="263"/>
      <c r="H735" s="263"/>
      <c r="I735" s="486"/>
      <c r="J735" s="486"/>
      <c r="K735" s="486"/>
      <c r="L735" s="486"/>
      <c r="M735" s="263"/>
      <c r="N735" s="486"/>
      <c r="O735" s="486"/>
      <c r="P735" s="486"/>
      <c r="Q735" s="486"/>
      <c r="R735" s="486"/>
      <c r="S735" s="486"/>
      <c r="T735" s="263"/>
      <c r="U735" s="263"/>
      <c r="V735" s="263"/>
      <c r="W735" s="267"/>
      <c r="X735" s="263"/>
    </row>
    <row r="736" spans="1:53" ht="39.950000000000003" customHeight="1">
      <c r="E736" s="264" t="s">
        <v>27</v>
      </c>
      <c r="F736" s="274" t="s">
        <v>22</v>
      </c>
      <c r="G736" s="263"/>
      <c r="H736" s="263"/>
      <c r="I736" s="263"/>
      <c r="J736" s="263"/>
      <c r="K736" s="263"/>
      <c r="L736" s="263"/>
      <c r="M736" s="263"/>
      <c r="N736" s="263"/>
      <c r="O736" s="263"/>
      <c r="P736" s="263"/>
      <c r="Q736" s="263"/>
      <c r="R736" s="263"/>
      <c r="S736" s="263"/>
      <c r="T736" s="263"/>
      <c r="U736" s="263"/>
      <c r="V736" s="263"/>
      <c r="W736" s="267"/>
      <c r="X736" s="263"/>
    </row>
    <row r="737" spans="1:53" ht="39.950000000000003" customHeight="1">
      <c r="E737" s="271"/>
      <c r="F737" s="272"/>
      <c r="G737" s="263"/>
      <c r="H737" s="263" t="s">
        <v>33</v>
      </c>
      <c r="I737" s="263"/>
      <c r="J737" s="263"/>
      <c r="K737" s="263"/>
      <c r="L737" s="263"/>
      <c r="M737" s="263"/>
      <c r="N737" s="263"/>
      <c r="O737" s="263"/>
      <c r="P737" s="263"/>
      <c r="Q737" s="263"/>
      <c r="R737" s="263"/>
      <c r="S737" s="263"/>
      <c r="T737" s="263"/>
      <c r="U737" s="263"/>
      <c r="V737" s="263"/>
      <c r="W737" s="267"/>
      <c r="X737" s="263"/>
    </row>
    <row r="738" spans="1:53" ht="39.950000000000003" customHeight="1">
      <c r="E738" s="271"/>
      <c r="F738" s="272"/>
      <c r="G738" s="263"/>
      <c r="H738" s="263"/>
      <c r="I738" s="263"/>
      <c r="J738" s="263"/>
      <c r="K738" s="263"/>
      <c r="L738" s="263"/>
      <c r="M738" s="263"/>
      <c r="N738" s="263"/>
      <c r="O738" s="263"/>
      <c r="P738" s="263"/>
      <c r="Q738" s="263"/>
      <c r="R738" s="263"/>
      <c r="S738" s="263"/>
      <c r="T738" s="263"/>
      <c r="U738" s="263"/>
      <c r="V738" s="263"/>
      <c r="W738" s="267"/>
      <c r="X738" s="263"/>
    </row>
    <row r="739" spans="1:53" ht="39.950000000000003" customHeight="1">
      <c r="E739" s="271"/>
      <c r="F739" s="272"/>
      <c r="G739" s="263"/>
      <c r="H739" s="263"/>
      <c r="I739" s="496" t="str">
        <f>I727</f>
        <v>FEČO Samuel</v>
      </c>
      <c r="J739" s="496"/>
      <c r="K739" s="496"/>
      <c r="L739" s="496"/>
      <c r="M739" s="263"/>
      <c r="N739" s="263"/>
      <c r="O739" s="263"/>
      <c r="P739" s="496" t="str">
        <f>I730</f>
        <v>KLAJBER Adam</v>
      </c>
      <c r="Q739" s="496"/>
      <c r="R739" s="496"/>
      <c r="S739" s="496"/>
      <c r="T739" s="497"/>
      <c r="U739" s="497"/>
      <c r="V739" s="263"/>
      <c r="W739" s="267"/>
      <c r="X739" s="263"/>
    </row>
    <row r="740" spans="1:53" ht="69.95" customHeight="1">
      <c r="E740" s="264"/>
      <c r="F740" s="265"/>
      <c r="G740" s="263"/>
      <c r="H740" s="275" t="s">
        <v>36</v>
      </c>
      <c r="I740" s="483"/>
      <c r="J740" s="494"/>
      <c r="K740" s="494"/>
      <c r="L740" s="495"/>
      <c r="M740" s="263"/>
      <c r="N740" s="263"/>
      <c r="O740" s="275" t="s">
        <v>36</v>
      </c>
      <c r="P740" s="486"/>
      <c r="Q740" s="486"/>
      <c r="R740" s="486"/>
      <c r="S740" s="486"/>
      <c r="T740" s="486"/>
      <c r="U740" s="486"/>
      <c r="V740" s="263"/>
      <c r="W740" s="267"/>
      <c r="X740" s="263"/>
    </row>
    <row r="741" spans="1:53" ht="69.95" customHeight="1">
      <c r="E741" s="264"/>
      <c r="F741" s="265"/>
      <c r="G741" s="263"/>
      <c r="H741" s="275" t="s">
        <v>37</v>
      </c>
      <c r="I741" s="486"/>
      <c r="J741" s="486"/>
      <c r="K741" s="486"/>
      <c r="L741" s="486"/>
      <c r="M741" s="263"/>
      <c r="N741" s="263"/>
      <c r="O741" s="275" t="s">
        <v>37</v>
      </c>
      <c r="P741" s="486"/>
      <c r="Q741" s="486"/>
      <c r="R741" s="486"/>
      <c r="S741" s="486"/>
      <c r="T741" s="486"/>
      <c r="U741" s="486"/>
      <c r="V741" s="263"/>
      <c r="W741" s="267"/>
      <c r="X741" s="263"/>
    </row>
    <row r="742" spans="1:53" ht="69.95" customHeight="1">
      <c r="E742" s="264"/>
      <c r="F742" s="265"/>
      <c r="G742" s="263"/>
      <c r="H742" s="275" t="s">
        <v>37</v>
      </c>
      <c r="I742" s="486"/>
      <c r="J742" s="486"/>
      <c r="K742" s="486"/>
      <c r="L742" s="486"/>
      <c r="M742" s="263"/>
      <c r="N742" s="263"/>
      <c r="O742" s="275" t="s">
        <v>37</v>
      </c>
      <c r="P742" s="486"/>
      <c r="Q742" s="486"/>
      <c r="R742" s="486"/>
      <c r="S742" s="486"/>
      <c r="T742" s="486"/>
      <c r="U742" s="486"/>
      <c r="V742" s="263"/>
      <c r="W742" s="267"/>
      <c r="X742" s="263"/>
    </row>
    <row r="743" spans="1:53" ht="39.950000000000003" customHeight="1" thickBot="1">
      <c r="E743" s="276"/>
      <c r="F743" s="277"/>
      <c r="G743" s="278"/>
      <c r="H743" s="278"/>
      <c r="I743" s="278"/>
      <c r="J743" s="278"/>
      <c r="K743" s="278"/>
      <c r="L743" s="278"/>
      <c r="M743" s="278"/>
      <c r="N743" s="278"/>
      <c r="O743" s="278"/>
      <c r="P743" s="278"/>
      <c r="Q743" s="278"/>
      <c r="R743" s="278"/>
      <c r="S743" s="278"/>
      <c r="T743" s="279"/>
      <c r="U743" s="279"/>
      <c r="V743" s="279"/>
      <c r="W743" s="280"/>
      <c r="X743" s="263"/>
    </row>
    <row r="744" spans="1:53" ht="62.25" thickBot="1"/>
    <row r="745" spans="1:53" ht="39.950000000000003" customHeight="1">
      <c r="A745" s="252" t="str">
        <f>CONCATENATE(F752,F754,F756)</f>
        <v>CHC3-4</v>
      </c>
      <c r="E745" s="259" t="s">
        <v>70</v>
      </c>
      <c r="F745" s="260">
        <f>VLOOKUP(A745,'zoznam zapasov'!$A$6:$K$77,3,0)</f>
        <v>38</v>
      </c>
      <c r="G745" s="261"/>
      <c r="H745" s="322" t="s">
        <v>501</v>
      </c>
      <c r="I745" s="261"/>
      <c r="J745" s="261"/>
      <c r="K745" s="261"/>
      <c r="L745" s="261"/>
      <c r="M745" s="261"/>
      <c r="N745" s="261"/>
      <c r="O745" s="261"/>
      <c r="P745" s="261"/>
      <c r="Q745" s="261"/>
      <c r="R745" s="261"/>
      <c r="S745" s="261"/>
      <c r="T745" s="261"/>
      <c r="U745" s="261"/>
      <c r="V745" s="261" t="s">
        <v>30</v>
      </c>
      <c r="W745" s="262"/>
      <c r="X745" s="263"/>
      <c r="Z745" s="258" t="str">
        <f>CONCATENATE(V747,":",V750)</f>
        <v>3:1</v>
      </c>
      <c r="AE745" s="253" t="s">
        <v>11</v>
      </c>
      <c r="AV745" s="256" t="str">
        <f>CONCATENATE(AN747,",",AO747,",",AP747,",",AQ747,",",AR747,",",AS747,",",AT747)</f>
        <v>-4,11,8,10,,,</v>
      </c>
    </row>
    <row r="746" spans="1:53" ht="39.950000000000003" customHeight="1">
      <c r="E746" s="264"/>
      <c r="F746" s="265"/>
      <c r="G746" s="321" t="s">
        <v>500</v>
      </c>
      <c r="H746" s="323" t="s">
        <v>502</v>
      </c>
      <c r="I746" s="263"/>
      <c r="J746" s="263"/>
      <c r="K746" s="263"/>
      <c r="L746" s="263"/>
      <c r="M746" s="263"/>
      <c r="N746" s="266">
        <v>1</v>
      </c>
      <c r="O746" s="266">
        <v>2</v>
      </c>
      <c r="P746" s="266">
        <v>3</v>
      </c>
      <c r="Q746" s="266">
        <v>4</v>
      </c>
      <c r="R746" s="266">
        <v>5</v>
      </c>
      <c r="S746" s="266">
        <v>6</v>
      </c>
      <c r="T746" s="266">
        <v>7</v>
      </c>
      <c r="U746" s="263"/>
      <c r="V746" s="266" t="s">
        <v>31</v>
      </c>
      <c r="W746" s="267"/>
      <c r="X746" s="263"/>
      <c r="AE746" s="253" t="s">
        <v>68</v>
      </c>
      <c r="AV746" s="256" t="str">
        <f>CONCATENATE(AN748,",",AO748,",",AP748,",",AQ748,",",AR748,",",AS748,",",AT748)</f>
        <v>4,-11,-8,-10,,,</v>
      </c>
    </row>
    <row r="747" spans="1:53" ht="39.950000000000003" customHeight="1">
      <c r="A747" s="252" t="str">
        <f>CONCATENATE(F752,VLOOKUP(F754,$AZ$7:$BA$14,2,0),LEFT(F756,1))</f>
        <v>CH33</v>
      </c>
      <c r="E747" s="264" t="s">
        <v>29</v>
      </c>
      <c r="F747" s="265">
        <f>VLOOKUP(A745,'zoznam zapasov'!$A$6:$K$77,11,0)</f>
        <v>6</v>
      </c>
      <c r="G747" s="508"/>
      <c r="H747" s="495"/>
      <c r="I747" s="487" t="str">
        <f>IF(ISERROR(VLOOKUP(A747,vylosovanie!$A$8:$J$68,6,0))=TRUE,"",VLOOKUP(A747,vylosovanie!$A$8:$J$68,6,0))</f>
        <v>FREUND Andrej</v>
      </c>
      <c r="J747" s="487"/>
      <c r="K747" s="487"/>
      <c r="L747" s="487"/>
      <c r="M747" s="263"/>
      <c r="N747" s="489">
        <v>4</v>
      </c>
      <c r="O747" s="489">
        <v>13</v>
      </c>
      <c r="P747" s="489">
        <v>11</v>
      </c>
      <c r="Q747" s="489">
        <v>12</v>
      </c>
      <c r="R747" s="489"/>
      <c r="S747" s="489"/>
      <c r="T747" s="489"/>
      <c r="U747" s="263"/>
      <c r="V747" s="493">
        <f>IF(SUM(AF747:AL748)=0,"",SUM(AF747:AL747))</f>
        <v>3</v>
      </c>
      <c r="W747" s="267"/>
      <c r="X747" s="263"/>
      <c r="AE747" s="253" t="str">
        <f>VLOOKUP(I747,vylosovanie!$F$8:$L$190,7,0)</f>
        <v>CH33</v>
      </c>
      <c r="AF747" s="268">
        <f>IF(N747&gt;N750,1,0)</f>
        <v>0</v>
      </c>
      <c r="AG747" s="268">
        <f t="shared" ref="AG747" si="508">IF(O747&gt;O750,1,0)</f>
        <v>1</v>
      </c>
      <c r="AH747" s="268">
        <f t="shared" ref="AH747" si="509">IF(P747&gt;P750,1,0)</f>
        <v>1</v>
      </c>
      <c r="AI747" s="268">
        <f t="shared" ref="AI747" si="510">IF(Q747&gt;Q750,1,0)</f>
        <v>1</v>
      </c>
      <c r="AJ747" s="268">
        <f t="shared" ref="AJ747" si="511">IF(R747&gt;R750,1,0)</f>
        <v>0</v>
      </c>
      <c r="AK747" s="268">
        <f t="shared" ref="AK747" si="512">IF(S747&gt;S750,1,0)</f>
        <v>0</v>
      </c>
      <c r="AL747" s="268">
        <f t="shared" ref="AL747" si="513">IF(T747&gt;T750,1,0)</f>
        <v>0</v>
      </c>
      <c r="AN747" s="268">
        <f t="shared" ref="AN747:AT747" si="514">IF(ISBLANK(N747)=TRUE,"",IF(AF747=1,N750,-N747))</f>
        <v>-4</v>
      </c>
      <c r="AO747" s="268">
        <f t="shared" si="514"/>
        <v>11</v>
      </c>
      <c r="AP747" s="268">
        <f t="shared" si="514"/>
        <v>8</v>
      </c>
      <c r="AQ747" s="268">
        <f t="shared" si="514"/>
        <v>10</v>
      </c>
      <c r="AR747" s="268" t="str">
        <f t="shared" si="514"/>
        <v/>
      </c>
      <c r="AS747" s="268" t="str">
        <f t="shared" si="514"/>
        <v/>
      </c>
      <c r="AT747" s="268" t="str">
        <f t="shared" si="514"/>
        <v/>
      </c>
      <c r="AZ747" s="269" t="s">
        <v>12</v>
      </c>
      <c r="BA747" s="269">
        <v>1</v>
      </c>
    </row>
    <row r="748" spans="1:53" ht="39.950000000000003" customHeight="1">
      <c r="E748" s="264"/>
      <c r="F748" s="265"/>
      <c r="G748" s="509"/>
      <c r="H748" s="495"/>
      <c r="I748" s="487"/>
      <c r="J748" s="487"/>
      <c r="K748" s="487"/>
      <c r="L748" s="487"/>
      <c r="M748" s="263"/>
      <c r="N748" s="490"/>
      <c r="O748" s="490"/>
      <c r="P748" s="490"/>
      <c r="Q748" s="490"/>
      <c r="R748" s="490"/>
      <c r="S748" s="490"/>
      <c r="T748" s="490"/>
      <c r="U748" s="263"/>
      <c r="V748" s="493"/>
      <c r="W748" s="267"/>
      <c r="X748" s="263"/>
      <c r="AE748" s="253" t="str">
        <f>VLOOKUP(I750,vylosovanie!$F$8:$L$190,7,0)</f>
        <v>CH34</v>
      </c>
      <c r="AF748" s="268">
        <f>IF(N750&gt;N747,1,0)</f>
        <v>1</v>
      </c>
      <c r="AG748" s="268">
        <f t="shared" ref="AG748" si="515">IF(O750&gt;O747,1,0)</f>
        <v>0</v>
      </c>
      <c r="AH748" s="268">
        <f t="shared" ref="AH748" si="516">IF(P750&gt;P747,1,0)</f>
        <v>0</v>
      </c>
      <c r="AI748" s="268">
        <f t="shared" ref="AI748" si="517">IF(Q750&gt;Q747,1,0)</f>
        <v>0</v>
      </c>
      <c r="AJ748" s="268">
        <f t="shared" ref="AJ748" si="518">IF(R750&gt;R747,1,0)</f>
        <v>0</v>
      </c>
      <c r="AK748" s="268">
        <f t="shared" ref="AK748" si="519">IF(S750&gt;S747,1,0)</f>
        <v>0</v>
      </c>
      <c r="AL748" s="268">
        <f t="shared" ref="AL748" si="520">IF(T750&gt;T747,1,0)</f>
        <v>0</v>
      </c>
      <c r="AN748" s="268">
        <f t="shared" ref="AN748:AT748" si="521">IF(ISBLANK(N750)=TRUE,"",IF(AF748=1,N747,-N750))</f>
        <v>4</v>
      </c>
      <c r="AO748" s="268">
        <f t="shared" si="521"/>
        <v>-11</v>
      </c>
      <c r="AP748" s="268">
        <f t="shared" si="521"/>
        <v>-8</v>
      </c>
      <c r="AQ748" s="268">
        <f t="shared" si="521"/>
        <v>-10</v>
      </c>
      <c r="AR748" s="268" t="str">
        <f t="shared" si="521"/>
        <v/>
      </c>
      <c r="AS748" s="268" t="str">
        <f t="shared" si="521"/>
        <v/>
      </c>
      <c r="AT748" s="268" t="str">
        <f t="shared" si="521"/>
        <v/>
      </c>
      <c r="AZ748" s="269" t="s">
        <v>18</v>
      </c>
      <c r="BA748" s="269">
        <v>2</v>
      </c>
    </row>
    <row r="749" spans="1:53" ht="39.950000000000003" customHeight="1">
      <c r="E749" s="264" t="s">
        <v>35</v>
      </c>
      <c r="F749" s="265" t="str">
        <f>VLOOKUP(A745,'zoznam zapasov'!$A$6:$K$77,9,0)</f>
        <v>So</v>
      </c>
      <c r="G749" s="263"/>
      <c r="H749" s="263"/>
      <c r="I749" s="263"/>
      <c r="J749" s="263"/>
      <c r="K749" s="263"/>
      <c r="L749" s="263"/>
      <c r="M749" s="263"/>
      <c r="N749" s="263"/>
      <c r="O749" s="263"/>
      <c r="P749" s="263"/>
      <c r="Q749" s="263"/>
      <c r="R749" s="263"/>
      <c r="S749" s="263"/>
      <c r="T749" s="263"/>
      <c r="U749" s="263"/>
      <c r="V749" s="263"/>
      <c r="W749" s="267"/>
      <c r="X749" s="263"/>
      <c r="AZ749" s="269" t="s">
        <v>38</v>
      </c>
      <c r="BA749" s="269">
        <v>3</v>
      </c>
    </row>
    <row r="750" spans="1:53" ht="39.950000000000003" customHeight="1">
      <c r="A750" s="252" t="str">
        <f>CONCATENATE(F752,VLOOKUP(F754,$AZ$7:$BA$14,2,0),RIGHT(F756,1))</f>
        <v>CH34</v>
      </c>
      <c r="E750" s="264" t="s">
        <v>28</v>
      </c>
      <c r="F750" s="270" t="str">
        <f>VLOOKUP(A745,'zoznam zapasov'!$A$6:$K$77,10,0)</f>
        <v>11.10</v>
      </c>
      <c r="G750" s="508"/>
      <c r="H750" s="486"/>
      <c r="I750" s="487" t="str">
        <f>IF(ISERROR(VLOOKUP(A750,vylosovanie!$A$8:$J$68,6,0))=TRUE,"",VLOOKUP(A750,vylosovanie!$A$8:$J$68,6,0))</f>
        <v>KLUČÁR Matej</v>
      </c>
      <c r="J750" s="487"/>
      <c r="K750" s="487"/>
      <c r="L750" s="487"/>
      <c r="M750" s="263"/>
      <c r="N750" s="489">
        <v>11</v>
      </c>
      <c r="O750" s="489">
        <v>11</v>
      </c>
      <c r="P750" s="489">
        <v>8</v>
      </c>
      <c r="Q750" s="489">
        <v>10</v>
      </c>
      <c r="R750" s="489"/>
      <c r="S750" s="489"/>
      <c r="T750" s="489"/>
      <c r="U750" s="263"/>
      <c r="V750" s="493">
        <f>IF(SUM(AF747:AL748)=0,"",SUM(AF748:AL748))</f>
        <v>1</v>
      </c>
      <c r="W750" s="267"/>
      <c r="X750" s="263"/>
      <c r="AZ750" s="269" t="s">
        <v>39</v>
      </c>
      <c r="BA750" s="269">
        <v>4</v>
      </c>
    </row>
    <row r="751" spans="1:53" ht="39.950000000000003" customHeight="1">
      <c r="E751" s="271"/>
      <c r="F751" s="272"/>
      <c r="G751" s="509"/>
      <c r="H751" s="486"/>
      <c r="I751" s="487"/>
      <c r="J751" s="487"/>
      <c r="K751" s="487"/>
      <c r="L751" s="487"/>
      <c r="M751" s="263"/>
      <c r="N751" s="490"/>
      <c r="O751" s="490"/>
      <c r="P751" s="490"/>
      <c r="Q751" s="490"/>
      <c r="R751" s="490"/>
      <c r="S751" s="490"/>
      <c r="T751" s="490"/>
      <c r="U751" s="263"/>
      <c r="V751" s="493"/>
      <c r="W751" s="267"/>
      <c r="X751" s="263"/>
      <c r="AZ751" s="269" t="s">
        <v>40</v>
      </c>
      <c r="BA751" s="269">
        <v>5</v>
      </c>
    </row>
    <row r="752" spans="1:53" ht="39.950000000000003" customHeight="1">
      <c r="E752" s="264" t="s">
        <v>66</v>
      </c>
      <c r="F752" s="265" t="s">
        <v>65</v>
      </c>
      <c r="G752" s="263"/>
      <c r="H752" s="263"/>
      <c r="I752" s="263"/>
      <c r="J752" s="263"/>
      <c r="K752" s="263"/>
      <c r="L752" s="263"/>
      <c r="M752" s="263"/>
      <c r="N752" s="263"/>
      <c r="O752" s="263"/>
      <c r="P752" s="263"/>
      <c r="Q752" s="263"/>
      <c r="R752" s="263"/>
      <c r="S752" s="263"/>
      <c r="T752" s="263"/>
      <c r="U752" s="263"/>
      <c r="V752" s="263"/>
      <c r="W752" s="267"/>
      <c r="X752" s="263"/>
      <c r="AZ752" s="269" t="s">
        <v>41</v>
      </c>
      <c r="BA752" s="269">
        <v>6</v>
      </c>
    </row>
    <row r="753" spans="1:53" ht="39.950000000000003" customHeight="1">
      <c r="E753" s="271"/>
      <c r="F753" s="272"/>
      <c r="G753" s="263"/>
      <c r="H753" s="263"/>
      <c r="I753" s="263" t="s">
        <v>32</v>
      </c>
      <c r="J753" s="263"/>
      <c r="K753" s="263"/>
      <c r="L753" s="263"/>
      <c r="M753" s="263"/>
      <c r="N753" s="273"/>
      <c r="O753" s="266"/>
      <c r="P753" s="266" t="s">
        <v>34</v>
      </c>
      <c r="Q753" s="266"/>
      <c r="R753" s="266"/>
      <c r="S753" s="266"/>
      <c r="T753" s="266"/>
      <c r="U753" s="263"/>
      <c r="V753" s="263"/>
      <c r="W753" s="267"/>
      <c r="X753" s="263"/>
      <c r="AZ753" s="269" t="s">
        <v>42</v>
      </c>
      <c r="BA753" s="269">
        <v>7</v>
      </c>
    </row>
    <row r="754" spans="1:53" ht="39.950000000000003" customHeight="1">
      <c r="E754" s="264" t="s">
        <v>26</v>
      </c>
      <c r="F754" s="265" t="s">
        <v>38</v>
      </c>
      <c r="G754" s="263"/>
      <c r="H754" s="263"/>
      <c r="I754" s="486"/>
      <c r="J754" s="486"/>
      <c r="K754" s="486"/>
      <c r="L754" s="486"/>
      <c r="M754" s="263"/>
      <c r="N754" s="486" t="str">
        <f>IF(V747&gt;V750,I747,IF(V750&gt;V747,I750,""))</f>
        <v>FREUND Andrej</v>
      </c>
      <c r="O754" s="486"/>
      <c r="P754" s="486"/>
      <c r="Q754" s="486"/>
      <c r="R754" s="486"/>
      <c r="S754" s="486"/>
      <c r="T754" s="263"/>
      <c r="U754" s="263"/>
      <c r="V754" s="263"/>
      <c r="W754" s="267"/>
      <c r="X754" s="263"/>
      <c r="AZ754" s="269" t="s">
        <v>43</v>
      </c>
      <c r="BA754" s="269">
        <v>8</v>
      </c>
    </row>
    <row r="755" spans="1:53" ht="39.950000000000003" customHeight="1">
      <c r="E755" s="271"/>
      <c r="F755" s="272"/>
      <c r="G755" s="263"/>
      <c r="H755" s="263"/>
      <c r="I755" s="486"/>
      <c r="J755" s="486"/>
      <c r="K755" s="486"/>
      <c r="L755" s="486"/>
      <c r="M755" s="263"/>
      <c r="N755" s="486"/>
      <c r="O755" s="486"/>
      <c r="P755" s="486"/>
      <c r="Q755" s="486"/>
      <c r="R755" s="486"/>
      <c r="S755" s="486"/>
      <c r="T755" s="263"/>
      <c r="U755" s="263"/>
      <c r="V755" s="263"/>
      <c r="W755" s="267"/>
      <c r="X755" s="263"/>
    </row>
    <row r="756" spans="1:53" ht="39.950000000000003" customHeight="1">
      <c r="E756" s="264" t="s">
        <v>27</v>
      </c>
      <c r="F756" s="274" t="s">
        <v>23</v>
      </c>
      <c r="G756" s="263"/>
      <c r="H756" s="263"/>
      <c r="I756" s="263"/>
      <c r="J756" s="263"/>
      <c r="K756" s="263"/>
      <c r="L756" s="263"/>
      <c r="M756" s="263"/>
      <c r="N756" s="263"/>
      <c r="O756" s="263"/>
      <c r="P756" s="263"/>
      <c r="Q756" s="263"/>
      <c r="R756" s="263"/>
      <c r="S756" s="263"/>
      <c r="T756" s="263"/>
      <c r="U756" s="263"/>
      <c r="V756" s="263"/>
      <c r="W756" s="267"/>
      <c r="X756" s="263"/>
    </row>
    <row r="757" spans="1:53" ht="39.950000000000003" customHeight="1">
      <c r="E757" s="271"/>
      <c r="F757" s="272"/>
      <c r="G757" s="263"/>
      <c r="H757" s="263" t="s">
        <v>33</v>
      </c>
      <c r="I757" s="263"/>
      <c r="J757" s="263"/>
      <c r="K757" s="263"/>
      <c r="L757" s="263"/>
      <c r="M757" s="263"/>
      <c r="N757" s="263"/>
      <c r="O757" s="263"/>
      <c r="P757" s="263"/>
      <c r="Q757" s="263"/>
      <c r="R757" s="263"/>
      <c r="S757" s="263"/>
      <c r="T757" s="263"/>
      <c r="U757" s="263"/>
      <c r="V757" s="263"/>
      <c r="W757" s="267"/>
      <c r="X757" s="263"/>
    </row>
    <row r="758" spans="1:53" ht="39.950000000000003" customHeight="1">
      <c r="E758" s="271"/>
      <c r="F758" s="272"/>
      <c r="G758" s="263"/>
      <c r="H758" s="263"/>
      <c r="I758" s="263"/>
      <c r="J758" s="263"/>
      <c r="K758" s="263"/>
      <c r="L758" s="263"/>
      <c r="M758" s="263"/>
      <c r="N758" s="263"/>
      <c r="O758" s="263"/>
      <c r="P758" s="263"/>
      <c r="Q758" s="263"/>
      <c r="R758" s="263"/>
      <c r="S758" s="263"/>
      <c r="T758" s="263"/>
      <c r="U758" s="263"/>
      <c r="V758" s="263"/>
      <c r="W758" s="267"/>
      <c r="X758" s="263"/>
    </row>
    <row r="759" spans="1:53" ht="39.950000000000003" customHeight="1">
      <c r="E759" s="271"/>
      <c r="F759" s="272"/>
      <c r="G759" s="263"/>
      <c r="H759" s="263"/>
      <c r="I759" s="496" t="str">
        <f>I747</f>
        <v>FREUND Andrej</v>
      </c>
      <c r="J759" s="496"/>
      <c r="K759" s="496"/>
      <c r="L759" s="496"/>
      <c r="M759" s="263"/>
      <c r="N759" s="263"/>
      <c r="O759" s="263"/>
      <c r="P759" s="496" t="str">
        <f>I750</f>
        <v>KLUČÁR Matej</v>
      </c>
      <c r="Q759" s="496"/>
      <c r="R759" s="496"/>
      <c r="S759" s="496"/>
      <c r="T759" s="497"/>
      <c r="U759" s="497"/>
      <c r="V759" s="263"/>
      <c r="W759" s="267"/>
      <c r="X759" s="263"/>
    </row>
    <row r="760" spans="1:53" ht="69.95" customHeight="1">
      <c r="E760" s="264"/>
      <c r="F760" s="265"/>
      <c r="G760" s="263"/>
      <c r="H760" s="275" t="s">
        <v>36</v>
      </c>
      <c r="I760" s="483"/>
      <c r="J760" s="494"/>
      <c r="K760" s="494"/>
      <c r="L760" s="495"/>
      <c r="M760" s="263"/>
      <c r="N760" s="263"/>
      <c r="O760" s="275" t="s">
        <v>36</v>
      </c>
      <c r="P760" s="486"/>
      <c r="Q760" s="486"/>
      <c r="R760" s="486"/>
      <c r="S760" s="486"/>
      <c r="T760" s="486"/>
      <c r="U760" s="486"/>
      <c r="V760" s="263"/>
      <c r="W760" s="267"/>
      <c r="X760" s="263"/>
    </row>
    <row r="761" spans="1:53" ht="69.95" customHeight="1">
      <c r="E761" s="264"/>
      <c r="F761" s="265"/>
      <c r="G761" s="263"/>
      <c r="H761" s="275" t="s">
        <v>37</v>
      </c>
      <c r="I761" s="486"/>
      <c r="J761" s="486"/>
      <c r="K761" s="486"/>
      <c r="L761" s="486"/>
      <c r="M761" s="263"/>
      <c r="N761" s="263"/>
      <c r="O761" s="275" t="s">
        <v>37</v>
      </c>
      <c r="P761" s="486"/>
      <c r="Q761" s="486"/>
      <c r="R761" s="486"/>
      <c r="S761" s="486"/>
      <c r="T761" s="486"/>
      <c r="U761" s="486"/>
      <c r="V761" s="263"/>
      <c r="W761" s="267"/>
      <c r="X761" s="263"/>
    </row>
    <row r="762" spans="1:53" ht="69.95" customHeight="1">
      <c r="E762" s="264"/>
      <c r="F762" s="265"/>
      <c r="G762" s="263"/>
      <c r="H762" s="275" t="s">
        <v>37</v>
      </c>
      <c r="I762" s="486"/>
      <c r="J762" s="486"/>
      <c r="K762" s="486"/>
      <c r="L762" s="486"/>
      <c r="M762" s="263"/>
      <c r="N762" s="263"/>
      <c r="O762" s="275" t="s">
        <v>37</v>
      </c>
      <c r="P762" s="486"/>
      <c r="Q762" s="486"/>
      <c r="R762" s="486"/>
      <c r="S762" s="486"/>
      <c r="T762" s="486"/>
      <c r="U762" s="486"/>
      <c r="V762" s="263"/>
      <c r="W762" s="267"/>
      <c r="X762" s="263"/>
    </row>
    <row r="763" spans="1:53" ht="39.950000000000003" customHeight="1" thickBot="1">
      <c r="E763" s="276"/>
      <c r="F763" s="277"/>
      <c r="G763" s="278"/>
      <c r="H763" s="278"/>
      <c r="I763" s="278"/>
      <c r="J763" s="278"/>
      <c r="K763" s="278"/>
      <c r="L763" s="278"/>
      <c r="M763" s="278"/>
      <c r="N763" s="278"/>
      <c r="O763" s="278"/>
      <c r="P763" s="278"/>
      <c r="Q763" s="278"/>
      <c r="R763" s="278"/>
      <c r="S763" s="278"/>
      <c r="T763" s="279"/>
      <c r="U763" s="279"/>
      <c r="V763" s="279"/>
      <c r="W763" s="280"/>
      <c r="X763" s="263"/>
    </row>
    <row r="764" spans="1:53" ht="62.25" thickBot="1"/>
    <row r="765" spans="1:53" ht="39.950000000000003" customHeight="1">
      <c r="A765" s="252" t="str">
        <f>CONCATENATE(F772,F774,F776)</f>
        <v>CHD1-2</v>
      </c>
      <c r="E765" s="259" t="s">
        <v>70</v>
      </c>
      <c r="F765" s="260">
        <f>VLOOKUP(A765,'zoznam zapasov'!$A$6:$K$77,3,0)</f>
        <v>39</v>
      </c>
      <c r="G765" s="261"/>
      <c r="H765" s="322" t="s">
        <v>501</v>
      </c>
      <c r="I765" s="261"/>
      <c r="J765" s="261"/>
      <c r="K765" s="261"/>
      <c r="L765" s="261"/>
      <c r="M765" s="261"/>
      <c r="N765" s="261"/>
      <c r="O765" s="261"/>
      <c r="P765" s="261"/>
      <c r="Q765" s="261"/>
      <c r="R765" s="261"/>
      <c r="S765" s="261"/>
      <c r="T765" s="261"/>
      <c r="U765" s="261"/>
      <c r="V765" s="261" t="s">
        <v>30</v>
      </c>
      <c r="W765" s="262"/>
      <c r="X765" s="263"/>
      <c r="Z765" s="258" t="str">
        <f>CONCATENATE(V767,":",V770)</f>
        <v>3:0</v>
      </c>
      <c r="AE765" s="253" t="s">
        <v>11</v>
      </c>
      <c r="AV765" s="256" t="str">
        <f>CONCATENATE(AN767,",",AO767,",",AP767,",",AQ767,",",AR767,",",AS767,",",AT767)</f>
        <v>5,9,9,,,,</v>
      </c>
    </row>
    <row r="766" spans="1:53" ht="39.950000000000003" customHeight="1">
      <c r="E766" s="264"/>
      <c r="F766" s="265"/>
      <c r="G766" s="321" t="s">
        <v>500</v>
      </c>
      <c r="H766" s="323" t="s">
        <v>502</v>
      </c>
      <c r="I766" s="263"/>
      <c r="J766" s="263"/>
      <c r="K766" s="263"/>
      <c r="L766" s="263"/>
      <c r="M766" s="263"/>
      <c r="N766" s="266">
        <v>1</v>
      </c>
      <c r="O766" s="266">
        <v>2</v>
      </c>
      <c r="P766" s="266">
        <v>3</v>
      </c>
      <c r="Q766" s="266">
        <v>4</v>
      </c>
      <c r="R766" s="266">
        <v>5</v>
      </c>
      <c r="S766" s="266">
        <v>6</v>
      </c>
      <c r="T766" s="266">
        <v>7</v>
      </c>
      <c r="U766" s="263"/>
      <c r="V766" s="266" t="s">
        <v>31</v>
      </c>
      <c r="W766" s="267"/>
      <c r="X766" s="263"/>
      <c r="AE766" s="253" t="s">
        <v>68</v>
      </c>
      <c r="AV766" s="256" t="str">
        <f>CONCATENATE(AN768,",",AO768,",",AP768,",",AQ768,",",AR768,",",AS768,",",AT768)</f>
        <v>-5,-9,-9,,,,</v>
      </c>
    </row>
    <row r="767" spans="1:53" ht="39.950000000000003" customHeight="1">
      <c r="A767" s="252" t="str">
        <f>CONCATENATE(F772,VLOOKUP(F774,$AZ$7:$BA$14,2,0),LEFT(F776,1))</f>
        <v>CH41</v>
      </c>
      <c r="E767" s="264" t="s">
        <v>29</v>
      </c>
      <c r="F767" s="265">
        <f>VLOOKUP(A765,'zoznam zapasov'!$A$6:$K$77,11,0)</f>
        <v>7</v>
      </c>
      <c r="G767" s="508"/>
      <c r="H767" s="495"/>
      <c r="I767" s="487" t="str">
        <f>IF(ISERROR(VLOOKUP(A767,vylosovanie!$A$8:$J$68,6,0))=TRUE,"",VLOOKUP(A767,vylosovanie!$A$8:$J$68,6,0))</f>
        <v>PINDURA Tobiáš</v>
      </c>
      <c r="J767" s="487"/>
      <c r="K767" s="487"/>
      <c r="L767" s="487"/>
      <c r="M767" s="263"/>
      <c r="N767" s="489">
        <v>11</v>
      </c>
      <c r="O767" s="489">
        <v>11</v>
      </c>
      <c r="P767" s="489">
        <v>11</v>
      </c>
      <c r="Q767" s="489"/>
      <c r="R767" s="489"/>
      <c r="S767" s="489"/>
      <c r="T767" s="489"/>
      <c r="U767" s="263"/>
      <c r="V767" s="493">
        <f>IF(SUM(AF767:AL768)=0,"",SUM(AF767:AL767))</f>
        <v>3</v>
      </c>
      <c r="W767" s="267"/>
      <c r="X767" s="263"/>
      <c r="AE767" s="253" t="str">
        <f>VLOOKUP(I767,vylosovanie!$F$8:$L$190,7,0)</f>
        <v>CH41</v>
      </c>
      <c r="AF767" s="268">
        <f>IF(N767&gt;N770,1,0)</f>
        <v>1</v>
      </c>
      <c r="AG767" s="268">
        <f t="shared" ref="AG767" si="522">IF(O767&gt;O770,1,0)</f>
        <v>1</v>
      </c>
      <c r="AH767" s="268">
        <f t="shared" ref="AH767" si="523">IF(P767&gt;P770,1,0)</f>
        <v>1</v>
      </c>
      <c r="AI767" s="268">
        <f t="shared" ref="AI767" si="524">IF(Q767&gt;Q770,1,0)</f>
        <v>0</v>
      </c>
      <c r="AJ767" s="268">
        <f t="shared" ref="AJ767" si="525">IF(R767&gt;R770,1,0)</f>
        <v>0</v>
      </c>
      <c r="AK767" s="268">
        <f t="shared" ref="AK767" si="526">IF(S767&gt;S770,1,0)</f>
        <v>0</v>
      </c>
      <c r="AL767" s="268">
        <f t="shared" ref="AL767" si="527">IF(T767&gt;T770,1,0)</f>
        <v>0</v>
      </c>
      <c r="AN767" s="268">
        <f t="shared" ref="AN767:AT767" si="528">IF(ISBLANK(N767)=TRUE,"",IF(AF767=1,N770,-N767))</f>
        <v>5</v>
      </c>
      <c r="AO767" s="268">
        <f t="shared" si="528"/>
        <v>9</v>
      </c>
      <c r="AP767" s="268">
        <f t="shared" si="528"/>
        <v>9</v>
      </c>
      <c r="AQ767" s="268" t="str">
        <f t="shared" si="528"/>
        <v/>
      </c>
      <c r="AR767" s="268" t="str">
        <f t="shared" si="528"/>
        <v/>
      </c>
      <c r="AS767" s="268" t="str">
        <f t="shared" si="528"/>
        <v/>
      </c>
      <c r="AT767" s="268" t="str">
        <f t="shared" si="528"/>
        <v/>
      </c>
      <c r="AZ767" s="269" t="s">
        <v>12</v>
      </c>
      <c r="BA767" s="269">
        <v>1</v>
      </c>
    </row>
    <row r="768" spans="1:53" ht="39.950000000000003" customHeight="1">
      <c r="E768" s="264"/>
      <c r="F768" s="265"/>
      <c r="G768" s="509"/>
      <c r="H768" s="495"/>
      <c r="I768" s="487"/>
      <c r="J768" s="487"/>
      <c r="K768" s="487"/>
      <c r="L768" s="487"/>
      <c r="M768" s="263"/>
      <c r="N768" s="490"/>
      <c r="O768" s="490"/>
      <c r="P768" s="490"/>
      <c r="Q768" s="490"/>
      <c r="R768" s="490"/>
      <c r="S768" s="490"/>
      <c r="T768" s="490"/>
      <c r="U768" s="263"/>
      <c r="V768" s="493"/>
      <c r="W768" s="267"/>
      <c r="X768" s="263"/>
      <c r="AE768" s="253" t="str">
        <f>VLOOKUP(I770,vylosovanie!$F$8:$L$190,7,0)</f>
        <v>CH42</v>
      </c>
      <c r="AF768" s="268">
        <f>IF(N770&gt;N767,1,0)</f>
        <v>0</v>
      </c>
      <c r="AG768" s="268">
        <f t="shared" ref="AG768" si="529">IF(O770&gt;O767,1,0)</f>
        <v>0</v>
      </c>
      <c r="AH768" s="268">
        <f t="shared" ref="AH768" si="530">IF(P770&gt;P767,1,0)</f>
        <v>0</v>
      </c>
      <c r="AI768" s="268">
        <f t="shared" ref="AI768" si="531">IF(Q770&gt;Q767,1,0)</f>
        <v>0</v>
      </c>
      <c r="AJ768" s="268">
        <f t="shared" ref="AJ768" si="532">IF(R770&gt;R767,1,0)</f>
        <v>0</v>
      </c>
      <c r="AK768" s="268">
        <f t="shared" ref="AK768" si="533">IF(S770&gt;S767,1,0)</f>
        <v>0</v>
      </c>
      <c r="AL768" s="268">
        <f t="shared" ref="AL768" si="534">IF(T770&gt;T767,1,0)</f>
        <v>0</v>
      </c>
      <c r="AN768" s="268">
        <f t="shared" ref="AN768:AT768" si="535">IF(ISBLANK(N770)=TRUE,"",IF(AF768=1,N767,-N770))</f>
        <v>-5</v>
      </c>
      <c r="AO768" s="268">
        <f t="shared" si="535"/>
        <v>-9</v>
      </c>
      <c r="AP768" s="268">
        <f t="shared" si="535"/>
        <v>-9</v>
      </c>
      <c r="AQ768" s="268" t="str">
        <f t="shared" si="535"/>
        <v/>
      </c>
      <c r="AR768" s="268" t="str">
        <f t="shared" si="535"/>
        <v/>
      </c>
      <c r="AS768" s="268" t="str">
        <f t="shared" si="535"/>
        <v/>
      </c>
      <c r="AT768" s="268" t="str">
        <f t="shared" si="535"/>
        <v/>
      </c>
      <c r="AZ768" s="269" t="s">
        <v>18</v>
      </c>
      <c r="BA768" s="269">
        <v>2</v>
      </c>
    </row>
    <row r="769" spans="1:53" ht="39.950000000000003" customHeight="1">
      <c r="E769" s="264" t="s">
        <v>35</v>
      </c>
      <c r="F769" s="265" t="str">
        <f>VLOOKUP(A765,'zoznam zapasov'!$A$6:$K$77,9,0)</f>
        <v>So</v>
      </c>
      <c r="G769" s="263"/>
      <c r="H769" s="263"/>
      <c r="I769" s="263"/>
      <c r="J769" s="263"/>
      <c r="K769" s="263"/>
      <c r="L769" s="263"/>
      <c r="M769" s="263"/>
      <c r="N769" s="263"/>
      <c r="O769" s="263"/>
      <c r="P769" s="263"/>
      <c r="Q769" s="263"/>
      <c r="R769" s="263"/>
      <c r="S769" s="263"/>
      <c r="T769" s="263"/>
      <c r="U769" s="263"/>
      <c r="V769" s="263"/>
      <c r="W769" s="267"/>
      <c r="X769" s="263"/>
      <c r="AZ769" s="269" t="s">
        <v>38</v>
      </c>
      <c r="BA769" s="269">
        <v>3</v>
      </c>
    </row>
    <row r="770" spans="1:53" ht="39.950000000000003" customHeight="1">
      <c r="A770" s="252" t="str">
        <f>CONCATENATE(F772,VLOOKUP(F774,$AZ$7:$BA$14,2,0),RIGHT(F776,1))</f>
        <v>CH42</v>
      </c>
      <c r="E770" s="264" t="s">
        <v>28</v>
      </c>
      <c r="F770" s="270" t="str">
        <f>VLOOKUP(A765,'zoznam zapasov'!$A$6:$K$77,10,0)</f>
        <v>11.10</v>
      </c>
      <c r="G770" s="508"/>
      <c r="H770" s="486"/>
      <c r="I770" s="487" t="str">
        <f>IF(ISERROR(VLOOKUP(A770,vylosovanie!$A$8:$J$68,6,0))=TRUE,"",VLOOKUP(A770,vylosovanie!$A$8:$J$68,6,0))</f>
        <v>HURKA Rastislav</v>
      </c>
      <c r="J770" s="487"/>
      <c r="K770" s="487"/>
      <c r="L770" s="487"/>
      <c r="M770" s="263"/>
      <c r="N770" s="489">
        <v>5</v>
      </c>
      <c r="O770" s="489">
        <v>9</v>
      </c>
      <c r="P770" s="489">
        <v>9</v>
      </c>
      <c r="Q770" s="489"/>
      <c r="R770" s="489"/>
      <c r="S770" s="489"/>
      <c r="T770" s="489"/>
      <c r="U770" s="263"/>
      <c r="V770" s="493">
        <f>IF(SUM(AF767:AL768)=0,"",SUM(AF768:AL768))</f>
        <v>0</v>
      </c>
      <c r="W770" s="267"/>
      <c r="X770" s="263"/>
      <c r="AZ770" s="269" t="s">
        <v>39</v>
      </c>
      <c r="BA770" s="269">
        <v>4</v>
      </c>
    </row>
    <row r="771" spans="1:53" ht="39.950000000000003" customHeight="1">
      <c r="E771" s="271"/>
      <c r="F771" s="272"/>
      <c r="G771" s="509"/>
      <c r="H771" s="486"/>
      <c r="I771" s="487"/>
      <c r="J771" s="487"/>
      <c r="K771" s="487"/>
      <c r="L771" s="487"/>
      <c r="M771" s="263"/>
      <c r="N771" s="490"/>
      <c r="O771" s="490"/>
      <c r="P771" s="490"/>
      <c r="Q771" s="490"/>
      <c r="R771" s="490"/>
      <c r="S771" s="490"/>
      <c r="T771" s="490"/>
      <c r="U771" s="263"/>
      <c r="V771" s="493"/>
      <c r="W771" s="267"/>
      <c r="X771" s="263"/>
      <c r="AZ771" s="269" t="s">
        <v>40</v>
      </c>
      <c r="BA771" s="269">
        <v>5</v>
      </c>
    </row>
    <row r="772" spans="1:53" ht="39.950000000000003" customHeight="1">
      <c r="E772" s="264" t="s">
        <v>66</v>
      </c>
      <c r="F772" s="265" t="s">
        <v>65</v>
      </c>
      <c r="G772" s="263"/>
      <c r="H772" s="263"/>
      <c r="I772" s="263"/>
      <c r="J772" s="263"/>
      <c r="K772" s="263"/>
      <c r="L772" s="263"/>
      <c r="M772" s="263"/>
      <c r="N772" s="263"/>
      <c r="O772" s="263"/>
      <c r="P772" s="263"/>
      <c r="Q772" s="263"/>
      <c r="R772" s="263"/>
      <c r="S772" s="263"/>
      <c r="T772" s="263"/>
      <c r="U772" s="263"/>
      <c r="V772" s="263"/>
      <c r="W772" s="267"/>
      <c r="X772" s="263"/>
      <c r="AZ772" s="269" t="s">
        <v>41</v>
      </c>
      <c r="BA772" s="269">
        <v>6</v>
      </c>
    </row>
    <row r="773" spans="1:53" ht="39.950000000000003" customHeight="1">
      <c r="E773" s="271"/>
      <c r="F773" s="272"/>
      <c r="G773" s="263"/>
      <c r="H773" s="263"/>
      <c r="I773" s="263" t="s">
        <v>32</v>
      </c>
      <c r="J773" s="263"/>
      <c r="K773" s="263"/>
      <c r="L773" s="263"/>
      <c r="M773" s="263"/>
      <c r="N773" s="273"/>
      <c r="O773" s="266"/>
      <c r="P773" s="266" t="s">
        <v>34</v>
      </c>
      <c r="Q773" s="266"/>
      <c r="R773" s="266"/>
      <c r="S773" s="266"/>
      <c r="T773" s="266"/>
      <c r="U773" s="263"/>
      <c r="V773" s="263"/>
      <c r="W773" s="267"/>
      <c r="X773" s="263"/>
      <c r="AZ773" s="269" t="s">
        <v>42</v>
      </c>
      <c r="BA773" s="269">
        <v>7</v>
      </c>
    </row>
    <row r="774" spans="1:53" ht="39.950000000000003" customHeight="1">
      <c r="E774" s="264" t="s">
        <v>26</v>
      </c>
      <c r="F774" s="265" t="s">
        <v>39</v>
      </c>
      <c r="G774" s="263"/>
      <c r="H774" s="263"/>
      <c r="I774" s="486"/>
      <c r="J774" s="486"/>
      <c r="K774" s="486"/>
      <c r="L774" s="486"/>
      <c r="M774" s="263"/>
      <c r="N774" s="486" t="str">
        <f>IF(V767&gt;V770,I767,IF(V770&gt;V767,I770,""))</f>
        <v>PINDURA Tobiáš</v>
      </c>
      <c r="O774" s="486"/>
      <c r="P774" s="486"/>
      <c r="Q774" s="486"/>
      <c r="R774" s="486"/>
      <c r="S774" s="486"/>
      <c r="T774" s="263"/>
      <c r="U774" s="263"/>
      <c r="V774" s="263"/>
      <c r="W774" s="267"/>
      <c r="X774" s="263"/>
      <c r="AZ774" s="269" t="s">
        <v>43</v>
      </c>
      <c r="BA774" s="269">
        <v>8</v>
      </c>
    </row>
    <row r="775" spans="1:53" ht="39.950000000000003" customHeight="1">
      <c r="E775" s="271"/>
      <c r="F775" s="272"/>
      <c r="G775" s="263"/>
      <c r="H775" s="263"/>
      <c r="I775" s="486"/>
      <c r="J775" s="486"/>
      <c r="K775" s="486"/>
      <c r="L775" s="486"/>
      <c r="M775" s="263"/>
      <c r="N775" s="486"/>
      <c r="O775" s="486"/>
      <c r="P775" s="486"/>
      <c r="Q775" s="486"/>
      <c r="R775" s="486"/>
      <c r="S775" s="486"/>
      <c r="T775" s="263"/>
      <c r="U775" s="263"/>
      <c r="V775" s="263"/>
      <c r="W775" s="267"/>
      <c r="X775" s="263"/>
    </row>
    <row r="776" spans="1:53" ht="39.950000000000003" customHeight="1">
      <c r="E776" s="264" t="s">
        <v>27</v>
      </c>
      <c r="F776" s="274" t="s">
        <v>22</v>
      </c>
      <c r="G776" s="263"/>
      <c r="H776" s="263"/>
      <c r="I776" s="263"/>
      <c r="J776" s="263"/>
      <c r="K776" s="263"/>
      <c r="L776" s="263"/>
      <c r="M776" s="263"/>
      <c r="N776" s="263"/>
      <c r="O776" s="263"/>
      <c r="P776" s="263"/>
      <c r="Q776" s="263"/>
      <c r="R776" s="263"/>
      <c r="S776" s="263"/>
      <c r="T776" s="263"/>
      <c r="U776" s="263"/>
      <c r="V776" s="263"/>
      <c r="W776" s="267"/>
      <c r="X776" s="263"/>
    </row>
    <row r="777" spans="1:53" ht="39.950000000000003" customHeight="1">
      <c r="E777" s="271"/>
      <c r="F777" s="272"/>
      <c r="G777" s="263"/>
      <c r="H777" s="263" t="s">
        <v>33</v>
      </c>
      <c r="I777" s="263"/>
      <c r="J777" s="263"/>
      <c r="K777" s="263"/>
      <c r="L777" s="263"/>
      <c r="M777" s="263"/>
      <c r="N777" s="263"/>
      <c r="O777" s="263"/>
      <c r="P777" s="263"/>
      <c r="Q777" s="263"/>
      <c r="R777" s="263"/>
      <c r="S777" s="263"/>
      <c r="T777" s="263"/>
      <c r="U777" s="263"/>
      <c r="V777" s="263"/>
      <c r="W777" s="267"/>
      <c r="X777" s="263"/>
    </row>
    <row r="778" spans="1:53" ht="39.950000000000003" customHeight="1">
      <c r="E778" s="271"/>
      <c r="F778" s="272"/>
      <c r="G778" s="263"/>
      <c r="H778" s="263"/>
      <c r="I778" s="263"/>
      <c r="J778" s="263"/>
      <c r="K778" s="263"/>
      <c r="L778" s="263"/>
      <c r="M778" s="263"/>
      <c r="N778" s="263"/>
      <c r="O778" s="263"/>
      <c r="P778" s="263"/>
      <c r="Q778" s="263"/>
      <c r="R778" s="263"/>
      <c r="S778" s="263"/>
      <c r="T778" s="263"/>
      <c r="U778" s="263"/>
      <c r="V778" s="263"/>
      <c r="W778" s="267"/>
      <c r="X778" s="263"/>
    </row>
    <row r="779" spans="1:53" ht="39.950000000000003" customHeight="1">
      <c r="E779" s="271"/>
      <c r="F779" s="272"/>
      <c r="G779" s="263"/>
      <c r="H779" s="263"/>
      <c r="I779" s="496" t="str">
        <f>I767</f>
        <v>PINDURA Tobiáš</v>
      </c>
      <c r="J779" s="496"/>
      <c r="K779" s="496"/>
      <c r="L779" s="496"/>
      <c r="M779" s="263"/>
      <c r="N779" s="263"/>
      <c r="O779" s="263"/>
      <c r="P779" s="496" t="str">
        <f>I770</f>
        <v>HURKA Rastislav</v>
      </c>
      <c r="Q779" s="496"/>
      <c r="R779" s="496"/>
      <c r="S779" s="496"/>
      <c r="T779" s="497"/>
      <c r="U779" s="497"/>
      <c r="V779" s="263"/>
      <c r="W779" s="267"/>
      <c r="X779" s="263"/>
    </row>
    <row r="780" spans="1:53" ht="69.95" customHeight="1">
      <c r="E780" s="264"/>
      <c r="F780" s="265"/>
      <c r="G780" s="263"/>
      <c r="H780" s="275" t="s">
        <v>36</v>
      </c>
      <c r="I780" s="483"/>
      <c r="J780" s="494"/>
      <c r="K780" s="494"/>
      <c r="L780" s="495"/>
      <c r="M780" s="263"/>
      <c r="N780" s="263"/>
      <c r="O780" s="275" t="s">
        <v>36</v>
      </c>
      <c r="P780" s="486"/>
      <c r="Q780" s="486"/>
      <c r="R780" s="486"/>
      <c r="S780" s="486"/>
      <c r="T780" s="486"/>
      <c r="U780" s="486"/>
      <c r="V780" s="263"/>
      <c r="W780" s="267"/>
      <c r="X780" s="263"/>
    </row>
    <row r="781" spans="1:53" ht="69.95" customHeight="1">
      <c r="E781" s="264"/>
      <c r="F781" s="265"/>
      <c r="G781" s="263"/>
      <c r="H781" s="275" t="s">
        <v>37</v>
      </c>
      <c r="I781" s="486"/>
      <c r="J781" s="486"/>
      <c r="K781" s="486"/>
      <c r="L781" s="486"/>
      <c r="M781" s="263"/>
      <c r="N781" s="263"/>
      <c r="O781" s="275" t="s">
        <v>37</v>
      </c>
      <c r="P781" s="486"/>
      <c r="Q781" s="486"/>
      <c r="R781" s="486"/>
      <c r="S781" s="486"/>
      <c r="T781" s="486"/>
      <c r="U781" s="486"/>
      <c r="V781" s="263"/>
      <c r="W781" s="267"/>
      <c r="X781" s="263"/>
    </row>
    <row r="782" spans="1:53" ht="69.95" customHeight="1">
      <c r="E782" s="264"/>
      <c r="F782" s="265"/>
      <c r="G782" s="263"/>
      <c r="H782" s="275" t="s">
        <v>37</v>
      </c>
      <c r="I782" s="486"/>
      <c r="J782" s="486"/>
      <c r="K782" s="486"/>
      <c r="L782" s="486"/>
      <c r="M782" s="263"/>
      <c r="N782" s="263"/>
      <c r="O782" s="275" t="s">
        <v>37</v>
      </c>
      <c r="P782" s="486"/>
      <c r="Q782" s="486"/>
      <c r="R782" s="486"/>
      <c r="S782" s="486"/>
      <c r="T782" s="486"/>
      <c r="U782" s="486"/>
      <c r="V782" s="263"/>
      <c r="W782" s="267"/>
      <c r="X782" s="263"/>
    </row>
    <row r="783" spans="1:53" ht="39.950000000000003" customHeight="1" thickBot="1">
      <c r="E783" s="276"/>
      <c r="F783" s="277"/>
      <c r="G783" s="278"/>
      <c r="H783" s="278"/>
      <c r="I783" s="278"/>
      <c r="J783" s="278"/>
      <c r="K783" s="278"/>
      <c r="L783" s="278"/>
      <c r="M783" s="278"/>
      <c r="N783" s="278"/>
      <c r="O783" s="278"/>
      <c r="P783" s="278"/>
      <c r="Q783" s="278"/>
      <c r="R783" s="278"/>
      <c r="S783" s="278"/>
      <c r="T783" s="279"/>
      <c r="U783" s="279"/>
      <c r="V783" s="279"/>
      <c r="W783" s="280"/>
      <c r="X783" s="263"/>
    </row>
    <row r="784" spans="1:53" ht="62.25" thickBot="1"/>
    <row r="785" spans="1:53" ht="39.950000000000003" customHeight="1">
      <c r="A785" s="252" t="str">
        <f>CONCATENATE(F792,F794,F796)</f>
        <v>CHD3-4</v>
      </c>
      <c r="E785" s="259" t="s">
        <v>70</v>
      </c>
      <c r="F785" s="260">
        <f>VLOOKUP(A785,'zoznam zapasov'!$A$6:$K$77,3,0)</f>
        <v>40</v>
      </c>
      <c r="G785" s="261"/>
      <c r="H785" s="322" t="s">
        <v>501</v>
      </c>
      <c r="I785" s="261"/>
      <c r="J785" s="261"/>
      <c r="K785" s="261"/>
      <c r="L785" s="261"/>
      <c r="M785" s="261"/>
      <c r="N785" s="261"/>
      <c r="O785" s="261"/>
      <c r="P785" s="261"/>
      <c r="Q785" s="261"/>
      <c r="R785" s="261"/>
      <c r="S785" s="261"/>
      <c r="T785" s="261"/>
      <c r="U785" s="261"/>
      <c r="V785" s="261" t="s">
        <v>30</v>
      </c>
      <c r="W785" s="262"/>
      <c r="X785" s="263"/>
      <c r="Z785" s="258" t="str">
        <f>CONCATENATE(V787,":",V790)</f>
        <v>3:0</v>
      </c>
      <c r="AE785" s="253" t="s">
        <v>11</v>
      </c>
      <c r="AV785" s="256" t="str">
        <f>CONCATENATE(AN787,",",AO787,",",AP787,",",AQ787,",",AR787,",",AS787,",",AT787)</f>
        <v>8,5,4,,,,</v>
      </c>
    </row>
    <row r="786" spans="1:53" ht="39.950000000000003" customHeight="1">
      <c r="E786" s="264"/>
      <c r="F786" s="265"/>
      <c r="G786" s="321" t="s">
        <v>500</v>
      </c>
      <c r="H786" s="323" t="s">
        <v>502</v>
      </c>
      <c r="I786" s="263"/>
      <c r="J786" s="263"/>
      <c r="K786" s="263"/>
      <c r="L786" s="263"/>
      <c r="M786" s="263"/>
      <c r="N786" s="266">
        <v>1</v>
      </c>
      <c r="O786" s="266">
        <v>2</v>
      </c>
      <c r="P786" s="266">
        <v>3</v>
      </c>
      <c r="Q786" s="266">
        <v>4</v>
      </c>
      <c r="R786" s="266">
        <v>5</v>
      </c>
      <c r="S786" s="266">
        <v>6</v>
      </c>
      <c r="T786" s="266">
        <v>7</v>
      </c>
      <c r="U786" s="263"/>
      <c r="V786" s="266" t="s">
        <v>31</v>
      </c>
      <c r="W786" s="267"/>
      <c r="X786" s="263"/>
      <c r="AE786" s="253" t="s">
        <v>68</v>
      </c>
      <c r="AV786" s="256" t="str">
        <f>CONCATENATE(AN788,",",AO788,",",AP788,",",AQ788,",",AR788,",",AS788,",",AT788)</f>
        <v>-8,-5,-4,,,,</v>
      </c>
    </row>
    <row r="787" spans="1:53" ht="39.950000000000003" customHeight="1">
      <c r="A787" s="252" t="str">
        <f>CONCATENATE(F792,VLOOKUP(F794,$AZ$7:$BA$14,2,0),LEFT(F796,1))</f>
        <v>CH43</v>
      </c>
      <c r="E787" s="264" t="s">
        <v>29</v>
      </c>
      <c r="F787" s="265">
        <f>VLOOKUP(A785,'zoznam zapasov'!$A$6:$K$77,11,0)</f>
        <v>8</v>
      </c>
      <c r="G787" s="508"/>
      <c r="H787" s="495"/>
      <c r="I787" s="487" t="str">
        <f>IF(ISERROR(VLOOKUP(A787,vylosovanie!$A$8:$J$68,6,0))=TRUE,"",VLOOKUP(A787,vylosovanie!$A$8:$J$68,6,0))</f>
        <v>DELINČAK Filip</v>
      </c>
      <c r="J787" s="487"/>
      <c r="K787" s="487"/>
      <c r="L787" s="487"/>
      <c r="M787" s="263"/>
      <c r="N787" s="489">
        <v>11</v>
      </c>
      <c r="O787" s="489">
        <v>11</v>
      </c>
      <c r="P787" s="489">
        <v>11</v>
      </c>
      <c r="Q787" s="489"/>
      <c r="R787" s="489"/>
      <c r="S787" s="489"/>
      <c r="T787" s="489"/>
      <c r="U787" s="263"/>
      <c r="V787" s="493">
        <f>IF(SUM(AF787:AL788)=0,"",SUM(AF787:AL787))</f>
        <v>3</v>
      </c>
      <c r="W787" s="267"/>
      <c r="X787" s="263"/>
      <c r="AE787" s="253" t="str">
        <f>VLOOKUP(I787,vylosovanie!$F$8:$L$190,7,0)</f>
        <v>CH43</v>
      </c>
      <c r="AF787" s="268">
        <f>IF(N787&gt;N790,1,0)</f>
        <v>1</v>
      </c>
      <c r="AG787" s="268">
        <f t="shared" ref="AG787" si="536">IF(O787&gt;O790,1,0)</f>
        <v>1</v>
      </c>
      <c r="AH787" s="268">
        <f t="shared" ref="AH787" si="537">IF(P787&gt;P790,1,0)</f>
        <v>1</v>
      </c>
      <c r="AI787" s="268">
        <f t="shared" ref="AI787" si="538">IF(Q787&gt;Q790,1,0)</f>
        <v>0</v>
      </c>
      <c r="AJ787" s="268">
        <f t="shared" ref="AJ787" si="539">IF(R787&gt;R790,1,0)</f>
        <v>0</v>
      </c>
      <c r="AK787" s="268">
        <f t="shared" ref="AK787" si="540">IF(S787&gt;S790,1,0)</f>
        <v>0</v>
      </c>
      <c r="AL787" s="268">
        <f t="shared" ref="AL787" si="541">IF(T787&gt;T790,1,0)</f>
        <v>0</v>
      </c>
      <c r="AN787" s="268">
        <f t="shared" ref="AN787:AT787" si="542">IF(ISBLANK(N787)=TRUE,"",IF(AF787=1,N790,-N787))</f>
        <v>8</v>
      </c>
      <c r="AO787" s="268">
        <f t="shared" si="542"/>
        <v>5</v>
      </c>
      <c r="AP787" s="268">
        <f t="shared" si="542"/>
        <v>4</v>
      </c>
      <c r="AQ787" s="268" t="str">
        <f t="shared" si="542"/>
        <v/>
      </c>
      <c r="AR787" s="268" t="str">
        <f t="shared" si="542"/>
        <v/>
      </c>
      <c r="AS787" s="268" t="str">
        <f t="shared" si="542"/>
        <v/>
      </c>
      <c r="AT787" s="268" t="str">
        <f t="shared" si="542"/>
        <v/>
      </c>
      <c r="AZ787" s="269" t="s">
        <v>12</v>
      </c>
      <c r="BA787" s="269">
        <v>1</v>
      </c>
    </row>
    <row r="788" spans="1:53" ht="39.950000000000003" customHeight="1">
      <c r="E788" s="264"/>
      <c r="F788" s="265"/>
      <c r="G788" s="509"/>
      <c r="H788" s="495"/>
      <c r="I788" s="487"/>
      <c r="J788" s="487"/>
      <c r="K788" s="487"/>
      <c r="L788" s="487"/>
      <c r="M788" s="263"/>
      <c r="N788" s="490"/>
      <c r="O788" s="490"/>
      <c r="P788" s="490"/>
      <c r="Q788" s="490"/>
      <c r="R788" s="490"/>
      <c r="S788" s="490"/>
      <c r="T788" s="490"/>
      <c r="U788" s="263"/>
      <c r="V788" s="493"/>
      <c r="W788" s="267"/>
      <c r="X788" s="263"/>
      <c r="AE788" s="253" t="str">
        <f>VLOOKUP(I790,vylosovanie!$F$8:$L$190,7,0)</f>
        <v>CH44</v>
      </c>
      <c r="AF788" s="268">
        <f>IF(N790&gt;N787,1,0)</f>
        <v>0</v>
      </c>
      <c r="AG788" s="268">
        <f t="shared" ref="AG788" si="543">IF(O790&gt;O787,1,0)</f>
        <v>0</v>
      </c>
      <c r="AH788" s="268">
        <f t="shared" ref="AH788" si="544">IF(P790&gt;P787,1,0)</f>
        <v>0</v>
      </c>
      <c r="AI788" s="268">
        <f t="shared" ref="AI788" si="545">IF(Q790&gt;Q787,1,0)</f>
        <v>0</v>
      </c>
      <c r="AJ788" s="268">
        <f t="shared" ref="AJ788" si="546">IF(R790&gt;R787,1,0)</f>
        <v>0</v>
      </c>
      <c r="AK788" s="268">
        <f t="shared" ref="AK788" si="547">IF(S790&gt;S787,1,0)</f>
        <v>0</v>
      </c>
      <c r="AL788" s="268">
        <f t="shared" ref="AL788" si="548">IF(T790&gt;T787,1,0)</f>
        <v>0</v>
      </c>
      <c r="AN788" s="268">
        <f t="shared" ref="AN788:AT788" si="549">IF(ISBLANK(N790)=TRUE,"",IF(AF788=1,N787,-N790))</f>
        <v>-8</v>
      </c>
      <c r="AO788" s="268">
        <f t="shared" si="549"/>
        <v>-5</v>
      </c>
      <c r="AP788" s="268">
        <f t="shared" si="549"/>
        <v>-4</v>
      </c>
      <c r="AQ788" s="268" t="str">
        <f t="shared" si="549"/>
        <v/>
      </c>
      <c r="AR788" s="268" t="str">
        <f t="shared" si="549"/>
        <v/>
      </c>
      <c r="AS788" s="268" t="str">
        <f t="shared" si="549"/>
        <v/>
      </c>
      <c r="AT788" s="268" t="str">
        <f t="shared" si="549"/>
        <v/>
      </c>
      <c r="AZ788" s="269" t="s">
        <v>18</v>
      </c>
      <c r="BA788" s="269">
        <v>2</v>
      </c>
    </row>
    <row r="789" spans="1:53" ht="39.950000000000003" customHeight="1">
      <c r="E789" s="264" t="s">
        <v>35</v>
      </c>
      <c r="F789" s="265" t="str">
        <f>VLOOKUP(A785,'zoznam zapasov'!$A$6:$K$77,9,0)</f>
        <v>So</v>
      </c>
      <c r="G789" s="263"/>
      <c r="H789" s="263"/>
      <c r="I789" s="263"/>
      <c r="J789" s="263"/>
      <c r="K789" s="263"/>
      <c r="L789" s="263"/>
      <c r="M789" s="263"/>
      <c r="N789" s="263"/>
      <c r="O789" s="263"/>
      <c r="P789" s="263"/>
      <c r="Q789" s="263"/>
      <c r="R789" s="263"/>
      <c r="S789" s="263"/>
      <c r="T789" s="263"/>
      <c r="U789" s="263"/>
      <c r="V789" s="263"/>
      <c r="W789" s="267"/>
      <c r="X789" s="263"/>
      <c r="AZ789" s="269" t="s">
        <v>38</v>
      </c>
      <c r="BA789" s="269">
        <v>3</v>
      </c>
    </row>
    <row r="790" spans="1:53" ht="39.950000000000003" customHeight="1">
      <c r="A790" s="252" t="str">
        <f>CONCATENATE(F792,VLOOKUP(F794,$AZ$7:$BA$14,2,0),RIGHT(F796,1))</f>
        <v>CH44</v>
      </c>
      <c r="E790" s="264" t="s">
        <v>28</v>
      </c>
      <c r="F790" s="270" t="str">
        <f>VLOOKUP(A785,'zoznam zapasov'!$A$6:$K$77,10,0)</f>
        <v>11.10</v>
      </c>
      <c r="G790" s="508"/>
      <c r="H790" s="486"/>
      <c r="I790" s="487" t="str">
        <f>IF(ISERROR(VLOOKUP(A790,vylosovanie!$A$8:$J$68,6,0))=TRUE,"",VLOOKUP(A790,vylosovanie!$A$8:$J$68,6,0))</f>
        <v>TRŇAN Jakub</v>
      </c>
      <c r="J790" s="487"/>
      <c r="K790" s="487"/>
      <c r="L790" s="487"/>
      <c r="M790" s="263"/>
      <c r="N790" s="489">
        <v>8</v>
      </c>
      <c r="O790" s="489">
        <v>5</v>
      </c>
      <c r="P790" s="489">
        <v>4</v>
      </c>
      <c r="Q790" s="489"/>
      <c r="R790" s="489"/>
      <c r="S790" s="489"/>
      <c r="T790" s="489"/>
      <c r="U790" s="263"/>
      <c r="V790" s="493">
        <f>IF(SUM(AF787:AL788)=0,"",SUM(AF788:AL788))</f>
        <v>0</v>
      </c>
      <c r="W790" s="267"/>
      <c r="X790" s="263"/>
      <c r="AZ790" s="269" t="s">
        <v>39</v>
      </c>
      <c r="BA790" s="269">
        <v>4</v>
      </c>
    </row>
    <row r="791" spans="1:53" ht="39.950000000000003" customHeight="1">
      <c r="E791" s="271"/>
      <c r="F791" s="272"/>
      <c r="G791" s="509"/>
      <c r="H791" s="486"/>
      <c r="I791" s="487"/>
      <c r="J791" s="487"/>
      <c r="K791" s="487"/>
      <c r="L791" s="487"/>
      <c r="M791" s="263"/>
      <c r="N791" s="490"/>
      <c r="O791" s="490"/>
      <c r="P791" s="490"/>
      <c r="Q791" s="490"/>
      <c r="R791" s="490"/>
      <c r="S791" s="490"/>
      <c r="T791" s="490"/>
      <c r="U791" s="263"/>
      <c r="V791" s="493"/>
      <c r="W791" s="267"/>
      <c r="X791" s="263"/>
      <c r="AZ791" s="269" t="s">
        <v>40</v>
      </c>
      <c r="BA791" s="269">
        <v>5</v>
      </c>
    </row>
    <row r="792" spans="1:53" ht="39.950000000000003" customHeight="1">
      <c r="E792" s="264" t="s">
        <v>66</v>
      </c>
      <c r="F792" s="265" t="s">
        <v>65</v>
      </c>
      <c r="G792" s="263"/>
      <c r="H792" s="263"/>
      <c r="I792" s="263"/>
      <c r="J792" s="263"/>
      <c r="K792" s="263"/>
      <c r="L792" s="263"/>
      <c r="M792" s="263"/>
      <c r="N792" s="263"/>
      <c r="O792" s="263"/>
      <c r="P792" s="263"/>
      <c r="Q792" s="263"/>
      <c r="R792" s="263"/>
      <c r="S792" s="263"/>
      <c r="T792" s="263"/>
      <c r="U792" s="263"/>
      <c r="V792" s="263"/>
      <c r="W792" s="267"/>
      <c r="X792" s="263"/>
      <c r="AZ792" s="269" t="s">
        <v>41</v>
      </c>
      <c r="BA792" s="269">
        <v>6</v>
      </c>
    </row>
    <row r="793" spans="1:53" ht="39.950000000000003" customHeight="1">
      <c r="E793" s="271"/>
      <c r="F793" s="272"/>
      <c r="G793" s="263"/>
      <c r="H793" s="263"/>
      <c r="I793" s="263" t="s">
        <v>32</v>
      </c>
      <c r="J793" s="263"/>
      <c r="K793" s="263"/>
      <c r="L793" s="263"/>
      <c r="M793" s="263"/>
      <c r="N793" s="273"/>
      <c r="O793" s="266"/>
      <c r="P793" s="266" t="s">
        <v>34</v>
      </c>
      <c r="Q793" s="266"/>
      <c r="R793" s="266"/>
      <c r="S793" s="266"/>
      <c r="T793" s="266"/>
      <c r="U793" s="263"/>
      <c r="V793" s="263"/>
      <c r="W793" s="267"/>
      <c r="X793" s="263"/>
      <c r="AZ793" s="269" t="s">
        <v>42</v>
      </c>
      <c r="BA793" s="269">
        <v>7</v>
      </c>
    </row>
    <row r="794" spans="1:53" ht="39.950000000000003" customHeight="1">
      <c r="E794" s="264" t="s">
        <v>26</v>
      </c>
      <c r="F794" s="265" t="s">
        <v>39</v>
      </c>
      <c r="G794" s="263"/>
      <c r="H794" s="263"/>
      <c r="I794" s="486"/>
      <c r="J794" s="486"/>
      <c r="K794" s="486"/>
      <c r="L794" s="486"/>
      <c r="M794" s="263"/>
      <c r="N794" s="486" t="str">
        <f>IF(V787&gt;V790,I787,IF(V790&gt;V787,I790,""))</f>
        <v>DELINČAK Filip</v>
      </c>
      <c r="O794" s="486"/>
      <c r="P794" s="486"/>
      <c r="Q794" s="486"/>
      <c r="R794" s="486"/>
      <c r="S794" s="486"/>
      <c r="T794" s="263"/>
      <c r="U794" s="263"/>
      <c r="V794" s="263"/>
      <c r="W794" s="267"/>
      <c r="X794" s="263"/>
      <c r="AZ794" s="269" t="s">
        <v>43</v>
      </c>
      <c r="BA794" s="269">
        <v>8</v>
      </c>
    </row>
    <row r="795" spans="1:53" ht="39.950000000000003" customHeight="1">
      <c r="E795" s="271"/>
      <c r="F795" s="272"/>
      <c r="G795" s="263"/>
      <c r="H795" s="263"/>
      <c r="I795" s="486"/>
      <c r="J795" s="486"/>
      <c r="K795" s="486"/>
      <c r="L795" s="486"/>
      <c r="M795" s="263"/>
      <c r="N795" s="486"/>
      <c r="O795" s="486"/>
      <c r="P795" s="486"/>
      <c r="Q795" s="486"/>
      <c r="R795" s="486"/>
      <c r="S795" s="486"/>
      <c r="T795" s="263"/>
      <c r="U795" s="263"/>
      <c r="V795" s="263"/>
      <c r="W795" s="267"/>
      <c r="X795" s="263"/>
    </row>
    <row r="796" spans="1:53" ht="39.950000000000003" customHeight="1">
      <c r="E796" s="264" t="s">
        <v>27</v>
      </c>
      <c r="F796" s="274" t="s">
        <v>23</v>
      </c>
      <c r="G796" s="263"/>
      <c r="H796" s="263"/>
      <c r="I796" s="263"/>
      <c r="J796" s="263"/>
      <c r="K796" s="263"/>
      <c r="L796" s="263"/>
      <c r="M796" s="263"/>
      <c r="N796" s="263"/>
      <c r="O796" s="263"/>
      <c r="P796" s="263"/>
      <c r="Q796" s="263"/>
      <c r="R796" s="263"/>
      <c r="S796" s="263"/>
      <c r="T796" s="263"/>
      <c r="U796" s="263"/>
      <c r="V796" s="263"/>
      <c r="W796" s="267"/>
      <c r="X796" s="263"/>
    </row>
    <row r="797" spans="1:53" ht="39.950000000000003" customHeight="1">
      <c r="E797" s="271"/>
      <c r="F797" s="272"/>
      <c r="G797" s="263"/>
      <c r="H797" s="263" t="s">
        <v>33</v>
      </c>
      <c r="I797" s="263"/>
      <c r="J797" s="263"/>
      <c r="K797" s="263"/>
      <c r="L797" s="263"/>
      <c r="M797" s="263"/>
      <c r="N797" s="263"/>
      <c r="O797" s="263"/>
      <c r="P797" s="263"/>
      <c r="Q797" s="263"/>
      <c r="R797" s="263"/>
      <c r="S797" s="263"/>
      <c r="T797" s="263"/>
      <c r="U797" s="263"/>
      <c r="V797" s="263"/>
      <c r="W797" s="267"/>
      <c r="X797" s="263"/>
    </row>
    <row r="798" spans="1:53" ht="39.950000000000003" customHeight="1">
      <c r="E798" s="271"/>
      <c r="F798" s="272"/>
      <c r="G798" s="263"/>
      <c r="H798" s="263"/>
      <c r="I798" s="263"/>
      <c r="J798" s="263"/>
      <c r="K798" s="263"/>
      <c r="L798" s="263"/>
      <c r="M798" s="263"/>
      <c r="N798" s="263"/>
      <c r="O798" s="263"/>
      <c r="P798" s="263"/>
      <c r="Q798" s="263"/>
      <c r="R798" s="263"/>
      <c r="S798" s="263"/>
      <c r="T798" s="263"/>
      <c r="U798" s="263"/>
      <c r="V798" s="263"/>
      <c r="W798" s="267"/>
      <c r="X798" s="263"/>
    </row>
    <row r="799" spans="1:53" ht="39.950000000000003" customHeight="1">
      <c r="E799" s="271"/>
      <c r="F799" s="272"/>
      <c r="G799" s="263"/>
      <c r="H799" s="263"/>
      <c r="I799" s="496" t="str">
        <f>I787</f>
        <v>DELINČAK Filip</v>
      </c>
      <c r="J799" s="496"/>
      <c r="K799" s="496"/>
      <c r="L799" s="496"/>
      <c r="M799" s="263"/>
      <c r="N799" s="263"/>
      <c r="O799" s="263"/>
      <c r="P799" s="496" t="str">
        <f>I790</f>
        <v>TRŇAN Jakub</v>
      </c>
      <c r="Q799" s="496"/>
      <c r="R799" s="496"/>
      <c r="S799" s="496"/>
      <c r="T799" s="497"/>
      <c r="U799" s="497"/>
      <c r="V799" s="263"/>
      <c r="W799" s="267"/>
      <c r="X799" s="263"/>
    </row>
    <row r="800" spans="1:53" ht="69.95" customHeight="1">
      <c r="E800" s="264"/>
      <c r="F800" s="265"/>
      <c r="G800" s="263"/>
      <c r="H800" s="275" t="s">
        <v>36</v>
      </c>
      <c r="I800" s="483"/>
      <c r="J800" s="494"/>
      <c r="K800" s="494"/>
      <c r="L800" s="495"/>
      <c r="M800" s="263"/>
      <c r="N800" s="263"/>
      <c r="O800" s="275" t="s">
        <v>36</v>
      </c>
      <c r="P800" s="486"/>
      <c r="Q800" s="486"/>
      <c r="R800" s="486"/>
      <c r="S800" s="486"/>
      <c r="T800" s="486"/>
      <c r="U800" s="486"/>
      <c r="V800" s="263"/>
      <c r="W800" s="267"/>
      <c r="X800" s="263"/>
    </row>
    <row r="801" spans="1:53" ht="69.95" customHeight="1">
      <c r="E801" s="264"/>
      <c r="F801" s="265"/>
      <c r="G801" s="263"/>
      <c r="H801" s="275" t="s">
        <v>37</v>
      </c>
      <c r="I801" s="486"/>
      <c r="J801" s="486"/>
      <c r="K801" s="486"/>
      <c r="L801" s="486"/>
      <c r="M801" s="263"/>
      <c r="N801" s="263"/>
      <c r="O801" s="275" t="s">
        <v>37</v>
      </c>
      <c r="P801" s="486"/>
      <c r="Q801" s="486"/>
      <c r="R801" s="486"/>
      <c r="S801" s="486"/>
      <c r="T801" s="486"/>
      <c r="U801" s="486"/>
      <c r="V801" s="263"/>
      <c r="W801" s="267"/>
      <c r="X801" s="263"/>
    </row>
    <row r="802" spans="1:53" ht="69.95" customHeight="1">
      <c r="E802" s="264"/>
      <c r="F802" s="265"/>
      <c r="G802" s="263"/>
      <c r="H802" s="275" t="s">
        <v>37</v>
      </c>
      <c r="I802" s="486"/>
      <c r="J802" s="486"/>
      <c r="K802" s="486"/>
      <c r="L802" s="486"/>
      <c r="M802" s="263"/>
      <c r="N802" s="263"/>
      <c r="O802" s="275" t="s">
        <v>37</v>
      </c>
      <c r="P802" s="486"/>
      <c r="Q802" s="486"/>
      <c r="R802" s="486"/>
      <c r="S802" s="486"/>
      <c r="T802" s="486"/>
      <c r="U802" s="486"/>
      <c r="V802" s="263"/>
      <c r="W802" s="267"/>
      <c r="X802" s="263"/>
    </row>
    <row r="803" spans="1:53" ht="39.950000000000003" customHeight="1" thickBot="1">
      <c r="E803" s="276"/>
      <c r="F803" s="277"/>
      <c r="G803" s="278"/>
      <c r="H803" s="278"/>
      <c r="I803" s="278"/>
      <c r="J803" s="278"/>
      <c r="K803" s="278"/>
      <c r="L803" s="278"/>
      <c r="M803" s="278"/>
      <c r="N803" s="278"/>
      <c r="O803" s="278"/>
      <c r="P803" s="278"/>
      <c r="Q803" s="278"/>
      <c r="R803" s="278"/>
      <c r="S803" s="278"/>
      <c r="T803" s="279"/>
      <c r="U803" s="279"/>
      <c r="V803" s="279"/>
      <c r="W803" s="280"/>
      <c r="X803" s="263"/>
    </row>
    <row r="804" spans="1:53" ht="62.25" thickBot="1"/>
    <row r="805" spans="1:53" ht="39.950000000000003" customHeight="1">
      <c r="A805" s="252" t="str">
        <f>CONCATENATE(F812,F814,F816)</f>
        <v>CHE1-2</v>
      </c>
      <c r="E805" s="259" t="s">
        <v>70</v>
      </c>
      <c r="F805" s="260">
        <f>VLOOKUP(A805,'zoznam zapasov'!$A$6:$K$77,3,0)</f>
        <v>41</v>
      </c>
      <c r="G805" s="261"/>
      <c r="H805" s="322" t="s">
        <v>501</v>
      </c>
      <c r="I805" s="261"/>
      <c r="J805" s="261"/>
      <c r="K805" s="261"/>
      <c r="L805" s="261"/>
      <c r="M805" s="261"/>
      <c r="N805" s="261"/>
      <c r="O805" s="261"/>
      <c r="P805" s="261"/>
      <c r="Q805" s="261"/>
      <c r="R805" s="261"/>
      <c r="S805" s="261"/>
      <c r="T805" s="261"/>
      <c r="U805" s="261"/>
      <c r="V805" s="261" t="s">
        <v>30</v>
      </c>
      <c r="W805" s="262"/>
      <c r="X805" s="263"/>
      <c r="Z805" s="258" t="str">
        <f>CONCATENATE(V807,":",V810)</f>
        <v>3:2</v>
      </c>
      <c r="AE805" s="253" t="s">
        <v>11</v>
      </c>
      <c r="AV805" s="256" t="str">
        <f>CONCATENATE(AN807,",",AO807,",",AP807,",",AQ807,",",AR807,",",AS807,",",AT807)</f>
        <v>-9,-10,11,16,6,,</v>
      </c>
    </row>
    <row r="806" spans="1:53" ht="39.950000000000003" customHeight="1">
      <c r="E806" s="264"/>
      <c r="F806" s="265"/>
      <c r="G806" s="321" t="s">
        <v>500</v>
      </c>
      <c r="H806" s="323" t="s">
        <v>502</v>
      </c>
      <c r="I806" s="263"/>
      <c r="J806" s="263"/>
      <c r="K806" s="263"/>
      <c r="L806" s="263"/>
      <c r="M806" s="263"/>
      <c r="N806" s="266">
        <v>1</v>
      </c>
      <c r="O806" s="266">
        <v>2</v>
      </c>
      <c r="P806" s="266">
        <v>3</v>
      </c>
      <c r="Q806" s="266">
        <v>4</v>
      </c>
      <c r="R806" s="266">
        <v>5</v>
      </c>
      <c r="S806" s="266">
        <v>6</v>
      </c>
      <c r="T806" s="266">
        <v>7</v>
      </c>
      <c r="U806" s="263"/>
      <c r="V806" s="266" t="s">
        <v>31</v>
      </c>
      <c r="W806" s="267"/>
      <c r="X806" s="263"/>
      <c r="AE806" s="253" t="s">
        <v>68</v>
      </c>
      <c r="AV806" s="256" t="str">
        <f>CONCATENATE(AN808,",",AO808,",",AP808,",",AQ808,",",AR808,",",AS808,",",AT808)</f>
        <v>9,10,-11,-16,-6,,</v>
      </c>
    </row>
    <row r="807" spans="1:53" ht="39.950000000000003" customHeight="1">
      <c r="A807" s="252" t="str">
        <f>CONCATENATE(F812,VLOOKUP(F814,$AZ$7:$BA$14,2,0),LEFT(F816,1))</f>
        <v>CH51</v>
      </c>
      <c r="E807" s="264" t="s">
        <v>29</v>
      </c>
      <c r="F807" s="265">
        <f>VLOOKUP(A805,'zoznam zapasov'!$A$6:$K$77,11,0)</f>
        <v>1</v>
      </c>
      <c r="G807" s="508"/>
      <c r="H807" s="495"/>
      <c r="I807" s="487" t="str">
        <f>IF(ISERROR(VLOOKUP(A807,vylosovanie!$A$8:$J$68,6,0))=TRUE,"",VLOOKUP(A807,vylosovanie!$A$8:$J$68,6,0))</f>
        <v>PETRÍK Filip</v>
      </c>
      <c r="J807" s="487"/>
      <c r="K807" s="487"/>
      <c r="L807" s="487"/>
      <c r="M807" s="263"/>
      <c r="N807" s="489">
        <v>9</v>
      </c>
      <c r="O807" s="489">
        <v>10</v>
      </c>
      <c r="P807" s="489">
        <v>13</v>
      </c>
      <c r="Q807" s="489">
        <v>18</v>
      </c>
      <c r="R807" s="489">
        <v>11</v>
      </c>
      <c r="S807" s="489"/>
      <c r="T807" s="489"/>
      <c r="U807" s="263"/>
      <c r="V807" s="493">
        <f>IF(SUM(AF807:AL808)=0,"",SUM(AF807:AL807))</f>
        <v>3</v>
      </c>
      <c r="W807" s="267"/>
      <c r="X807" s="263"/>
      <c r="AE807" s="253" t="str">
        <f>VLOOKUP(I807,vylosovanie!$F$8:$L$190,7,0)</f>
        <v>CH51</v>
      </c>
      <c r="AF807" s="268">
        <f>IF(N807&gt;N810,1,0)</f>
        <v>0</v>
      </c>
      <c r="AG807" s="268">
        <f t="shared" ref="AG807" si="550">IF(O807&gt;O810,1,0)</f>
        <v>0</v>
      </c>
      <c r="AH807" s="268">
        <f t="shared" ref="AH807" si="551">IF(P807&gt;P810,1,0)</f>
        <v>1</v>
      </c>
      <c r="AI807" s="268">
        <f t="shared" ref="AI807" si="552">IF(Q807&gt;Q810,1,0)</f>
        <v>1</v>
      </c>
      <c r="AJ807" s="268">
        <f t="shared" ref="AJ807" si="553">IF(R807&gt;R810,1,0)</f>
        <v>1</v>
      </c>
      <c r="AK807" s="268">
        <f t="shared" ref="AK807" si="554">IF(S807&gt;S810,1,0)</f>
        <v>0</v>
      </c>
      <c r="AL807" s="268">
        <f t="shared" ref="AL807" si="555">IF(T807&gt;T810,1,0)</f>
        <v>0</v>
      </c>
      <c r="AN807" s="268">
        <f t="shared" ref="AN807:AT807" si="556">IF(ISBLANK(N807)=TRUE,"",IF(AF807=1,N810,-N807))</f>
        <v>-9</v>
      </c>
      <c r="AO807" s="268">
        <f t="shared" si="556"/>
        <v>-10</v>
      </c>
      <c r="AP807" s="268">
        <f t="shared" si="556"/>
        <v>11</v>
      </c>
      <c r="AQ807" s="268">
        <f t="shared" si="556"/>
        <v>16</v>
      </c>
      <c r="AR807" s="268">
        <f t="shared" si="556"/>
        <v>6</v>
      </c>
      <c r="AS807" s="268" t="str">
        <f t="shared" si="556"/>
        <v/>
      </c>
      <c r="AT807" s="268" t="str">
        <f t="shared" si="556"/>
        <v/>
      </c>
      <c r="AZ807" s="269" t="s">
        <v>12</v>
      </c>
      <c r="BA807" s="269">
        <v>1</v>
      </c>
    </row>
    <row r="808" spans="1:53" ht="39.950000000000003" customHeight="1">
      <c r="E808" s="264"/>
      <c r="F808" s="265"/>
      <c r="G808" s="509"/>
      <c r="H808" s="495"/>
      <c r="I808" s="487"/>
      <c r="J808" s="487"/>
      <c r="K808" s="487"/>
      <c r="L808" s="487"/>
      <c r="M808" s="263"/>
      <c r="N808" s="490"/>
      <c r="O808" s="490"/>
      <c r="P808" s="490"/>
      <c r="Q808" s="490"/>
      <c r="R808" s="490"/>
      <c r="S808" s="490"/>
      <c r="T808" s="490"/>
      <c r="U808" s="263"/>
      <c r="V808" s="493"/>
      <c r="W808" s="267"/>
      <c r="X808" s="263"/>
      <c r="AE808" s="253" t="str">
        <f>VLOOKUP(I810,vylosovanie!$F$8:$L$190,7,0)</f>
        <v>CH52</v>
      </c>
      <c r="AF808" s="268">
        <f>IF(N810&gt;N807,1,0)</f>
        <v>1</v>
      </c>
      <c r="AG808" s="268">
        <f t="shared" ref="AG808" si="557">IF(O810&gt;O807,1,0)</f>
        <v>1</v>
      </c>
      <c r="AH808" s="268">
        <f t="shared" ref="AH808" si="558">IF(P810&gt;P807,1,0)</f>
        <v>0</v>
      </c>
      <c r="AI808" s="268">
        <f t="shared" ref="AI808" si="559">IF(Q810&gt;Q807,1,0)</f>
        <v>0</v>
      </c>
      <c r="AJ808" s="268">
        <f t="shared" ref="AJ808" si="560">IF(R810&gt;R807,1,0)</f>
        <v>0</v>
      </c>
      <c r="AK808" s="268">
        <f t="shared" ref="AK808" si="561">IF(S810&gt;S807,1,0)</f>
        <v>0</v>
      </c>
      <c r="AL808" s="268">
        <f t="shared" ref="AL808" si="562">IF(T810&gt;T807,1,0)</f>
        <v>0</v>
      </c>
      <c r="AN808" s="268">
        <f t="shared" ref="AN808:AT808" si="563">IF(ISBLANK(N810)=TRUE,"",IF(AF808=1,N807,-N810))</f>
        <v>9</v>
      </c>
      <c r="AO808" s="268">
        <f t="shared" si="563"/>
        <v>10</v>
      </c>
      <c r="AP808" s="268">
        <f t="shared" si="563"/>
        <v>-11</v>
      </c>
      <c r="AQ808" s="268">
        <f t="shared" si="563"/>
        <v>-16</v>
      </c>
      <c r="AR808" s="268">
        <f t="shared" si="563"/>
        <v>-6</v>
      </c>
      <c r="AS808" s="268" t="str">
        <f t="shared" si="563"/>
        <v/>
      </c>
      <c r="AT808" s="268" t="str">
        <f t="shared" si="563"/>
        <v/>
      </c>
      <c r="AZ808" s="269" t="s">
        <v>18</v>
      </c>
      <c r="BA808" s="269">
        <v>2</v>
      </c>
    </row>
    <row r="809" spans="1:53" ht="39.950000000000003" customHeight="1">
      <c r="E809" s="264" t="s">
        <v>35</v>
      </c>
      <c r="F809" s="265" t="str">
        <f>VLOOKUP(A805,'zoznam zapasov'!$A$6:$K$77,9,0)</f>
        <v>So</v>
      </c>
      <c r="G809" s="263"/>
      <c r="H809" s="263"/>
      <c r="I809" s="263"/>
      <c r="J809" s="263"/>
      <c r="K809" s="263"/>
      <c r="L809" s="263"/>
      <c r="M809" s="263"/>
      <c r="N809" s="263"/>
      <c r="O809" s="263"/>
      <c r="P809" s="263"/>
      <c r="Q809" s="263"/>
      <c r="R809" s="263"/>
      <c r="S809" s="263"/>
      <c r="T809" s="263"/>
      <c r="U809" s="263"/>
      <c r="V809" s="263"/>
      <c r="W809" s="267"/>
      <c r="X809" s="263"/>
      <c r="AZ809" s="269" t="s">
        <v>38</v>
      </c>
      <c r="BA809" s="269">
        <v>3</v>
      </c>
    </row>
    <row r="810" spans="1:53" ht="39.950000000000003" customHeight="1">
      <c r="A810" s="252" t="str">
        <f>CONCATENATE(F812,VLOOKUP(F814,$AZ$7:$BA$14,2,0),RIGHT(F816,1))</f>
        <v>CH52</v>
      </c>
      <c r="E810" s="264" t="s">
        <v>28</v>
      </c>
      <c r="F810" s="270" t="str">
        <f>VLOOKUP(A805,'zoznam zapasov'!$A$6:$K$77,10,0)</f>
        <v>11.35</v>
      </c>
      <c r="G810" s="508"/>
      <c r="H810" s="486"/>
      <c r="I810" s="487" t="str">
        <f>IF(ISERROR(VLOOKUP(A810,vylosovanie!$A$8:$J$68,6,0))=TRUE,"",VLOOKUP(A810,vylosovanie!$A$8:$J$68,6,0))</f>
        <v>ĎANOVSKÝ Martin</v>
      </c>
      <c r="J810" s="487"/>
      <c r="K810" s="487"/>
      <c r="L810" s="487"/>
      <c r="M810" s="263"/>
      <c r="N810" s="489">
        <v>11</v>
      </c>
      <c r="O810" s="489">
        <v>12</v>
      </c>
      <c r="P810" s="489">
        <v>11</v>
      </c>
      <c r="Q810" s="489">
        <v>16</v>
      </c>
      <c r="R810" s="489">
        <v>6</v>
      </c>
      <c r="S810" s="489"/>
      <c r="T810" s="489"/>
      <c r="U810" s="263"/>
      <c r="V810" s="493">
        <f>IF(SUM(AF807:AL808)=0,"",SUM(AF808:AL808))</f>
        <v>2</v>
      </c>
      <c r="W810" s="267"/>
      <c r="X810" s="263"/>
      <c r="AZ810" s="269" t="s">
        <v>39</v>
      </c>
      <c r="BA810" s="269">
        <v>4</v>
      </c>
    </row>
    <row r="811" spans="1:53" ht="39.950000000000003" customHeight="1">
      <c r="E811" s="271"/>
      <c r="F811" s="272"/>
      <c r="G811" s="509"/>
      <c r="H811" s="486"/>
      <c r="I811" s="487"/>
      <c r="J811" s="487"/>
      <c r="K811" s="487"/>
      <c r="L811" s="487"/>
      <c r="M811" s="263"/>
      <c r="N811" s="490"/>
      <c r="O811" s="490"/>
      <c r="P811" s="490"/>
      <c r="Q811" s="490"/>
      <c r="R811" s="490"/>
      <c r="S811" s="490"/>
      <c r="T811" s="490"/>
      <c r="U811" s="263"/>
      <c r="V811" s="493"/>
      <c r="W811" s="267"/>
      <c r="X811" s="263"/>
      <c r="AZ811" s="269" t="s">
        <v>40</v>
      </c>
      <c r="BA811" s="269">
        <v>5</v>
      </c>
    </row>
    <row r="812" spans="1:53" ht="39.950000000000003" customHeight="1">
      <c r="E812" s="264" t="s">
        <v>66</v>
      </c>
      <c r="F812" s="265" t="s">
        <v>65</v>
      </c>
      <c r="G812" s="263"/>
      <c r="H812" s="263"/>
      <c r="I812" s="263"/>
      <c r="J812" s="263"/>
      <c r="K812" s="263"/>
      <c r="L812" s="263"/>
      <c r="M812" s="263"/>
      <c r="N812" s="263"/>
      <c r="O812" s="263"/>
      <c r="P812" s="263"/>
      <c r="Q812" s="263"/>
      <c r="R812" s="263"/>
      <c r="S812" s="263"/>
      <c r="T812" s="263"/>
      <c r="U812" s="263"/>
      <c r="V812" s="263"/>
      <c r="W812" s="267"/>
      <c r="X812" s="263"/>
      <c r="AZ812" s="269" t="s">
        <v>41</v>
      </c>
      <c r="BA812" s="269">
        <v>6</v>
      </c>
    </row>
    <row r="813" spans="1:53" ht="39.950000000000003" customHeight="1">
      <c r="E813" s="271"/>
      <c r="F813" s="272"/>
      <c r="G813" s="263"/>
      <c r="H813" s="263"/>
      <c r="I813" s="263" t="s">
        <v>32</v>
      </c>
      <c r="J813" s="263"/>
      <c r="K813" s="263"/>
      <c r="L813" s="263"/>
      <c r="M813" s="263"/>
      <c r="N813" s="273"/>
      <c r="O813" s="266"/>
      <c r="P813" s="266" t="s">
        <v>34</v>
      </c>
      <c r="Q813" s="266"/>
      <c r="R813" s="266"/>
      <c r="S813" s="266"/>
      <c r="T813" s="266"/>
      <c r="U813" s="263"/>
      <c r="V813" s="263"/>
      <c r="W813" s="267"/>
      <c r="X813" s="263"/>
      <c r="AZ813" s="269" t="s">
        <v>42</v>
      </c>
      <c r="BA813" s="269">
        <v>7</v>
      </c>
    </row>
    <row r="814" spans="1:53" ht="39.950000000000003" customHeight="1">
      <c r="E814" s="264" t="s">
        <v>26</v>
      </c>
      <c r="F814" s="265" t="s">
        <v>40</v>
      </c>
      <c r="G814" s="263"/>
      <c r="H814" s="263"/>
      <c r="I814" s="486"/>
      <c r="J814" s="486"/>
      <c r="K814" s="486"/>
      <c r="L814" s="486"/>
      <c r="M814" s="263"/>
      <c r="N814" s="486" t="str">
        <f>IF(V807&gt;V810,I807,IF(V810&gt;V807,I810,""))</f>
        <v>PETRÍK Filip</v>
      </c>
      <c r="O814" s="486"/>
      <c r="P814" s="486"/>
      <c r="Q814" s="486"/>
      <c r="R814" s="486"/>
      <c r="S814" s="486"/>
      <c r="T814" s="263"/>
      <c r="U814" s="263"/>
      <c r="V814" s="263"/>
      <c r="W814" s="267"/>
      <c r="X814" s="263"/>
      <c r="AZ814" s="269" t="s">
        <v>43</v>
      </c>
      <c r="BA814" s="269">
        <v>8</v>
      </c>
    </row>
    <row r="815" spans="1:53" ht="39.950000000000003" customHeight="1">
      <c r="E815" s="271"/>
      <c r="F815" s="272"/>
      <c r="G815" s="263"/>
      <c r="H815" s="263"/>
      <c r="I815" s="486"/>
      <c r="J815" s="486"/>
      <c r="K815" s="486"/>
      <c r="L815" s="486"/>
      <c r="M815" s="263"/>
      <c r="N815" s="486"/>
      <c r="O815" s="486"/>
      <c r="P815" s="486"/>
      <c r="Q815" s="486"/>
      <c r="R815" s="486"/>
      <c r="S815" s="486"/>
      <c r="T815" s="263"/>
      <c r="U815" s="263"/>
      <c r="V815" s="263"/>
      <c r="W815" s="267"/>
      <c r="X815" s="263"/>
    </row>
    <row r="816" spans="1:53" ht="39.950000000000003" customHeight="1">
      <c r="E816" s="264" t="s">
        <v>27</v>
      </c>
      <c r="F816" s="274" t="s">
        <v>22</v>
      </c>
      <c r="G816" s="263"/>
      <c r="H816" s="263"/>
      <c r="I816" s="263"/>
      <c r="J816" s="263"/>
      <c r="K816" s="263"/>
      <c r="L816" s="263"/>
      <c r="M816" s="263"/>
      <c r="N816" s="263"/>
      <c r="O816" s="263"/>
      <c r="P816" s="263"/>
      <c r="Q816" s="263"/>
      <c r="R816" s="263"/>
      <c r="S816" s="263"/>
      <c r="T816" s="263"/>
      <c r="U816" s="263"/>
      <c r="V816" s="263"/>
      <c r="W816" s="267"/>
      <c r="X816" s="263"/>
    </row>
    <row r="817" spans="1:53" ht="39.950000000000003" customHeight="1">
      <c r="E817" s="271"/>
      <c r="F817" s="272"/>
      <c r="G817" s="263"/>
      <c r="H817" s="263" t="s">
        <v>33</v>
      </c>
      <c r="I817" s="263"/>
      <c r="J817" s="263"/>
      <c r="K817" s="263"/>
      <c r="L817" s="263"/>
      <c r="M817" s="263"/>
      <c r="N817" s="263"/>
      <c r="O817" s="263"/>
      <c r="P817" s="263"/>
      <c r="Q817" s="263"/>
      <c r="R817" s="263"/>
      <c r="S817" s="263"/>
      <c r="T817" s="263"/>
      <c r="U817" s="263"/>
      <c r="V817" s="263"/>
      <c r="W817" s="267"/>
      <c r="X817" s="263"/>
    </row>
    <row r="818" spans="1:53" ht="39.950000000000003" customHeight="1">
      <c r="E818" s="271"/>
      <c r="F818" s="272"/>
      <c r="G818" s="263"/>
      <c r="H818" s="263"/>
      <c r="I818" s="263"/>
      <c r="J818" s="263"/>
      <c r="K818" s="263"/>
      <c r="L818" s="263"/>
      <c r="M818" s="263"/>
      <c r="N818" s="263"/>
      <c r="O818" s="263"/>
      <c r="P818" s="263"/>
      <c r="Q818" s="263"/>
      <c r="R818" s="263"/>
      <c r="S818" s="263"/>
      <c r="T818" s="263"/>
      <c r="U818" s="263"/>
      <c r="V818" s="263"/>
      <c r="W818" s="267"/>
      <c r="X818" s="263"/>
    </row>
    <row r="819" spans="1:53" ht="39.950000000000003" customHeight="1">
      <c r="E819" s="271"/>
      <c r="F819" s="272"/>
      <c r="G819" s="263"/>
      <c r="H819" s="263"/>
      <c r="I819" s="496" t="str">
        <f>I807</f>
        <v>PETRÍK Filip</v>
      </c>
      <c r="J819" s="496"/>
      <c r="K819" s="496"/>
      <c r="L819" s="496"/>
      <c r="M819" s="263"/>
      <c r="N819" s="263"/>
      <c r="O819" s="263"/>
      <c r="P819" s="496" t="str">
        <f>I810</f>
        <v>ĎANOVSKÝ Martin</v>
      </c>
      <c r="Q819" s="496"/>
      <c r="R819" s="496"/>
      <c r="S819" s="496"/>
      <c r="T819" s="497"/>
      <c r="U819" s="497"/>
      <c r="V819" s="263"/>
      <c r="W819" s="267"/>
      <c r="X819" s="263"/>
    </row>
    <row r="820" spans="1:53" ht="69.95" customHeight="1">
      <c r="E820" s="264"/>
      <c r="F820" s="265"/>
      <c r="G820" s="263"/>
      <c r="H820" s="275" t="s">
        <v>36</v>
      </c>
      <c r="I820" s="483"/>
      <c r="J820" s="494"/>
      <c r="K820" s="494"/>
      <c r="L820" s="495"/>
      <c r="M820" s="263"/>
      <c r="N820" s="263"/>
      <c r="O820" s="275" t="s">
        <v>36</v>
      </c>
      <c r="P820" s="486"/>
      <c r="Q820" s="486"/>
      <c r="R820" s="486"/>
      <c r="S820" s="486"/>
      <c r="T820" s="486"/>
      <c r="U820" s="486"/>
      <c r="V820" s="263"/>
      <c r="W820" s="267"/>
      <c r="X820" s="263"/>
    </row>
    <row r="821" spans="1:53" ht="69.95" customHeight="1">
      <c r="E821" s="264"/>
      <c r="F821" s="265"/>
      <c r="G821" s="263"/>
      <c r="H821" s="275" t="s">
        <v>37</v>
      </c>
      <c r="I821" s="486"/>
      <c r="J821" s="486"/>
      <c r="K821" s="486"/>
      <c r="L821" s="486"/>
      <c r="M821" s="263"/>
      <c r="N821" s="263"/>
      <c r="O821" s="275" t="s">
        <v>37</v>
      </c>
      <c r="P821" s="486"/>
      <c r="Q821" s="486"/>
      <c r="R821" s="486"/>
      <c r="S821" s="486"/>
      <c r="T821" s="486"/>
      <c r="U821" s="486"/>
      <c r="V821" s="263"/>
      <c r="W821" s="267"/>
      <c r="X821" s="263"/>
    </row>
    <row r="822" spans="1:53" ht="69.95" customHeight="1">
      <c r="E822" s="264"/>
      <c r="F822" s="265"/>
      <c r="G822" s="263"/>
      <c r="H822" s="275" t="s">
        <v>37</v>
      </c>
      <c r="I822" s="486"/>
      <c r="J822" s="486"/>
      <c r="K822" s="486"/>
      <c r="L822" s="486"/>
      <c r="M822" s="263"/>
      <c r="N822" s="263"/>
      <c r="O822" s="275" t="s">
        <v>37</v>
      </c>
      <c r="P822" s="486"/>
      <c r="Q822" s="486"/>
      <c r="R822" s="486"/>
      <c r="S822" s="486"/>
      <c r="T822" s="486"/>
      <c r="U822" s="486"/>
      <c r="V822" s="263"/>
      <c r="W822" s="267"/>
      <c r="X822" s="263"/>
    </row>
    <row r="823" spans="1:53" ht="39.950000000000003" customHeight="1" thickBot="1">
      <c r="E823" s="276"/>
      <c r="F823" s="277"/>
      <c r="G823" s="278"/>
      <c r="H823" s="278"/>
      <c r="I823" s="278"/>
      <c r="J823" s="278"/>
      <c r="K823" s="278"/>
      <c r="L823" s="278"/>
      <c r="M823" s="278"/>
      <c r="N823" s="278"/>
      <c r="O823" s="278"/>
      <c r="P823" s="278"/>
      <c r="Q823" s="278"/>
      <c r="R823" s="278"/>
      <c r="S823" s="278"/>
      <c r="T823" s="279"/>
      <c r="U823" s="279"/>
      <c r="V823" s="279"/>
      <c r="W823" s="280"/>
      <c r="X823" s="263"/>
    </row>
    <row r="824" spans="1:53" ht="62.25" thickBot="1">
      <c r="A824" s="252" t="s">
        <v>62</v>
      </c>
    </row>
    <row r="825" spans="1:53" ht="39.950000000000003" customHeight="1">
      <c r="A825" s="252" t="str">
        <f>CONCATENATE(F832,F834,F836)</f>
        <v>CHE3-4</v>
      </c>
      <c r="E825" s="259" t="s">
        <v>70</v>
      </c>
      <c r="F825" s="260">
        <f>VLOOKUP(A825,'zoznam zapasov'!$A$6:$K$77,3,0)</f>
        <v>42</v>
      </c>
      <c r="G825" s="261"/>
      <c r="H825" s="322" t="s">
        <v>501</v>
      </c>
      <c r="I825" s="261"/>
      <c r="J825" s="261"/>
      <c r="K825" s="261"/>
      <c r="L825" s="261"/>
      <c r="M825" s="261"/>
      <c r="N825" s="261"/>
      <c r="O825" s="261"/>
      <c r="P825" s="261"/>
      <c r="Q825" s="261"/>
      <c r="R825" s="261"/>
      <c r="S825" s="261"/>
      <c r="T825" s="261"/>
      <c r="U825" s="261"/>
      <c r="V825" s="261" t="s">
        <v>30</v>
      </c>
      <c r="W825" s="262"/>
      <c r="X825" s="263"/>
      <c r="Z825" s="258" t="str">
        <f>CONCATENATE(V827,":",V830)</f>
        <v>3:1</v>
      </c>
      <c r="AE825" s="253" t="s">
        <v>11</v>
      </c>
      <c r="AV825" s="256" t="str">
        <f>CONCATENATE(AN827,",",AO827,",",AP827,",",AQ827,",",AR827,",",AS827,",",AT827)</f>
        <v>-6,10,8,14,,,</v>
      </c>
    </row>
    <row r="826" spans="1:53" ht="39.950000000000003" customHeight="1">
      <c r="E826" s="264"/>
      <c r="F826" s="265"/>
      <c r="G826" s="321" t="s">
        <v>500</v>
      </c>
      <c r="H826" s="323" t="s">
        <v>502</v>
      </c>
      <c r="I826" s="263"/>
      <c r="J826" s="263"/>
      <c r="K826" s="263"/>
      <c r="L826" s="263"/>
      <c r="M826" s="263"/>
      <c r="N826" s="266">
        <v>1</v>
      </c>
      <c r="O826" s="266">
        <v>2</v>
      </c>
      <c r="P826" s="266">
        <v>3</v>
      </c>
      <c r="Q826" s="266">
        <v>4</v>
      </c>
      <c r="R826" s="266">
        <v>5</v>
      </c>
      <c r="S826" s="266">
        <v>6</v>
      </c>
      <c r="T826" s="266">
        <v>7</v>
      </c>
      <c r="U826" s="263"/>
      <c r="V826" s="266" t="s">
        <v>31</v>
      </c>
      <c r="W826" s="267"/>
      <c r="X826" s="263"/>
      <c r="AE826" s="253" t="s">
        <v>68</v>
      </c>
      <c r="AV826" s="256" t="str">
        <f>CONCATENATE(AN828,",",AO828,",",AP828,",",AQ828,",",AR828,",",AS828,",",AT828)</f>
        <v>6,-10,-8,-14,,,</v>
      </c>
    </row>
    <row r="827" spans="1:53" ht="39.950000000000003" customHeight="1">
      <c r="A827" s="252" t="str">
        <f>CONCATENATE(F832,VLOOKUP(F834,$AZ$7:$BA$14,2,0),LEFT(F836,1))</f>
        <v>CH53</v>
      </c>
      <c r="E827" s="264" t="s">
        <v>29</v>
      </c>
      <c r="F827" s="265">
        <f>VLOOKUP(A825,'zoznam zapasov'!$A$6:$K$77,11,0)</f>
        <v>2</v>
      </c>
      <c r="G827" s="508"/>
      <c r="H827" s="495"/>
      <c r="I827" s="487" t="str">
        <f>IF(ISERROR(VLOOKUP(A827,vylosovanie!$A$8:$J$68,6,0))=TRUE,"",VLOOKUP(A827,vylosovanie!$A$8:$J$68,6,0))</f>
        <v>VICO Dávid</v>
      </c>
      <c r="J827" s="487"/>
      <c r="K827" s="487"/>
      <c r="L827" s="487"/>
      <c r="M827" s="263"/>
      <c r="N827" s="489">
        <v>6</v>
      </c>
      <c r="O827" s="489">
        <v>12</v>
      </c>
      <c r="P827" s="489">
        <v>11</v>
      </c>
      <c r="Q827" s="489">
        <v>16</v>
      </c>
      <c r="R827" s="489"/>
      <c r="S827" s="489"/>
      <c r="T827" s="489"/>
      <c r="U827" s="263"/>
      <c r="V827" s="493">
        <f>IF(SUM(AF827:AL828)=0,"",SUM(AF827:AL827))</f>
        <v>3</v>
      </c>
      <c r="W827" s="267"/>
      <c r="X827" s="263"/>
      <c r="AE827" s="253" t="str">
        <f>VLOOKUP(I827,vylosovanie!$F$8:$L$190,7,0)</f>
        <v>CH53</v>
      </c>
      <c r="AF827" s="268">
        <f>IF(N827&gt;N830,1,0)</f>
        <v>0</v>
      </c>
      <c r="AG827" s="268">
        <f t="shared" ref="AG827" si="564">IF(O827&gt;O830,1,0)</f>
        <v>1</v>
      </c>
      <c r="AH827" s="268">
        <f t="shared" ref="AH827" si="565">IF(P827&gt;P830,1,0)</f>
        <v>1</v>
      </c>
      <c r="AI827" s="268">
        <f t="shared" ref="AI827" si="566">IF(Q827&gt;Q830,1,0)</f>
        <v>1</v>
      </c>
      <c r="AJ827" s="268">
        <f t="shared" ref="AJ827" si="567">IF(R827&gt;R830,1,0)</f>
        <v>0</v>
      </c>
      <c r="AK827" s="268">
        <f t="shared" ref="AK827" si="568">IF(S827&gt;S830,1,0)</f>
        <v>0</v>
      </c>
      <c r="AL827" s="268">
        <f t="shared" ref="AL827" si="569">IF(T827&gt;T830,1,0)</f>
        <v>0</v>
      </c>
      <c r="AN827" s="268">
        <f t="shared" ref="AN827:AT827" si="570">IF(ISBLANK(N827)=TRUE,"",IF(AF827=1,N830,-N827))</f>
        <v>-6</v>
      </c>
      <c r="AO827" s="268">
        <f t="shared" si="570"/>
        <v>10</v>
      </c>
      <c r="AP827" s="268">
        <f t="shared" si="570"/>
        <v>8</v>
      </c>
      <c r="AQ827" s="268">
        <f t="shared" si="570"/>
        <v>14</v>
      </c>
      <c r="AR827" s="268" t="str">
        <f t="shared" si="570"/>
        <v/>
      </c>
      <c r="AS827" s="268" t="str">
        <f t="shared" si="570"/>
        <v/>
      </c>
      <c r="AT827" s="268" t="str">
        <f t="shared" si="570"/>
        <v/>
      </c>
      <c r="AZ827" s="269" t="s">
        <v>12</v>
      </c>
      <c r="BA827" s="269">
        <v>1</v>
      </c>
    </row>
    <row r="828" spans="1:53" ht="39.950000000000003" customHeight="1">
      <c r="E828" s="264"/>
      <c r="F828" s="265"/>
      <c r="G828" s="509"/>
      <c r="H828" s="495"/>
      <c r="I828" s="487"/>
      <c r="J828" s="487"/>
      <c r="K828" s="487"/>
      <c r="L828" s="487"/>
      <c r="M828" s="263"/>
      <c r="N828" s="490"/>
      <c r="O828" s="490"/>
      <c r="P828" s="490"/>
      <c r="Q828" s="490"/>
      <c r="R828" s="490"/>
      <c r="S828" s="490"/>
      <c r="T828" s="490"/>
      <c r="U828" s="263"/>
      <c r="V828" s="493"/>
      <c r="W828" s="267"/>
      <c r="X828" s="263"/>
      <c r="AE828" s="253" t="str">
        <f>VLOOKUP(I830,vylosovanie!$F$8:$L$190,7,0)</f>
        <v>CH54</v>
      </c>
      <c r="AF828" s="268">
        <f>IF(N830&gt;N827,1,0)</f>
        <v>1</v>
      </c>
      <c r="AG828" s="268">
        <f t="shared" ref="AG828" si="571">IF(O830&gt;O827,1,0)</f>
        <v>0</v>
      </c>
      <c r="AH828" s="268">
        <f t="shared" ref="AH828" si="572">IF(P830&gt;P827,1,0)</f>
        <v>0</v>
      </c>
      <c r="AI828" s="268">
        <f t="shared" ref="AI828" si="573">IF(Q830&gt;Q827,1,0)</f>
        <v>0</v>
      </c>
      <c r="AJ828" s="268">
        <f t="shared" ref="AJ828" si="574">IF(R830&gt;R827,1,0)</f>
        <v>0</v>
      </c>
      <c r="AK828" s="268">
        <f t="shared" ref="AK828" si="575">IF(S830&gt;S827,1,0)</f>
        <v>0</v>
      </c>
      <c r="AL828" s="268">
        <f t="shared" ref="AL828" si="576">IF(T830&gt;T827,1,0)</f>
        <v>0</v>
      </c>
      <c r="AN828" s="268">
        <f t="shared" ref="AN828:AT828" si="577">IF(ISBLANK(N830)=TRUE,"",IF(AF828=1,N827,-N830))</f>
        <v>6</v>
      </c>
      <c r="AO828" s="268">
        <f t="shared" si="577"/>
        <v>-10</v>
      </c>
      <c r="AP828" s="268">
        <f t="shared" si="577"/>
        <v>-8</v>
      </c>
      <c r="AQ828" s="268">
        <f t="shared" si="577"/>
        <v>-14</v>
      </c>
      <c r="AR828" s="268" t="str">
        <f t="shared" si="577"/>
        <v/>
      </c>
      <c r="AS828" s="268" t="str">
        <f t="shared" si="577"/>
        <v/>
      </c>
      <c r="AT828" s="268" t="str">
        <f t="shared" si="577"/>
        <v/>
      </c>
      <c r="AZ828" s="269" t="s">
        <v>18</v>
      </c>
      <c r="BA828" s="269">
        <v>2</v>
      </c>
    </row>
    <row r="829" spans="1:53" ht="39.950000000000003" customHeight="1">
      <c r="E829" s="264" t="s">
        <v>35</v>
      </c>
      <c r="F829" s="265" t="str">
        <f>VLOOKUP(A825,'zoznam zapasov'!$A$6:$K$77,9,0)</f>
        <v>So</v>
      </c>
      <c r="G829" s="263"/>
      <c r="H829" s="263"/>
      <c r="I829" s="263"/>
      <c r="J829" s="263"/>
      <c r="K829" s="263"/>
      <c r="L829" s="263"/>
      <c r="M829" s="263"/>
      <c r="N829" s="263"/>
      <c r="O829" s="263"/>
      <c r="P829" s="263"/>
      <c r="Q829" s="263"/>
      <c r="R829" s="263"/>
      <c r="S829" s="263"/>
      <c r="T829" s="263"/>
      <c r="U829" s="263"/>
      <c r="V829" s="263"/>
      <c r="W829" s="267"/>
      <c r="X829" s="263"/>
      <c r="AZ829" s="269" t="s">
        <v>38</v>
      </c>
      <c r="BA829" s="269">
        <v>3</v>
      </c>
    </row>
    <row r="830" spans="1:53" ht="39.950000000000003" customHeight="1">
      <c r="A830" s="252" t="str">
        <f>CONCATENATE(F832,VLOOKUP(F834,$AZ$7:$BA$14,2,0),RIGHT(F836,1))</f>
        <v>CH54</v>
      </c>
      <c r="E830" s="264" t="s">
        <v>28</v>
      </c>
      <c r="F830" s="270" t="str">
        <f>VLOOKUP(A825,'zoznam zapasov'!$A$6:$K$77,10,0)</f>
        <v>11.35</v>
      </c>
      <c r="G830" s="508"/>
      <c r="H830" s="486"/>
      <c r="I830" s="487" t="str">
        <f>IF(ISERROR(VLOOKUP(A830,vylosovanie!$A$8:$J$68,6,0))=TRUE,"",VLOOKUP(A830,vylosovanie!$A$8:$J$68,6,0))</f>
        <v>MACKO Miroslav</v>
      </c>
      <c r="J830" s="487"/>
      <c r="K830" s="487"/>
      <c r="L830" s="487"/>
      <c r="M830" s="263"/>
      <c r="N830" s="489">
        <v>11</v>
      </c>
      <c r="O830" s="489">
        <v>10</v>
      </c>
      <c r="P830" s="489">
        <v>8</v>
      </c>
      <c r="Q830" s="489">
        <v>14</v>
      </c>
      <c r="R830" s="489"/>
      <c r="S830" s="489"/>
      <c r="T830" s="489"/>
      <c r="U830" s="263"/>
      <c r="V830" s="493">
        <f>IF(SUM(AF827:AL828)=0,"",SUM(AF828:AL828))</f>
        <v>1</v>
      </c>
      <c r="W830" s="267"/>
      <c r="X830" s="263"/>
      <c r="AZ830" s="269" t="s">
        <v>39</v>
      </c>
      <c r="BA830" s="269">
        <v>4</v>
      </c>
    </row>
    <row r="831" spans="1:53" ht="39.950000000000003" customHeight="1">
      <c r="E831" s="271"/>
      <c r="F831" s="272"/>
      <c r="G831" s="509"/>
      <c r="H831" s="486"/>
      <c r="I831" s="487"/>
      <c r="J831" s="487"/>
      <c r="K831" s="487"/>
      <c r="L831" s="487"/>
      <c r="M831" s="263"/>
      <c r="N831" s="490"/>
      <c r="O831" s="490"/>
      <c r="P831" s="490"/>
      <c r="Q831" s="490"/>
      <c r="R831" s="490"/>
      <c r="S831" s="490"/>
      <c r="T831" s="490"/>
      <c r="U831" s="263"/>
      <c r="V831" s="493"/>
      <c r="W831" s="267"/>
      <c r="X831" s="263"/>
      <c r="AZ831" s="269" t="s">
        <v>40</v>
      </c>
      <c r="BA831" s="269">
        <v>5</v>
      </c>
    </row>
    <row r="832" spans="1:53" ht="39.950000000000003" customHeight="1">
      <c r="E832" s="264" t="s">
        <v>66</v>
      </c>
      <c r="F832" s="265" t="s">
        <v>65</v>
      </c>
      <c r="G832" s="263"/>
      <c r="H832" s="263"/>
      <c r="I832" s="263"/>
      <c r="J832" s="263"/>
      <c r="K832" s="263"/>
      <c r="L832" s="263"/>
      <c r="M832" s="263"/>
      <c r="N832" s="263"/>
      <c r="O832" s="263"/>
      <c r="P832" s="263"/>
      <c r="Q832" s="263"/>
      <c r="R832" s="263"/>
      <c r="S832" s="263"/>
      <c r="T832" s="263"/>
      <c r="U832" s="263"/>
      <c r="V832" s="263"/>
      <c r="W832" s="267"/>
      <c r="X832" s="263"/>
      <c r="AZ832" s="269" t="s">
        <v>41</v>
      </c>
      <c r="BA832" s="269">
        <v>6</v>
      </c>
    </row>
    <row r="833" spans="1:53" ht="39.950000000000003" customHeight="1">
      <c r="E833" s="271"/>
      <c r="F833" s="272"/>
      <c r="G833" s="263"/>
      <c r="H833" s="263"/>
      <c r="I833" s="263" t="s">
        <v>32</v>
      </c>
      <c r="J833" s="263"/>
      <c r="K833" s="263"/>
      <c r="L833" s="263"/>
      <c r="M833" s="263"/>
      <c r="N833" s="273"/>
      <c r="O833" s="266"/>
      <c r="P833" s="266" t="s">
        <v>34</v>
      </c>
      <c r="Q833" s="266"/>
      <c r="R833" s="266"/>
      <c r="S833" s="266"/>
      <c r="T833" s="266"/>
      <c r="U833" s="263"/>
      <c r="V833" s="263"/>
      <c r="W833" s="267"/>
      <c r="X833" s="263"/>
      <c r="AZ833" s="269" t="s">
        <v>42</v>
      </c>
      <c r="BA833" s="269">
        <v>7</v>
      </c>
    </row>
    <row r="834" spans="1:53" ht="39.950000000000003" customHeight="1">
      <c r="E834" s="264" t="s">
        <v>26</v>
      </c>
      <c r="F834" s="265" t="s">
        <v>40</v>
      </c>
      <c r="G834" s="263"/>
      <c r="H834" s="263"/>
      <c r="I834" s="486"/>
      <c r="J834" s="486"/>
      <c r="K834" s="486"/>
      <c r="L834" s="486"/>
      <c r="M834" s="263"/>
      <c r="N834" s="486" t="str">
        <f>IF(V827&gt;V830,I827,IF(V830&gt;V827,I830,""))</f>
        <v>VICO Dávid</v>
      </c>
      <c r="O834" s="486"/>
      <c r="P834" s="486"/>
      <c r="Q834" s="486"/>
      <c r="R834" s="486"/>
      <c r="S834" s="486"/>
      <c r="T834" s="263"/>
      <c r="U834" s="263"/>
      <c r="V834" s="263"/>
      <c r="W834" s="267"/>
      <c r="X834" s="263"/>
      <c r="AZ834" s="269" t="s">
        <v>43</v>
      </c>
      <c r="BA834" s="269">
        <v>8</v>
      </c>
    </row>
    <row r="835" spans="1:53" ht="39.950000000000003" customHeight="1">
      <c r="E835" s="271"/>
      <c r="F835" s="272"/>
      <c r="G835" s="263"/>
      <c r="H835" s="263"/>
      <c r="I835" s="486"/>
      <c r="J835" s="486"/>
      <c r="K835" s="486"/>
      <c r="L835" s="486"/>
      <c r="M835" s="263"/>
      <c r="N835" s="486"/>
      <c r="O835" s="486"/>
      <c r="P835" s="486"/>
      <c r="Q835" s="486"/>
      <c r="R835" s="486"/>
      <c r="S835" s="486"/>
      <c r="T835" s="263"/>
      <c r="U835" s="263"/>
      <c r="V835" s="263"/>
      <c r="W835" s="267"/>
      <c r="X835" s="263"/>
    </row>
    <row r="836" spans="1:53" ht="39.950000000000003" customHeight="1">
      <c r="E836" s="264" t="s">
        <v>27</v>
      </c>
      <c r="F836" s="274" t="s">
        <v>23</v>
      </c>
      <c r="G836" s="263"/>
      <c r="H836" s="263"/>
      <c r="I836" s="263"/>
      <c r="J836" s="263"/>
      <c r="K836" s="263"/>
      <c r="L836" s="263"/>
      <c r="M836" s="263"/>
      <c r="N836" s="263"/>
      <c r="O836" s="263"/>
      <c r="P836" s="263"/>
      <c r="Q836" s="263"/>
      <c r="R836" s="263"/>
      <c r="S836" s="263"/>
      <c r="T836" s="263"/>
      <c r="U836" s="263"/>
      <c r="V836" s="263"/>
      <c r="W836" s="267"/>
      <c r="X836" s="263"/>
    </row>
    <row r="837" spans="1:53" ht="39.950000000000003" customHeight="1">
      <c r="E837" s="271"/>
      <c r="F837" s="272"/>
      <c r="G837" s="263"/>
      <c r="H837" s="263" t="s">
        <v>33</v>
      </c>
      <c r="I837" s="263"/>
      <c r="J837" s="263"/>
      <c r="K837" s="263"/>
      <c r="L837" s="263"/>
      <c r="M837" s="263"/>
      <c r="N837" s="263"/>
      <c r="O837" s="263"/>
      <c r="P837" s="263"/>
      <c r="Q837" s="263"/>
      <c r="R837" s="263"/>
      <c r="S837" s="263"/>
      <c r="T837" s="263"/>
      <c r="U837" s="263"/>
      <c r="V837" s="263"/>
      <c r="W837" s="267"/>
      <c r="X837" s="263"/>
    </row>
    <row r="838" spans="1:53" ht="39.950000000000003" customHeight="1">
      <c r="E838" s="271"/>
      <c r="F838" s="272"/>
      <c r="G838" s="263"/>
      <c r="H838" s="263"/>
      <c r="I838" s="263"/>
      <c r="J838" s="263"/>
      <c r="K838" s="263"/>
      <c r="L838" s="263"/>
      <c r="M838" s="263"/>
      <c r="N838" s="263"/>
      <c r="O838" s="263"/>
      <c r="P838" s="263"/>
      <c r="Q838" s="263"/>
      <c r="R838" s="263"/>
      <c r="S838" s="263"/>
      <c r="T838" s="263"/>
      <c r="U838" s="263"/>
      <c r="V838" s="263"/>
      <c r="W838" s="267"/>
      <c r="X838" s="263"/>
    </row>
    <row r="839" spans="1:53" ht="39.950000000000003" customHeight="1">
      <c r="E839" s="271"/>
      <c r="F839" s="272"/>
      <c r="G839" s="263"/>
      <c r="H839" s="263"/>
      <c r="I839" s="496" t="str">
        <f>I827</f>
        <v>VICO Dávid</v>
      </c>
      <c r="J839" s="496"/>
      <c r="K839" s="496"/>
      <c r="L839" s="496"/>
      <c r="M839" s="263"/>
      <c r="N839" s="263"/>
      <c r="O839" s="263"/>
      <c r="P839" s="496" t="str">
        <f>I830</f>
        <v>MACKO Miroslav</v>
      </c>
      <c r="Q839" s="496"/>
      <c r="R839" s="496"/>
      <c r="S839" s="496"/>
      <c r="T839" s="497"/>
      <c r="U839" s="497"/>
      <c r="V839" s="263"/>
      <c r="W839" s="267"/>
      <c r="X839" s="263"/>
    </row>
    <row r="840" spans="1:53" ht="69.95" customHeight="1">
      <c r="E840" s="264"/>
      <c r="F840" s="265"/>
      <c r="G840" s="263"/>
      <c r="H840" s="275" t="s">
        <v>36</v>
      </c>
      <c r="I840" s="483"/>
      <c r="J840" s="494"/>
      <c r="K840" s="494"/>
      <c r="L840" s="495"/>
      <c r="M840" s="263"/>
      <c r="N840" s="263"/>
      <c r="O840" s="275" t="s">
        <v>36</v>
      </c>
      <c r="P840" s="486"/>
      <c r="Q840" s="486"/>
      <c r="R840" s="486"/>
      <c r="S840" s="486"/>
      <c r="T840" s="486"/>
      <c r="U840" s="486"/>
      <c r="V840" s="263"/>
      <c r="W840" s="267"/>
      <c r="X840" s="263"/>
    </row>
    <row r="841" spans="1:53" ht="69.95" customHeight="1">
      <c r="E841" s="264"/>
      <c r="F841" s="265"/>
      <c r="G841" s="263"/>
      <c r="H841" s="275" t="s">
        <v>37</v>
      </c>
      <c r="I841" s="486"/>
      <c r="J841" s="486"/>
      <c r="K841" s="486"/>
      <c r="L841" s="486"/>
      <c r="M841" s="263"/>
      <c r="N841" s="263"/>
      <c r="O841" s="275" t="s">
        <v>37</v>
      </c>
      <c r="P841" s="486"/>
      <c r="Q841" s="486"/>
      <c r="R841" s="486"/>
      <c r="S841" s="486"/>
      <c r="T841" s="486"/>
      <c r="U841" s="486"/>
      <c r="V841" s="263"/>
      <c r="W841" s="267"/>
      <c r="X841" s="263"/>
    </row>
    <row r="842" spans="1:53" ht="69.95" customHeight="1">
      <c r="E842" s="264"/>
      <c r="F842" s="265"/>
      <c r="G842" s="263"/>
      <c r="H842" s="275" t="s">
        <v>37</v>
      </c>
      <c r="I842" s="486"/>
      <c r="J842" s="486"/>
      <c r="K842" s="486"/>
      <c r="L842" s="486"/>
      <c r="M842" s="263"/>
      <c r="N842" s="263"/>
      <c r="O842" s="275" t="s">
        <v>37</v>
      </c>
      <c r="P842" s="486"/>
      <c r="Q842" s="486"/>
      <c r="R842" s="486"/>
      <c r="S842" s="486"/>
      <c r="T842" s="486"/>
      <c r="U842" s="486"/>
      <c r="V842" s="263"/>
      <c r="W842" s="267"/>
      <c r="X842" s="263"/>
    </row>
    <row r="843" spans="1:53" ht="39.950000000000003" customHeight="1" thickBot="1">
      <c r="E843" s="276"/>
      <c r="F843" s="277"/>
      <c r="G843" s="278"/>
      <c r="H843" s="278"/>
      <c r="I843" s="278"/>
      <c r="J843" s="278"/>
      <c r="K843" s="278"/>
      <c r="L843" s="278"/>
      <c r="M843" s="278"/>
      <c r="N843" s="278"/>
      <c r="O843" s="278"/>
      <c r="P843" s="278"/>
      <c r="Q843" s="278"/>
      <c r="R843" s="278"/>
      <c r="S843" s="278"/>
      <c r="T843" s="279"/>
      <c r="U843" s="279"/>
      <c r="V843" s="279"/>
      <c r="W843" s="280"/>
      <c r="X843" s="263"/>
    </row>
    <row r="844" spans="1:53" ht="62.25" thickBot="1">
      <c r="A844" s="252" t="s">
        <v>62</v>
      </c>
    </row>
    <row r="845" spans="1:53" ht="39.950000000000003" customHeight="1">
      <c r="A845" s="252" t="str">
        <f>CONCATENATE(F852,F854,F856)</f>
        <v>CHF1-2</v>
      </c>
      <c r="E845" s="259" t="s">
        <v>70</v>
      </c>
      <c r="F845" s="260">
        <f>VLOOKUP(A845,'zoznam zapasov'!$A$6:$K$77,3,0)</f>
        <v>43</v>
      </c>
      <c r="G845" s="261"/>
      <c r="H845" s="322" t="s">
        <v>501</v>
      </c>
      <c r="I845" s="261"/>
      <c r="J845" s="261"/>
      <c r="K845" s="261"/>
      <c r="L845" s="261"/>
      <c r="M845" s="261"/>
      <c r="N845" s="261"/>
      <c r="O845" s="261"/>
      <c r="P845" s="261"/>
      <c r="Q845" s="261"/>
      <c r="R845" s="261"/>
      <c r="S845" s="261"/>
      <c r="T845" s="261"/>
      <c r="U845" s="261"/>
      <c r="V845" s="261" t="s">
        <v>30</v>
      </c>
      <c r="W845" s="262"/>
      <c r="X845" s="263"/>
      <c r="Z845" s="258" t="str">
        <f>CONCATENATE(V847,":",V850)</f>
        <v>3:2</v>
      </c>
      <c r="AE845" s="253" t="s">
        <v>11</v>
      </c>
      <c r="AV845" s="256" t="str">
        <f>CONCATENATE(AN847,",",AO847,",",AP847,",",AQ847,",",AR847,",",AS847,",",AT847)</f>
        <v>-11,6,-7,6,8,,</v>
      </c>
    </row>
    <row r="846" spans="1:53" ht="39.950000000000003" customHeight="1">
      <c r="E846" s="264"/>
      <c r="F846" s="265"/>
      <c r="G846" s="321" t="s">
        <v>500</v>
      </c>
      <c r="H846" s="323" t="s">
        <v>502</v>
      </c>
      <c r="I846" s="263"/>
      <c r="J846" s="263"/>
      <c r="K846" s="263"/>
      <c r="L846" s="263"/>
      <c r="M846" s="263"/>
      <c r="N846" s="266">
        <v>1</v>
      </c>
      <c r="O846" s="266">
        <v>2</v>
      </c>
      <c r="P846" s="266">
        <v>3</v>
      </c>
      <c r="Q846" s="266">
        <v>4</v>
      </c>
      <c r="R846" s="266">
        <v>5</v>
      </c>
      <c r="S846" s="266">
        <v>6</v>
      </c>
      <c r="T846" s="266">
        <v>7</v>
      </c>
      <c r="U846" s="263"/>
      <c r="V846" s="266" t="s">
        <v>31</v>
      </c>
      <c r="W846" s="267"/>
      <c r="X846" s="263"/>
      <c r="AE846" s="253" t="s">
        <v>68</v>
      </c>
      <c r="AV846" s="256" t="str">
        <f>CONCATENATE(AN848,",",AO848,",",AP848,",",AQ848,",",AR848,",",AS848,",",AT848)</f>
        <v>11,-6,7,-6,-8,,</v>
      </c>
    </row>
    <row r="847" spans="1:53" ht="39.950000000000003" customHeight="1">
      <c r="A847" s="252" t="str">
        <f>CONCATENATE(F852,VLOOKUP(F854,$AZ$7:$BA$14,2,0),LEFT(F856,1))</f>
        <v>CH61</v>
      </c>
      <c r="E847" s="264" t="s">
        <v>29</v>
      </c>
      <c r="F847" s="265">
        <f>VLOOKUP(A845,'zoznam zapasov'!$A$6:$K$77,11,0)</f>
        <v>3</v>
      </c>
      <c r="G847" s="508"/>
      <c r="H847" s="495"/>
      <c r="I847" s="487" t="str">
        <f>IF(ISERROR(VLOOKUP(A847,vylosovanie!$A$8:$J$68,6,0))=TRUE,"",VLOOKUP(A847,vylosovanie!$A$8:$J$68,6,0))</f>
        <v>CYPRICH Samuel</v>
      </c>
      <c r="J847" s="487"/>
      <c r="K847" s="487"/>
      <c r="L847" s="487"/>
      <c r="M847" s="263"/>
      <c r="N847" s="489">
        <v>11</v>
      </c>
      <c r="O847" s="489">
        <v>11</v>
      </c>
      <c r="P847" s="489">
        <v>7</v>
      </c>
      <c r="Q847" s="489">
        <v>11</v>
      </c>
      <c r="R847" s="489">
        <v>11</v>
      </c>
      <c r="S847" s="489"/>
      <c r="T847" s="489"/>
      <c r="U847" s="263"/>
      <c r="V847" s="493">
        <f>IF(SUM(AF847:AL848)=0,"",SUM(AF847:AL847))</f>
        <v>3</v>
      </c>
      <c r="W847" s="267"/>
      <c r="X847" s="263"/>
      <c r="AE847" s="253" t="str">
        <f>VLOOKUP(I847,vylosovanie!$F$8:$L$190,7,0)</f>
        <v>CH61</v>
      </c>
      <c r="AF847" s="268">
        <f>IF(N847&gt;N850,1,0)</f>
        <v>0</v>
      </c>
      <c r="AG847" s="268">
        <f t="shared" ref="AG847" si="578">IF(O847&gt;O850,1,0)</f>
        <v>1</v>
      </c>
      <c r="AH847" s="268">
        <f t="shared" ref="AH847" si="579">IF(P847&gt;P850,1,0)</f>
        <v>0</v>
      </c>
      <c r="AI847" s="268">
        <f t="shared" ref="AI847" si="580">IF(Q847&gt;Q850,1,0)</f>
        <v>1</v>
      </c>
      <c r="AJ847" s="268">
        <f t="shared" ref="AJ847" si="581">IF(R847&gt;R850,1,0)</f>
        <v>1</v>
      </c>
      <c r="AK847" s="268">
        <f t="shared" ref="AK847" si="582">IF(S847&gt;S850,1,0)</f>
        <v>0</v>
      </c>
      <c r="AL847" s="268">
        <f t="shared" ref="AL847" si="583">IF(T847&gt;T850,1,0)</f>
        <v>0</v>
      </c>
      <c r="AN847" s="268">
        <f t="shared" ref="AN847:AT847" si="584">IF(ISBLANK(N847)=TRUE,"",IF(AF847=1,N850,-N847))</f>
        <v>-11</v>
      </c>
      <c r="AO847" s="268">
        <f t="shared" si="584"/>
        <v>6</v>
      </c>
      <c r="AP847" s="268">
        <f t="shared" si="584"/>
        <v>-7</v>
      </c>
      <c r="AQ847" s="268">
        <f t="shared" si="584"/>
        <v>6</v>
      </c>
      <c r="AR847" s="268">
        <f t="shared" si="584"/>
        <v>8</v>
      </c>
      <c r="AS847" s="268" t="str">
        <f t="shared" si="584"/>
        <v/>
      </c>
      <c r="AT847" s="268" t="str">
        <f t="shared" si="584"/>
        <v/>
      </c>
      <c r="AZ847" s="269" t="s">
        <v>12</v>
      </c>
      <c r="BA847" s="269">
        <v>1</v>
      </c>
    </row>
    <row r="848" spans="1:53" ht="39.950000000000003" customHeight="1">
      <c r="E848" s="264"/>
      <c r="F848" s="265"/>
      <c r="G848" s="509"/>
      <c r="H848" s="495"/>
      <c r="I848" s="487"/>
      <c r="J848" s="487"/>
      <c r="K848" s="487"/>
      <c r="L848" s="487"/>
      <c r="M848" s="263"/>
      <c r="N848" s="490"/>
      <c r="O848" s="490"/>
      <c r="P848" s="490"/>
      <c r="Q848" s="490"/>
      <c r="R848" s="490"/>
      <c r="S848" s="490"/>
      <c r="T848" s="490"/>
      <c r="U848" s="263"/>
      <c r="V848" s="493"/>
      <c r="W848" s="267"/>
      <c r="X848" s="263"/>
      <c r="AE848" s="253" t="str">
        <f>VLOOKUP(I850,vylosovanie!$F$8:$L$190,7,0)</f>
        <v>CH62</v>
      </c>
      <c r="AF848" s="268">
        <f>IF(N850&gt;N847,1,0)</f>
        <v>1</v>
      </c>
      <c r="AG848" s="268">
        <f t="shared" ref="AG848" si="585">IF(O850&gt;O847,1,0)</f>
        <v>0</v>
      </c>
      <c r="AH848" s="268">
        <f t="shared" ref="AH848" si="586">IF(P850&gt;P847,1,0)</f>
        <v>1</v>
      </c>
      <c r="AI848" s="268">
        <f t="shared" ref="AI848" si="587">IF(Q850&gt;Q847,1,0)</f>
        <v>0</v>
      </c>
      <c r="AJ848" s="268">
        <f t="shared" ref="AJ848" si="588">IF(R850&gt;R847,1,0)</f>
        <v>0</v>
      </c>
      <c r="AK848" s="268">
        <f t="shared" ref="AK848" si="589">IF(S850&gt;S847,1,0)</f>
        <v>0</v>
      </c>
      <c r="AL848" s="268">
        <f t="shared" ref="AL848" si="590">IF(T850&gt;T847,1,0)</f>
        <v>0</v>
      </c>
      <c r="AN848" s="268">
        <f t="shared" ref="AN848:AT848" si="591">IF(ISBLANK(N850)=TRUE,"",IF(AF848=1,N847,-N850))</f>
        <v>11</v>
      </c>
      <c r="AO848" s="268">
        <f t="shared" si="591"/>
        <v>-6</v>
      </c>
      <c r="AP848" s="268">
        <f t="shared" si="591"/>
        <v>7</v>
      </c>
      <c r="AQ848" s="268">
        <f t="shared" si="591"/>
        <v>-6</v>
      </c>
      <c r="AR848" s="268">
        <f t="shared" si="591"/>
        <v>-8</v>
      </c>
      <c r="AS848" s="268" t="str">
        <f t="shared" si="591"/>
        <v/>
      </c>
      <c r="AT848" s="268" t="str">
        <f t="shared" si="591"/>
        <v/>
      </c>
      <c r="AZ848" s="269" t="s">
        <v>18</v>
      </c>
      <c r="BA848" s="269">
        <v>2</v>
      </c>
    </row>
    <row r="849" spans="1:53" ht="39.950000000000003" customHeight="1">
      <c r="E849" s="264" t="s">
        <v>35</v>
      </c>
      <c r="F849" s="265" t="str">
        <f>VLOOKUP(A845,'zoznam zapasov'!$A$6:$K$77,9,0)</f>
        <v>So</v>
      </c>
      <c r="G849" s="263"/>
      <c r="H849" s="263"/>
      <c r="I849" s="263"/>
      <c r="J849" s="263"/>
      <c r="K849" s="263"/>
      <c r="L849" s="263"/>
      <c r="M849" s="263"/>
      <c r="N849" s="263"/>
      <c r="O849" s="263"/>
      <c r="P849" s="263"/>
      <c r="Q849" s="263"/>
      <c r="R849" s="263"/>
      <c r="S849" s="263"/>
      <c r="T849" s="263"/>
      <c r="U849" s="263"/>
      <c r="V849" s="263"/>
      <c r="W849" s="267"/>
      <c r="X849" s="263"/>
      <c r="AZ849" s="269" t="s">
        <v>38</v>
      </c>
      <c r="BA849" s="269">
        <v>3</v>
      </c>
    </row>
    <row r="850" spans="1:53" ht="39.950000000000003" customHeight="1">
      <c r="A850" s="252" t="str">
        <f>CONCATENATE(F852,VLOOKUP(F854,$AZ$7:$BA$14,2,0),RIGHT(F856,1))</f>
        <v>CH62</v>
      </c>
      <c r="E850" s="264" t="s">
        <v>28</v>
      </c>
      <c r="F850" s="270" t="str">
        <f>VLOOKUP(A845,'zoznam zapasov'!$A$6:$K$77,10,0)</f>
        <v>11.35</v>
      </c>
      <c r="G850" s="508"/>
      <c r="H850" s="486"/>
      <c r="I850" s="487" t="str">
        <f>IF(ISERROR(VLOOKUP(A850,vylosovanie!$A$8:$J$68,6,0))=TRUE,"",VLOOKUP(A850,vylosovanie!$A$8:$J$68,6,0))</f>
        <v>MILAN Martin</v>
      </c>
      <c r="J850" s="487"/>
      <c r="K850" s="487"/>
      <c r="L850" s="487"/>
      <c r="M850" s="263"/>
      <c r="N850" s="489">
        <v>13</v>
      </c>
      <c r="O850" s="489">
        <v>6</v>
      </c>
      <c r="P850" s="489">
        <v>11</v>
      </c>
      <c r="Q850" s="489">
        <v>6</v>
      </c>
      <c r="R850" s="489">
        <v>8</v>
      </c>
      <c r="S850" s="489"/>
      <c r="T850" s="489"/>
      <c r="U850" s="263"/>
      <c r="V850" s="493">
        <f>IF(SUM(AF847:AL848)=0,"",SUM(AF848:AL848))</f>
        <v>2</v>
      </c>
      <c r="W850" s="267"/>
      <c r="X850" s="263"/>
      <c r="AZ850" s="269" t="s">
        <v>39</v>
      </c>
      <c r="BA850" s="269">
        <v>4</v>
      </c>
    </row>
    <row r="851" spans="1:53" ht="39.950000000000003" customHeight="1">
      <c r="E851" s="271"/>
      <c r="F851" s="272"/>
      <c r="G851" s="509"/>
      <c r="H851" s="486"/>
      <c r="I851" s="487"/>
      <c r="J851" s="487"/>
      <c r="K851" s="487"/>
      <c r="L851" s="487"/>
      <c r="M851" s="263"/>
      <c r="N851" s="490"/>
      <c r="O851" s="490"/>
      <c r="P851" s="490"/>
      <c r="Q851" s="490"/>
      <c r="R851" s="490"/>
      <c r="S851" s="490"/>
      <c r="T851" s="490"/>
      <c r="U851" s="263"/>
      <c r="V851" s="493"/>
      <c r="W851" s="267"/>
      <c r="X851" s="263"/>
      <c r="AZ851" s="269" t="s">
        <v>40</v>
      </c>
      <c r="BA851" s="269">
        <v>5</v>
      </c>
    </row>
    <row r="852" spans="1:53" ht="39.950000000000003" customHeight="1">
      <c r="E852" s="264" t="s">
        <v>66</v>
      </c>
      <c r="F852" s="265" t="s">
        <v>65</v>
      </c>
      <c r="G852" s="263"/>
      <c r="H852" s="263"/>
      <c r="I852" s="263"/>
      <c r="J852" s="263"/>
      <c r="K852" s="263"/>
      <c r="L852" s="263"/>
      <c r="M852" s="263"/>
      <c r="N852" s="263"/>
      <c r="O852" s="263"/>
      <c r="P852" s="263"/>
      <c r="Q852" s="263"/>
      <c r="R852" s="263"/>
      <c r="S852" s="263"/>
      <c r="T852" s="263"/>
      <c r="U852" s="263"/>
      <c r="V852" s="263"/>
      <c r="W852" s="267"/>
      <c r="X852" s="263"/>
      <c r="AZ852" s="269" t="s">
        <v>41</v>
      </c>
      <c r="BA852" s="269">
        <v>6</v>
      </c>
    </row>
    <row r="853" spans="1:53" ht="39.950000000000003" customHeight="1">
      <c r="E853" s="271"/>
      <c r="F853" s="272"/>
      <c r="G853" s="263"/>
      <c r="H853" s="263"/>
      <c r="I853" s="263" t="s">
        <v>32</v>
      </c>
      <c r="J853" s="263"/>
      <c r="K853" s="263"/>
      <c r="L853" s="263"/>
      <c r="M853" s="263"/>
      <c r="N853" s="273"/>
      <c r="O853" s="266"/>
      <c r="P853" s="266" t="s">
        <v>34</v>
      </c>
      <c r="Q853" s="266"/>
      <c r="R853" s="266"/>
      <c r="S853" s="266"/>
      <c r="T853" s="266"/>
      <c r="U853" s="263"/>
      <c r="V853" s="263"/>
      <c r="W853" s="267"/>
      <c r="X853" s="263"/>
      <c r="AZ853" s="269" t="s">
        <v>42</v>
      </c>
      <c r="BA853" s="269">
        <v>7</v>
      </c>
    </row>
    <row r="854" spans="1:53" ht="39.950000000000003" customHeight="1">
      <c r="E854" s="264" t="s">
        <v>26</v>
      </c>
      <c r="F854" s="265" t="s">
        <v>41</v>
      </c>
      <c r="G854" s="263"/>
      <c r="H854" s="263"/>
      <c r="I854" s="486"/>
      <c r="J854" s="486"/>
      <c r="K854" s="486"/>
      <c r="L854" s="486"/>
      <c r="M854" s="263"/>
      <c r="N854" s="486" t="str">
        <f>IF(V847&gt;V850,I847,IF(V850&gt;V847,I850,""))</f>
        <v>CYPRICH Samuel</v>
      </c>
      <c r="O854" s="486"/>
      <c r="P854" s="486"/>
      <c r="Q854" s="486"/>
      <c r="R854" s="486"/>
      <c r="S854" s="486"/>
      <c r="T854" s="263"/>
      <c r="U854" s="263"/>
      <c r="V854" s="263"/>
      <c r="W854" s="267"/>
      <c r="X854" s="263"/>
      <c r="AZ854" s="269" t="s">
        <v>43</v>
      </c>
      <c r="BA854" s="269">
        <v>8</v>
      </c>
    </row>
    <row r="855" spans="1:53" ht="39.950000000000003" customHeight="1">
      <c r="E855" s="271"/>
      <c r="F855" s="272"/>
      <c r="G855" s="263"/>
      <c r="H855" s="263"/>
      <c r="I855" s="486"/>
      <c r="J855" s="486"/>
      <c r="K855" s="486"/>
      <c r="L855" s="486"/>
      <c r="M855" s="263"/>
      <c r="N855" s="486"/>
      <c r="O855" s="486"/>
      <c r="P855" s="486"/>
      <c r="Q855" s="486"/>
      <c r="R855" s="486"/>
      <c r="S855" s="486"/>
      <c r="T855" s="263"/>
      <c r="U855" s="263"/>
      <c r="V855" s="263"/>
      <c r="W855" s="267"/>
      <c r="X855" s="263"/>
    </row>
    <row r="856" spans="1:53" ht="39.950000000000003" customHeight="1">
      <c r="E856" s="264" t="s">
        <v>27</v>
      </c>
      <c r="F856" s="274" t="s">
        <v>22</v>
      </c>
      <c r="G856" s="263"/>
      <c r="H856" s="263"/>
      <c r="I856" s="263"/>
      <c r="J856" s="263"/>
      <c r="K856" s="263"/>
      <c r="L856" s="263"/>
      <c r="M856" s="263"/>
      <c r="N856" s="263"/>
      <c r="O856" s="263"/>
      <c r="P856" s="263"/>
      <c r="Q856" s="263"/>
      <c r="R856" s="263"/>
      <c r="S856" s="263"/>
      <c r="T856" s="263"/>
      <c r="U856" s="263"/>
      <c r="V856" s="263"/>
      <c r="W856" s="267"/>
      <c r="X856" s="263"/>
    </row>
    <row r="857" spans="1:53" ht="39.950000000000003" customHeight="1">
      <c r="E857" s="271"/>
      <c r="F857" s="272"/>
      <c r="G857" s="263"/>
      <c r="H857" s="263" t="s">
        <v>33</v>
      </c>
      <c r="I857" s="263"/>
      <c r="J857" s="263"/>
      <c r="K857" s="263"/>
      <c r="L857" s="263"/>
      <c r="M857" s="263"/>
      <c r="N857" s="263"/>
      <c r="O857" s="263"/>
      <c r="P857" s="263"/>
      <c r="Q857" s="263"/>
      <c r="R857" s="263"/>
      <c r="S857" s="263"/>
      <c r="T857" s="263"/>
      <c r="U857" s="263"/>
      <c r="V857" s="263"/>
      <c r="W857" s="267"/>
      <c r="X857" s="263"/>
    </row>
    <row r="858" spans="1:53" ht="39.950000000000003" customHeight="1">
      <c r="E858" s="271"/>
      <c r="F858" s="272"/>
      <c r="G858" s="263"/>
      <c r="H858" s="263"/>
      <c r="I858" s="263"/>
      <c r="J858" s="263"/>
      <c r="K858" s="263"/>
      <c r="L858" s="263"/>
      <c r="M858" s="263"/>
      <c r="N858" s="263"/>
      <c r="O858" s="263"/>
      <c r="P858" s="263"/>
      <c r="Q858" s="263"/>
      <c r="R858" s="263"/>
      <c r="S858" s="263"/>
      <c r="T858" s="263"/>
      <c r="U858" s="263"/>
      <c r="V858" s="263"/>
      <c r="W858" s="267"/>
      <c r="X858" s="263"/>
    </row>
    <row r="859" spans="1:53" ht="39.950000000000003" customHeight="1">
      <c r="E859" s="271"/>
      <c r="F859" s="272"/>
      <c r="G859" s="263"/>
      <c r="H859" s="263"/>
      <c r="I859" s="496" t="str">
        <f>I847</f>
        <v>CYPRICH Samuel</v>
      </c>
      <c r="J859" s="496"/>
      <c r="K859" s="496"/>
      <c r="L859" s="496"/>
      <c r="M859" s="263"/>
      <c r="N859" s="263"/>
      <c r="O859" s="263"/>
      <c r="P859" s="496" t="str">
        <f>I850</f>
        <v>MILAN Martin</v>
      </c>
      <c r="Q859" s="496"/>
      <c r="R859" s="496"/>
      <c r="S859" s="496"/>
      <c r="T859" s="497"/>
      <c r="U859" s="497"/>
      <c r="V859" s="263"/>
      <c r="W859" s="267"/>
      <c r="X859" s="263"/>
    </row>
    <row r="860" spans="1:53" ht="69.95" customHeight="1">
      <c r="E860" s="264"/>
      <c r="F860" s="265"/>
      <c r="G860" s="263"/>
      <c r="H860" s="275" t="s">
        <v>36</v>
      </c>
      <c r="I860" s="483"/>
      <c r="J860" s="494"/>
      <c r="K860" s="494"/>
      <c r="L860" s="495"/>
      <c r="M860" s="263"/>
      <c r="N860" s="263"/>
      <c r="O860" s="275" t="s">
        <v>36</v>
      </c>
      <c r="P860" s="486"/>
      <c r="Q860" s="486"/>
      <c r="R860" s="486"/>
      <c r="S860" s="486"/>
      <c r="T860" s="486"/>
      <c r="U860" s="486"/>
      <c r="V860" s="263"/>
      <c r="W860" s="267"/>
      <c r="X860" s="263"/>
    </row>
    <row r="861" spans="1:53" ht="69.95" customHeight="1">
      <c r="E861" s="264"/>
      <c r="F861" s="265"/>
      <c r="G861" s="263"/>
      <c r="H861" s="275" t="s">
        <v>37</v>
      </c>
      <c r="I861" s="486"/>
      <c r="J861" s="486"/>
      <c r="K861" s="486"/>
      <c r="L861" s="486"/>
      <c r="M861" s="263"/>
      <c r="N861" s="263"/>
      <c r="O861" s="275" t="s">
        <v>37</v>
      </c>
      <c r="P861" s="486"/>
      <c r="Q861" s="486"/>
      <c r="R861" s="486"/>
      <c r="S861" s="486"/>
      <c r="T861" s="486"/>
      <c r="U861" s="486"/>
      <c r="V861" s="263"/>
      <c r="W861" s="267"/>
      <c r="X861" s="263"/>
    </row>
    <row r="862" spans="1:53" ht="69.95" customHeight="1">
      <c r="E862" s="264"/>
      <c r="F862" s="265"/>
      <c r="G862" s="263"/>
      <c r="H862" s="275" t="s">
        <v>37</v>
      </c>
      <c r="I862" s="486"/>
      <c r="J862" s="486"/>
      <c r="K862" s="486"/>
      <c r="L862" s="486"/>
      <c r="M862" s="263"/>
      <c r="N862" s="263"/>
      <c r="O862" s="275" t="s">
        <v>37</v>
      </c>
      <c r="P862" s="486"/>
      <c r="Q862" s="486"/>
      <c r="R862" s="486"/>
      <c r="S862" s="486"/>
      <c r="T862" s="486"/>
      <c r="U862" s="486"/>
      <c r="V862" s="263"/>
      <c r="W862" s="267"/>
      <c r="X862" s="263"/>
    </row>
    <row r="863" spans="1:53" ht="39.950000000000003" customHeight="1" thickBot="1">
      <c r="E863" s="276"/>
      <c r="F863" s="277"/>
      <c r="G863" s="278"/>
      <c r="H863" s="278"/>
      <c r="I863" s="278"/>
      <c r="J863" s="278"/>
      <c r="K863" s="278"/>
      <c r="L863" s="278"/>
      <c r="M863" s="278"/>
      <c r="N863" s="278"/>
      <c r="O863" s="278"/>
      <c r="P863" s="278"/>
      <c r="Q863" s="278"/>
      <c r="R863" s="278"/>
      <c r="S863" s="278"/>
      <c r="T863" s="279"/>
      <c r="U863" s="279"/>
      <c r="V863" s="279"/>
      <c r="W863" s="280"/>
      <c r="X863" s="263"/>
    </row>
    <row r="864" spans="1:53" ht="62.25" thickBot="1"/>
    <row r="865" spans="1:53" ht="39.950000000000003" customHeight="1">
      <c r="A865" s="252" t="str">
        <f>CONCATENATE(F872,F874,F876)</f>
        <v>CHF3-4</v>
      </c>
      <c r="E865" s="259" t="s">
        <v>70</v>
      </c>
      <c r="F865" s="260">
        <f>VLOOKUP(A865,'zoznam zapasov'!$A$6:$K$77,3,0)</f>
        <v>44</v>
      </c>
      <c r="G865" s="261"/>
      <c r="H865" s="322" t="s">
        <v>501</v>
      </c>
      <c r="I865" s="261"/>
      <c r="J865" s="261"/>
      <c r="K865" s="261"/>
      <c r="L865" s="261"/>
      <c r="M865" s="261"/>
      <c r="N865" s="261"/>
      <c r="O865" s="261"/>
      <c r="P865" s="261"/>
      <c r="Q865" s="261"/>
      <c r="R865" s="261"/>
      <c r="S865" s="261"/>
      <c r="T865" s="261"/>
      <c r="U865" s="261"/>
      <c r="V865" s="261" t="s">
        <v>30</v>
      </c>
      <c r="W865" s="262"/>
      <c r="X865" s="263"/>
      <c r="Z865" s="258" t="str">
        <f>CONCATENATE(V867,":",V870)</f>
        <v>3:0</v>
      </c>
      <c r="AE865" s="253" t="s">
        <v>11</v>
      </c>
      <c r="AV865" s="256" t="str">
        <f>CONCATENATE(AN867,",",AO867,",",AP867,",",AQ867,",",AR867,",",AS867,",",AT867)</f>
        <v>7,10,5,,,,</v>
      </c>
    </row>
    <row r="866" spans="1:53" ht="39.950000000000003" customHeight="1">
      <c r="E866" s="264"/>
      <c r="F866" s="265"/>
      <c r="G866" s="321" t="s">
        <v>500</v>
      </c>
      <c r="H866" s="323" t="s">
        <v>502</v>
      </c>
      <c r="I866" s="263"/>
      <c r="J866" s="263"/>
      <c r="K866" s="263"/>
      <c r="L866" s="263"/>
      <c r="M866" s="263"/>
      <c r="N866" s="266">
        <v>1</v>
      </c>
      <c r="O866" s="266">
        <v>2</v>
      </c>
      <c r="P866" s="266">
        <v>3</v>
      </c>
      <c r="Q866" s="266">
        <v>4</v>
      </c>
      <c r="R866" s="266">
        <v>5</v>
      </c>
      <c r="S866" s="266">
        <v>6</v>
      </c>
      <c r="T866" s="266">
        <v>7</v>
      </c>
      <c r="U866" s="263"/>
      <c r="V866" s="266" t="s">
        <v>31</v>
      </c>
      <c r="W866" s="267"/>
      <c r="X866" s="263"/>
      <c r="AE866" s="253" t="s">
        <v>68</v>
      </c>
      <c r="AV866" s="256" t="str">
        <f>CONCATENATE(AN868,",",AO868,",",AP868,",",AQ868,",",AR868,",",AS868,",",AT868)</f>
        <v>-7,-10,-5,,,,</v>
      </c>
    </row>
    <row r="867" spans="1:53" ht="39.950000000000003" customHeight="1">
      <c r="A867" s="252" t="str">
        <f>CONCATENATE(F872,VLOOKUP(F874,$AZ$7:$BA$14,2,0),LEFT(F876,1))</f>
        <v>CH63</v>
      </c>
      <c r="E867" s="264" t="s">
        <v>29</v>
      </c>
      <c r="F867" s="265">
        <f>VLOOKUP(A865,'zoznam zapasov'!$A$6:$K$77,11,0)</f>
        <v>4</v>
      </c>
      <c r="G867" s="508"/>
      <c r="H867" s="495"/>
      <c r="I867" s="487" t="str">
        <f>IF(ISERROR(VLOOKUP(A867,vylosovanie!$A$8:$J$68,6,0))=TRUE,"",VLOOKUP(A867,vylosovanie!$A$8:$J$68,6,0))</f>
        <v>PACH Kamil</v>
      </c>
      <c r="J867" s="487"/>
      <c r="K867" s="487"/>
      <c r="L867" s="487"/>
      <c r="M867" s="263"/>
      <c r="N867" s="489">
        <v>11</v>
      </c>
      <c r="O867" s="489">
        <v>12</v>
      </c>
      <c r="P867" s="489">
        <v>11</v>
      </c>
      <c r="Q867" s="489"/>
      <c r="R867" s="489"/>
      <c r="S867" s="489"/>
      <c r="T867" s="489"/>
      <c r="U867" s="263"/>
      <c r="V867" s="493">
        <f>IF(SUM(AF867:AL868)=0,"",SUM(AF867:AL867))</f>
        <v>3</v>
      </c>
      <c r="W867" s="267"/>
      <c r="X867" s="263"/>
      <c r="AE867" s="253" t="str">
        <f>VLOOKUP(I867,vylosovanie!$F$8:$L$190,7,0)</f>
        <v>CH63</v>
      </c>
      <c r="AF867" s="268">
        <f>IF(N867&gt;N870,1,0)</f>
        <v>1</v>
      </c>
      <c r="AG867" s="268">
        <f t="shared" ref="AG867" si="592">IF(O867&gt;O870,1,0)</f>
        <v>1</v>
      </c>
      <c r="AH867" s="268">
        <f t="shared" ref="AH867" si="593">IF(P867&gt;P870,1,0)</f>
        <v>1</v>
      </c>
      <c r="AI867" s="268">
        <f t="shared" ref="AI867" si="594">IF(Q867&gt;Q870,1,0)</f>
        <v>0</v>
      </c>
      <c r="AJ867" s="268">
        <f t="shared" ref="AJ867" si="595">IF(R867&gt;R870,1,0)</f>
        <v>0</v>
      </c>
      <c r="AK867" s="268">
        <f t="shared" ref="AK867" si="596">IF(S867&gt;S870,1,0)</f>
        <v>0</v>
      </c>
      <c r="AL867" s="268">
        <f t="shared" ref="AL867" si="597">IF(T867&gt;T870,1,0)</f>
        <v>0</v>
      </c>
      <c r="AN867" s="268">
        <f t="shared" ref="AN867:AT867" si="598">IF(ISBLANK(N867)=TRUE,"",IF(AF867=1,N870,-N867))</f>
        <v>7</v>
      </c>
      <c r="AO867" s="268">
        <f t="shared" si="598"/>
        <v>10</v>
      </c>
      <c r="AP867" s="268">
        <f t="shared" si="598"/>
        <v>5</v>
      </c>
      <c r="AQ867" s="268" t="str">
        <f t="shared" si="598"/>
        <v/>
      </c>
      <c r="AR867" s="268" t="str">
        <f t="shared" si="598"/>
        <v/>
      </c>
      <c r="AS867" s="268" t="str">
        <f t="shared" si="598"/>
        <v/>
      </c>
      <c r="AT867" s="268" t="str">
        <f t="shared" si="598"/>
        <v/>
      </c>
      <c r="AZ867" s="269" t="s">
        <v>12</v>
      </c>
      <c r="BA867" s="269">
        <v>1</v>
      </c>
    </row>
    <row r="868" spans="1:53" ht="39.950000000000003" customHeight="1">
      <c r="E868" s="264"/>
      <c r="F868" s="265"/>
      <c r="G868" s="509"/>
      <c r="H868" s="495"/>
      <c r="I868" s="487"/>
      <c r="J868" s="487"/>
      <c r="K868" s="487"/>
      <c r="L868" s="487"/>
      <c r="M868" s="263"/>
      <c r="N868" s="490"/>
      <c r="O868" s="490"/>
      <c r="P868" s="490"/>
      <c r="Q868" s="490"/>
      <c r="R868" s="490"/>
      <c r="S868" s="490"/>
      <c r="T868" s="490"/>
      <c r="U868" s="263"/>
      <c r="V868" s="493"/>
      <c r="W868" s="267"/>
      <c r="X868" s="263"/>
      <c r="AE868" s="253" t="str">
        <f>VLOOKUP(I870,vylosovanie!$F$8:$L$190,7,0)</f>
        <v>CH64</v>
      </c>
      <c r="AF868" s="268">
        <f>IF(N870&gt;N867,1,0)</f>
        <v>0</v>
      </c>
      <c r="AG868" s="268">
        <f t="shared" ref="AG868" si="599">IF(O870&gt;O867,1,0)</f>
        <v>0</v>
      </c>
      <c r="AH868" s="268">
        <f t="shared" ref="AH868" si="600">IF(P870&gt;P867,1,0)</f>
        <v>0</v>
      </c>
      <c r="AI868" s="268">
        <f t="shared" ref="AI868" si="601">IF(Q870&gt;Q867,1,0)</f>
        <v>0</v>
      </c>
      <c r="AJ868" s="268">
        <f t="shared" ref="AJ868" si="602">IF(R870&gt;R867,1,0)</f>
        <v>0</v>
      </c>
      <c r="AK868" s="268">
        <f t="shared" ref="AK868" si="603">IF(S870&gt;S867,1,0)</f>
        <v>0</v>
      </c>
      <c r="AL868" s="268">
        <f t="shared" ref="AL868" si="604">IF(T870&gt;T867,1,0)</f>
        <v>0</v>
      </c>
      <c r="AN868" s="268">
        <f t="shared" ref="AN868:AT868" si="605">IF(ISBLANK(N870)=TRUE,"",IF(AF868=1,N867,-N870))</f>
        <v>-7</v>
      </c>
      <c r="AO868" s="268">
        <f t="shared" si="605"/>
        <v>-10</v>
      </c>
      <c r="AP868" s="268">
        <f t="shared" si="605"/>
        <v>-5</v>
      </c>
      <c r="AQ868" s="268" t="str">
        <f t="shared" si="605"/>
        <v/>
      </c>
      <c r="AR868" s="268" t="str">
        <f t="shared" si="605"/>
        <v/>
      </c>
      <c r="AS868" s="268" t="str">
        <f t="shared" si="605"/>
        <v/>
      </c>
      <c r="AT868" s="268" t="str">
        <f t="shared" si="605"/>
        <v/>
      </c>
      <c r="AZ868" s="269" t="s">
        <v>18</v>
      </c>
      <c r="BA868" s="269">
        <v>2</v>
      </c>
    </row>
    <row r="869" spans="1:53" ht="39.950000000000003" customHeight="1">
      <c r="E869" s="264" t="s">
        <v>35</v>
      </c>
      <c r="F869" s="265" t="str">
        <f>VLOOKUP(A865,'zoznam zapasov'!$A$6:$K$77,9,0)</f>
        <v>So</v>
      </c>
      <c r="G869" s="263"/>
      <c r="H869" s="263"/>
      <c r="I869" s="263"/>
      <c r="J869" s="263"/>
      <c r="K869" s="263"/>
      <c r="L869" s="263"/>
      <c r="M869" s="263"/>
      <c r="N869" s="263"/>
      <c r="O869" s="263"/>
      <c r="P869" s="263"/>
      <c r="Q869" s="263"/>
      <c r="R869" s="263"/>
      <c r="S869" s="263"/>
      <c r="T869" s="263"/>
      <c r="U869" s="263"/>
      <c r="V869" s="263"/>
      <c r="W869" s="267"/>
      <c r="X869" s="263"/>
      <c r="AZ869" s="269" t="s">
        <v>38</v>
      </c>
      <c r="BA869" s="269">
        <v>3</v>
      </c>
    </row>
    <row r="870" spans="1:53" ht="39.950000000000003" customHeight="1">
      <c r="A870" s="252" t="str">
        <f>CONCATENATE(F872,VLOOKUP(F874,$AZ$7:$BA$14,2,0),RIGHT(F876,1))</f>
        <v>CH64</v>
      </c>
      <c r="E870" s="264" t="s">
        <v>28</v>
      </c>
      <c r="F870" s="270" t="str">
        <f>VLOOKUP(A865,'zoznam zapasov'!$A$6:$K$77,10,0)</f>
        <v>11.35</v>
      </c>
      <c r="G870" s="508"/>
      <c r="H870" s="486"/>
      <c r="I870" s="487" t="str">
        <f>IF(ISERROR(VLOOKUP(A870,vylosovanie!$A$8:$J$68,6,0))=TRUE,"",VLOOKUP(A870,vylosovanie!$A$8:$J$68,6,0))</f>
        <v>KALINKA Timotej</v>
      </c>
      <c r="J870" s="487"/>
      <c r="K870" s="487"/>
      <c r="L870" s="487"/>
      <c r="M870" s="263"/>
      <c r="N870" s="489">
        <v>7</v>
      </c>
      <c r="O870" s="489">
        <v>10</v>
      </c>
      <c r="P870" s="489">
        <v>5</v>
      </c>
      <c r="Q870" s="489"/>
      <c r="R870" s="489"/>
      <c r="S870" s="489"/>
      <c r="T870" s="489"/>
      <c r="U870" s="263"/>
      <c r="V870" s="493">
        <f>IF(SUM(AF867:AL868)=0,"",SUM(AF868:AL868))</f>
        <v>0</v>
      </c>
      <c r="W870" s="267"/>
      <c r="X870" s="263"/>
      <c r="AZ870" s="269" t="s">
        <v>39</v>
      </c>
      <c r="BA870" s="269">
        <v>4</v>
      </c>
    </row>
    <row r="871" spans="1:53" ht="39.950000000000003" customHeight="1">
      <c r="E871" s="271"/>
      <c r="F871" s="272"/>
      <c r="G871" s="509"/>
      <c r="H871" s="486"/>
      <c r="I871" s="487"/>
      <c r="J871" s="487"/>
      <c r="K871" s="487"/>
      <c r="L871" s="487"/>
      <c r="M871" s="263"/>
      <c r="N871" s="490"/>
      <c r="O871" s="490"/>
      <c r="P871" s="490"/>
      <c r="Q871" s="490"/>
      <c r="R871" s="490"/>
      <c r="S871" s="490"/>
      <c r="T871" s="490"/>
      <c r="U871" s="263"/>
      <c r="V871" s="493"/>
      <c r="W871" s="267"/>
      <c r="X871" s="263"/>
      <c r="AZ871" s="269" t="s">
        <v>40</v>
      </c>
      <c r="BA871" s="269">
        <v>5</v>
      </c>
    </row>
    <row r="872" spans="1:53" ht="39.950000000000003" customHeight="1">
      <c r="E872" s="264" t="s">
        <v>66</v>
      </c>
      <c r="F872" s="265" t="s">
        <v>65</v>
      </c>
      <c r="G872" s="263"/>
      <c r="H872" s="263"/>
      <c r="I872" s="263"/>
      <c r="J872" s="263"/>
      <c r="K872" s="263"/>
      <c r="L872" s="263"/>
      <c r="M872" s="263"/>
      <c r="N872" s="263"/>
      <c r="O872" s="263"/>
      <c r="P872" s="263"/>
      <c r="Q872" s="263"/>
      <c r="R872" s="263"/>
      <c r="S872" s="263"/>
      <c r="T872" s="263"/>
      <c r="U872" s="263"/>
      <c r="V872" s="263"/>
      <c r="W872" s="267"/>
      <c r="X872" s="263"/>
      <c r="AZ872" s="269" t="s">
        <v>41</v>
      </c>
      <c r="BA872" s="269">
        <v>6</v>
      </c>
    </row>
    <row r="873" spans="1:53" ht="39.950000000000003" customHeight="1">
      <c r="E873" s="271"/>
      <c r="F873" s="272"/>
      <c r="G873" s="263"/>
      <c r="H873" s="263"/>
      <c r="I873" s="263" t="s">
        <v>32</v>
      </c>
      <c r="J873" s="263"/>
      <c r="K873" s="263"/>
      <c r="L873" s="263"/>
      <c r="M873" s="263"/>
      <c r="N873" s="273"/>
      <c r="O873" s="266"/>
      <c r="P873" s="266" t="s">
        <v>34</v>
      </c>
      <c r="Q873" s="266"/>
      <c r="R873" s="266"/>
      <c r="S873" s="266"/>
      <c r="T873" s="266"/>
      <c r="U873" s="263"/>
      <c r="V873" s="263"/>
      <c r="W873" s="267"/>
      <c r="X873" s="263"/>
      <c r="AZ873" s="269" t="s">
        <v>42</v>
      </c>
      <c r="BA873" s="269">
        <v>7</v>
      </c>
    </row>
    <row r="874" spans="1:53" ht="39.950000000000003" customHeight="1">
      <c r="E874" s="264" t="s">
        <v>26</v>
      </c>
      <c r="F874" s="265" t="s">
        <v>41</v>
      </c>
      <c r="G874" s="263"/>
      <c r="H874" s="263"/>
      <c r="I874" s="486"/>
      <c r="J874" s="486"/>
      <c r="K874" s="486"/>
      <c r="L874" s="486"/>
      <c r="M874" s="263"/>
      <c r="N874" s="486" t="str">
        <f>IF(V867&gt;V870,I867,IF(V870&gt;V867,I870,""))</f>
        <v>PACH Kamil</v>
      </c>
      <c r="O874" s="486"/>
      <c r="P874" s="486"/>
      <c r="Q874" s="486"/>
      <c r="R874" s="486"/>
      <c r="S874" s="486"/>
      <c r="T874" s="263"/>
      <c r="U874" s="263"/>
      <c r="V874" s="263"/>
      <c r="W874" s="267"/>
      <c r="X874" s="263"/>
      <c r="AZ874" s="269" t="s">
        <v>43</v>
      </c>
      <c r="BA874" s="269">
        <v>8</v>
      </c>
    </row>
    <row r="875" spans="1:53" ht="39.950000000000003" customHeight="1">
      <c r="E875" s="271"/>
      <c r="F875" s="272"/>
      <c r="G875" s="263"/>
      <c r="H875" s="263"/>
      <c r="I875" s="486"/>
      <c r="J875" s="486"/>
      <c r="K875" s="486"/>
      <c r="L875" s="486"/>
      <c r="M875" s="263"/>
      <c r="N875" s="486"/>
      <c r="O875" s="486"/>
      <c r="P875" s="486"/>
      <c r="Q875" s="486"/>
      <c r="R875" s="486"/>
      <c r="S875" s="486"/>
      <c r="T875" s="263"/>
      <c r="U875" s="263"/>
      <c r="V875" s="263"/>
      <c r="W875" s="267"/>
      <c r="X875" s="263"/>
    </row>
    <row r="876" spans="1:53" ht="39.950000000000003" customHeight="1">
      <c r="E876" s="264" t="s">
        <v>27</v>
      </c>
      <c r="F876" s="274" t="s">
        <v>23</v>
      </c>
      <c r="G876" s="263"/>
      <c r="H876" s="263"/>
      <c r="I876" s="263"/>
      <c r="J876" s="263"/>
      <c r="K876" s="263"/>
      <c r="L876" s="263"/>
      <c r="M876" s="263"/>
      <c r="N876" s="263"/>
      <c r="O876" s="263"/>
      <c r="P876" s="263"/>
      <c r="Q876" s="263"/>
      <c r="R876" s="263"/>
      <c r="S876" s="263"/>
      <c r="T876" s="263"/>
      <c r="U876" s="263"/>
      <c r="V876" s="263"/>
      <c r="W876" s="267"/>
      <c r="X876" s="263"/>
    </row>
    <row r="877" spans="1:53" ht="39.950000000000003" customHeight="1">
      <c r="E877" s="271"/>
      <c r="F877" s="272"/>
      <c r="G877" s="263"/>
      <c r="H877" s="263" t="s">
        <v>33</v>
      </c>
      <c r="I877" s="263"/>
      <c r="J877" s="263"/>
      <c r="K877" s="263"/>
      <c r="L877" s="263"/>
      <c r="M877" s="263"/>
      <c r="N877" s="263"/>
      <c r="O877" s="263"/>
      <c r="P877" s="263"/>
      <c r="Q877" s="263"/>
      <c r="R877" s="263"/>
      <c r="S877" s="263"/>
      <c r="T877" s="263"/>
      <c r="U877" s="263"/>
      <c r="V877" s="263"/>
      <c r="W877" s="267"/>
      <c r="X877" s="263"/>
    </row>
    <row r="878" spans="1:53" ht="39.950000000000003" customHeight="1">
      <c r="E878" s="271"/>
      <c r="F878" s="272"/>
      <c r="G878" s="263"/>
      <c r="H878" s="263"/>
      <c r="I878" s="263"/>
      <c r="J878" s="263"/>
      <c r="K878" s="263"/>
      <c r="L878" s="263"/>
      <c r="M878" s="263"/>
      <c r="N878" s="263"/>
      <c r="O878" s="263"/>
      <c r="P878" s="263"/>
      <c r="Q878" s="263"/>
      <c r="R878" s="263"/>
      <c r="S878" s="263"/>
      <c r="T878" s="263"/>
      <c r="U878" s="263"/>
      <c r="V878" s="263"/>
      <c r="W878" s="267"/>
      <c r="X878" s="263"/>
    </row>
    <row r="879" spans="1:53" ht="39.950000000000003" customHeight="1">
      <c r="E879" s="271"/>
      <c r="F879" s="272"/>
      <c r="G879" s="263"/>
      <c r="H879" s="263"/>
      <c r="I879" s="496" t="str">
        <f>I867</f>
        <v>PACH Kamil</v>
      </c>
      <c r="J879" s="496"/>
      <c r="K879" s="496"/>
      <c r="L879" s="496"/>
      <c r="M879" s="263"/>
      <c r="N879" s="263"/>
      <c r="O879" s="263"/>
      <c r="P879" s="496" t="str">
        <f>I870</f>
        <v>KALINKA Timotej</v>
      </c>
      <c r="Q879" s="496"/>
      <c r="R879" s="496"/>
      <c r="S879" s="496"/>
      <c r="T879" s="497"/>
      <c r="U879" s="497"/>
      <c r="V879" s="263"/>
      <c r="W879" s="267"/>
      <c r="X879" s="263"/>
    </row>
    <row r="880" spans="1:53" ht="69.95" customHeight="1">
      <c r="E880" s="264"/>
      <c r="F880" s="265"/>
      <c r="G880" s="263"/>
      <c r="H880" s="275" t="s">
        <v>36</v>
      </c>
      <c r="I880" s="483"/>
      <c r="J880" s="494"/>
      <c r="K880" s="494"/>
      <c r="L880" s="495"/>
      <c r="M880" s="263"/>
      <c r="N880" s="263"/>
      <c r="O880" s="275" t="s">
        <v>36</v>
      </c>
      <c r="P880" s="486"/>
      <c r="Q880" s="486"/>
      <c r="R880" s="486"/>
      <c r="S880" s="486"/>
      <c r="T880" s="486"/>
      <c r="U880" s="486"/>
      <c r="V880" s="263"/>
      <c r="W880" s="267"/>
      <c r="X880" s="263"/>
    </row>
    <row r="881" spans="1:53" ht="69.95" customHeight="1">
      <c r="E881" s="264"/>
      <c r="F881" s="265"/>
      <c r="G881" s="263"/>
      <c r="H881" s="275" t="s">
        <v>37</v>
      </c>
      <c r="I881" s="486"/>
      <c r="J881" s="486"/>
      <c r="K881" s="486"/>
      <c r="L881" s="486"/>
      <c r="M881" s="263"/>
      <c r="N881" s="263"/>
      <c r="O881" s="275" t="s">
        <v>37</v>
      </c>
      <c r="P881" s="486"/>
      <c r="Q881" s="486"/>
      <c r="R881" s="486"/>
      <c r="S881" s="486"/>
      <c r="T881" s="486"/>
      <c r="U881" s="486"/>
      <c r="V881" s="263"/>
      <c r="W881" s="267"/>
      <c r="X881" s="263"/>
    </row>
    <row r="882" spans="1:53" ht="69.95" customHeight="1">
      <c r="E882" s="264"/>
      <c r="F882" s="265"/>
      <c r="G882" s="263"/>
      <c r="H882" s="275" t="s">
        <v>37</v>
      </c>
      <c r="I882" s="486"/>
      <c r="J882" s="486"/>
      <c r="K882" s="486"/>
      <c r="L882" s="486"/>
      <c r="M882" s="263"/>
      <c r="N882" s="263"/>
      <c r="O882" s="275" t="s">
        <v>37</v>
      </c>
      <c r="P882" s="486"/>
      <c r="Q882" s="486"/>
      <c r="R882" s="486"/>
      <c r="S882" s="486"/>
      <c r="T882" s="486"/>
      <c r="U882" s="486"/>
      <c r="V882" s="263"/>
      <c r="W882" s="267"/>
      <c r="X882" s="263"/>
    </row>
    <row r="883" spans="1:53" ht="39.950000000000003" customHeight="1" thickBot="1">
      <c r="E883" s="276"/>
      <c r="F883" s="277"/>
      <c r="G883" s="278"/>
      <c r="H883" s="278"/>
      <c r="I883" s="278"/>
      <c r="J883" s="278"/>
      <c r="K883" s="278"/>
      <c r="L883" s="278"/>
      <c r="M883" s="278"/>
      <c r="N883" s="278"/>
      <c r="O883" s="278"/>
      <c r="P883" s="278"/>
      <c r="Q883" s="278"/>
      <c r="R883" s="278"/>
      <c r="S883" s="278"/>
      <c r="T883" s="279"/>
      <c r="U883" s="279"/>
      <c r="V883" s="279"/>
      <c r="W883" s="280"/>
      <c r="X883" s="263"/>
    </row>
    <row r="884" spans="1:53" ht="62.25" thickBot="1"/>
    <row r="885" spans="1:53" ht="39.950000000000003" customHeight="1">
      <c r="A885" s="252" t="str">
        <f>CONCATENATE(F892,F894,F896)</f>
        <v>CHG1-2</v>
      </c>
      <c r="E885" s="259" t="s">
        <v>70</v>
      </c>
      <c r="F885" s="260">
        <f>VLOOKUP(A885,'zoznam zapasov'!$A$6:$K$77,3,0)</f>
        <v>45</v>
      </c>
      <c r="G885" s="261"/>
      <c r="H885" s="322" t="s">
        <v>501</v>
      </c>
      <c r="I885" s="261"/>
      <c r="J885" s="261"/>
      <c r="K885" s="261"/>
      <c r="L885" s="261"/>
      <c r="M885" s="261"/>
      <c r="N885" s="261"/>
      <c r="O885" s="261"/>
      <c r="P885" s="261"/>
      <c r="Q885" s="261"/>
      <c r="R885" s="261"/>
      <c r="S885" s="261"/>
      <c r="T885" s="261"/>
      <c r="U885" s="261"/>
      <c r="V885" s="261" t="s">
        <v>30</v>
      </c>
      <c r="W885" s="262"/>
      <c r="X885" s="263"/>
      <c r="Z885" s="258" t="str">
        <f>CONCATENATE(V887,":",V890)</f>
        <v>3:0</v>
      </c>
      <c r="AE885" s="253" t="s">
        <v>11</v>
      </c>
      <c r="AV885" s="256" t="str">
        <f>CONCATENATE(AN887,",",AO887,",",AP887,",",AQ887,",",AR887,",",AS887,",",AT887)</f>
        <v>7,8,7,,,,</v>
      </c>
    </row>
    <row r="886" spans="1:53" ht="39.950000000000003" customHeight="1">
      <c r="E886" s="264"/>
      <c r="F886" s="265"/>
      <c r="G886" s="321" t="s">
        <v>500</v>
      </c>
      <c r="H886" s="323" t="s">
        <v>502</v>
      </c>
      <c r="I886" s="263"/>
      <c r="J886" s="263"/>
      <c r="K886" s="263"/>
      <c r="L886" s="263"/>
      <c r="M886" s="263"/>
      <c r="N886" s="266">
        <v>1</v>
      </c>
      <c r="O886" s="266">
        <v>2</v>
      </c>
      <c r="P886" s="266">
        <v>3</v>
      </c>
      <c r="Q886" s="266">
        <v>4</v>
      </c>
      <c r="R886" s="266">
        <v>5</v>
      </c>
      <c r="S886" s="266">
        <v>6</v>
      </c>
      <c r="T886" s="266">
        <v>7</v>
      </c>
      <c r="U886" s="263"/>
      <c r="V886" s="266" t="s">
        <v>31</v>
      </c>
      <c r="W886" s="267"/>
      <c r="X886" s="263"/>
      <c r="AE886" s="253" t="s">
        <v>68</v>
      </c>
      <c r="AV886" s="256" t="str">
        <f>CONCATENATE(AN888,",",AO888,",",AP888,",",AQ888,",",AR888,",",AS888,",",AT888)</f>
        <v>-7,-8,-7,,,,</v>
      </c>
    </row>
    <row r="887" spans="1:53" ht="39.950000000000003" customHeight="1">
      <c r="A887" s="252" t="str">
        <f>CONCATENATE(F892,VLOOKUP(F894,$AZ$7:$BA$14,2,0),LEFT(F896,1))</f>
        <v>CH71</v>
      </c>
      <c r="E887" s="264" t="s">
        <v>29</v>
      </c>
      <c r="F887" s="265">
        <f>VLOOKUP(A885,'zoznam zapasov'!$A$6:$K$77,11,0)</f>
        <v>5</v>
      </c>
      <c r="G887" s="508"/>
      <c r="H887" s="495"/>
      <c r="I887" s="487" t="str">
        <f>IF(ISERROR(VLOOKUP(A887,vylosovanie!$A$8:$J$68,6,0))=TRUE,"",VLOOKUP(A887,vylosovanie!$A$8:$J$68,6,0))</f>
        <v>TUREK Teodor</v>
      </c>
      <c r="J887" s="487"/>
      <c r="K887" s="487"/>
      <c r="L887" s="487"/>
      <c r="M887" s="263"/>
      <c r="N887" s="489">
        <v>11</v>
      </c>
      <c r="O887" s="489">
        <v>11</v>
      </c>
      <c r="P887" s="489">
        <v>11</v>
      </c>
      <c r="Q887" s="489"/>
      <c r="R887" s="489"/>
      <c r="S887" s="489"/>
      <c r="T887" s="489"/>
      <c r="U887" s="263"/>
      <c r="V887" s="493">
        <f>IF(SUM(AF887:AL888)=0,"",SUM(AF887:AL887))</f>
        <v>3</v>
      </c>
      <c r="W887" s="267"/>
      <c r="X887" s="263"/>
      <c r="AE887" s="253" t="str">
        <f>VLOOKUP(I887,vylosovanie!$F$8:$L$190,7,0)</f>
        <v>CH71</v>
      </c>
      <c r="AF887" s="268">
        <f>IF(N887&gt;N890,1,0)</f>
        <v>1</v>
      </c>
      <c r="AG887" s="268">
        <f t="shared" ref="AG887" si="606">IF(O887&gt;O890,1,0)</f>
        <v>1</v>
      </c>
      <c r="AH887" s="268">
        <f t="shared" ref="AH887" si="607">IF(P887&gt;P890,1,0)</f>
        <v>1</v>
      </c>
      <c r="AI887" s="268">
        <f t="shared" ref="AI887" si="608">IF(Q887&gt;Q890,1,0)</f>
        <v>0</v>
      </c>
      <c r="AJ887" s="268">
        <f t="shared" ref="AJ887" si="609">IF(R887&gt;R890,1,0)</f>
        <v>0</v>
      </c>
      <c r="AK887" s="268">
        <f t="shared" ref="AK887" si="610">IF(S887&gt;S890,1,0)</f>
        <v>0</v>
      </c>
      <c r="AL887" s="268">
        <f t="shared" ref="AL887" si="611">IF(T887&gt;T890,1,0)</f>
        <v>0</v>
      </c>
      <c r="AN887" s="268">
        <f t="shared" ref="AN887:AT887" si="612">IF(ISBLANK(N887)=TRUE,"",IF(AF887=1,N890,-N887))</f>
        <v>7</v>
      </c>
      <c r="AO887" s="268">
        <f t="shared" si="612"/>
        <v>8</v>
      </c>
      <c r="AP887" s="268">
        <f t="shared" si="612"/>
        <v>7</v>
      </c>
      <c r="AQ887" s="268" t="str">
        <f t="shared" si="612"/>
        <v/>
      </c>
      <c r="AR887" s="268" t="str">
        <f t="shared" si="612"/>
        <v/>
      </c>
      <c r="AS887" s="268" t="str">
        <f t="shared" si="612"/>
        <v/>
      </c>
      <c r="AT887" s="268" t="str">
        <f t="shared" si="612"/>
        <v/>
      </c>
      <c r="AZ887" s="269" t="s">
        <v>12</v>
      </c>
      <c r="BA887" s="269">
        <v>1</v>
      </c>
    </row>
    <row r="888" spans="1:53" ht="39.950000000000003" customHeight="1">
      <c r="E888" s="264"/>
      <c r="F888" s="265"/>
      <c r="G888" s="509"/>
      <c r="H888" s="495"/>
      <c r="I888" s="487"/>
      <c r="J888" s="487"/>
      <c r="K888" s="487"/>
      <c r="L888" s="487"/>
      <c r="M888" s="263"/>
      <c r="N888" s="490"/>
      <c r="O888" s="490"/>
      <c r="P888" s="490"/>
      <c r="Q888" s="490"/>
      <c r="R888" s="490"/>
      <c r="S888" s="490"/>
      <c r="T888" s="490"/>
      <c r="U888" s="263"/>
      <c r="V888" s="493"/>
      <c r="W888" s="267"/>
      <c r="X888" s="263"/>
      <c r="AE888" s="253" t="str">
        <f>VLOOKUP(I890,vylosovanie!$F$8:$L$190,7,0)</f>
        <v>CH72</v>
      </c>
      <c r="AF888" s="268">
        <f>IF(N890&gt;N887,1,0)</f>
        <v>0</v>
      </c>
      <c r="AG888" s="268">
        <f t="shared" ref="AG888" si="613">IF(O890&gt;O887,1,0)</f>
        <v>0</v>
      </c>
      <c r="AH888" s="268">
        <f t="shared" ref="AH888" si="614">IF(P890&gt;P887,1,0)</f>
        <v>0</v>
      </c>
      <c r="AI888" s="268">
        <f t="shared" ref="AI888" si="615">IF(Q890&gt;Q887,1,0)</f>
        <v>0</v>
      </c>
      <c r="AJ888" s="268">
        <f t="shared" ref="AJ888" si="616">IF(R890&gt;R887,1,0)</f>
        <v>0</v>
      </c>
      <c r="AK888" s="268">
        <f t="shared" ref="AK888" si="617">IF(S890&gt;S887,1,0)</f>
        <v>0</v>
      </c>
      <c r="AL888" s="268">
        <f t="shared" ref="AL888" si="618">IF(T890&gt;T887,1,0)</f>
        <v>0</v>
      </c>
      <c r="AN888" s="268">
        <f t="shared" ref="AN888:AT888" si="619">IF(ISBLANK(N890)=TRUE,"",IF(AF888=1,N887,-N890))</f>
        <v>-7</v>
      </c>
      <c r="AO888" s="268">
        <f t="shared" si="619"/>
        <v>-8</v>
      </c>
      <c r="AP888" s="268">
        <f t="shared" si="619"/>
        <v>-7</v>
      </c>
      <c r="AQ888" s="268" t="str">
        <f t="shared" si="619"/>
        <v/>
      </c>
      <c r="AR888" s="268" t="str">
        <f t="shared" si="619"/>
        <v/>
      </c>
      <c r="AS888" s="268" t="str">
        <f t="shared" si="619"/>
        <v/>
      </c>
      <c r="AT888" s="268" t="str">
        <f t="shared" si="619"/>
        <v/>
      </c>
      <c r="AZ888" s="269" t="s">
        <v>18</v>
      </c>
      <c r="BA888" s="269">
        <v>2</v>
      </c>
    </row>
    <row r="889" spans="1:53" ht="39.950000000000003" customHeight="1">
      <c r="E889" s="264" t="s">
        <v>35</v>
      </c>
      <c r="F889" s="265" t="str">
        <f>VLOOKUP(A885,'zoznam zapasov'!$A$6:$K$77,9,0)</f>
        <v>So</v>
      </c>
      <c r="G889" s="263"/>
      <c r="H889" s="263"/>
      <c r="I889" s="263"/>
      <c r="J889" s="263"/>
      <c r="K889" s="263"/>
      <c r="L889" s="263"/>
      <c r="M889" s="263"/>
      <c r="N889" s="263"/>
      <c r="O889" s="263"/>
      <c r="P889" s="263"/>
      <c r="Q889" s="263"/>
      <c r="R889" s="263"/>
      <c r="S889" s="263"/>
      <c r="T889" s="263"/>
      <c r="U889" s="263"/>
      <c r="V889" s="263"/>
      <c r="W889" s="267"/>
      <c r="X889" s="263"/>
      <c r="AZ889" s="269" t="s">
        <v>38</v>
      </c>
      <c r="BA889" s="269">
        <v>3</v>
      </c>
    </row>
    <row r="890" spans="1:53" ht="39.950000000000003" customHeight="1">
      <c r="A890" s="252" t="str">
        <f>CONCATENATE(F892,VLOOKUP(F894,$AZ$7:$BA$14,2,0),RIGHT(F896,1))</f>
        <v>CH72</v>
      </c>
      <c r="E890" s="264" t="s">
        <v>28</v>
      </c>
      <c r="F890" s="270" t="str">
        <f>VLOOKUP(A885,'zoznam zapasov'!$A$6:$K$77,10,0)</f>
        <v>11.35</v>
      </c>
      <c r="G890" s="508"/>
      <c r="H890" s="486"/>
      <c r="I890" s="487" t="str">
        <f>IF(ISERROR(VLOOKUP(A890,vylosovanie!$A$8:$J$68,6,0))=TRUE,"",VLOOKUP(A890,vylosovanie!$A$8:$J$68,6,0))</f>
        <v>JALOVECKÝ Marek</v>
      </c>
      <c r="J890" s="487"/>
      <c r="K890" s="487"/>
      <c r="L890" s="487"/>
      <c r="M890" s="263"/>
      <c r="N890" s="489">
        <v>7</v>
      </c>
      <c r="O890" s="489">
        <v>8</v>
      </c>
      <c r="P890" s="489">
        <v>7</v>
      </c>
      <c r="Q890" s="489"/>
      <c r="R890" s="489"/>
      <c r="S890" s="489"/>
      <c r="T890" s="489"/>
      <c r="U890" s="263"/>
      <c r="V890" s="493">
        <f>IF(SUM(AF887:AL888)=0,"",SUM(AF888:AL888))</f>
        <v>0</v>
      </c>
      <c r="W890" s="267"/>
      <c r="X890" s="263"/>
      <c r="AZ890" s="269" t="s">
        <v>39</v>
      </c>
      <c r="BA890" s="269">
        <v>4</v>
      </c>
    </row>
    <row r="891" spans="1:53" ht="39.950000000000003" customHeight="1">
      <c r="E891" s="271"/>
      <c r="F891" s="272"/>
      <c r="G891" s="509"/>
      <c r="H891" s="486"/>
      <c r="I891" s="487"/>
      <c r="J891" s="487"/>
      <c r="K891" s="487"/>
      <c r="L891" s="487"/>
      <c r="M891" s="263"/>
      <c r="N891" s="490"/>
      <c r="O891" s="490"/>
      <c r="P891" s="490"/>
      <c r="Q891" s="490"/>
      <c r="R891" s="490"/>
      <c r="S891" s="490"/>
      <c r="T891" s="490"/>
      <c r="U891" s="263"/>
      <c r="V891" s="493"/>
      <c r="W891" s="267"/>
      <c r="X891" s="263"/>
      <c r="AZ891" s="269" t="s">
        <v>40</v>
      </c>
      <c r="BA891" s="269">
        <v>5</v>
      </c>
    </row>
    <row r="892" spans="1:53" ht="39.950000000000003" customHeight="1">
      <c r="E892" s="264" t="s">
        <v>66</v>
      </c>
      <c r="F892" s="265" t="s">
        <v>65</v>
      </c>
      <c r="G892" s="263"/>
      <c r="H892" s="263"/>
      <c r="I892" s="263"/>
      <c r="J892" s="263"/>
      <c r="K892" s="263"/>
      <c r="L892" s="263"/>
      <c r="M892" s="263"/>
      <c r="N892" s="263"/>
      <c r="O892" s="263"/>
      <c r="P892" s="263"/>
      <c r="Q892" s="263"/>
      <c r="R892" s="263"/>
      <c r="S892" s="263"/>
      <c r="T892" s="263"/>
      <c r="U892" s="263"/>
      <c r="V892" s="263"/>
      <c r="W892" s="267"/>
      <c r="X892" s="263"/>
      <c r="AZ892" s="269" t="s">
        <v>41</v>
      </c>
      <c r="BA892" s="269">
        <v>6</v>
      </c>
    </row>
    <row r="893" spans="1:53" ht="39.950000000000003" customHeight="1">
      <c r="E893" s="271"/>
      <c r="F893" s="272"/>
      <c r="G893" s="263"/>
      <c r="H893" s="263"/>
      <c r="I893" s="263" t="s">
        <v>32</v>
      </c>
      <c r="J893" s="263"/>
      <c r="K893" s="263"/>
      <c r="L893" s="263"/>
      <c r="M893" s="263"/>
      <c r="N893" s="273"/>
      <c r="O893" s="266"/>
      <c r="P893" s="266" t="s">
        <v>34</v>
      </c>
      <c r="Q893" s="266"/>
      <c r="R893" s="266"/>
      <c r="S893" s="266"/>
      <c r="T893" s="266"/>
      <c r="U893" s="263"/>
      <c r="V893" s="263"/>
      <c r="W893" s="267"/>
      <c r="X893" s="263"/>
      <c r="AZ893" s="269" t="s">
        <v>42</v>
      </c>
      <c r="BA893" s="269">
        <v>7</v>
      </c>
    </row>
    <row r="894" spans="1:53" ht="39.950000000000003" customHeight="1">
      <c r="E894" s="264" t="s">
        <v>26</v>
      </c>
      <c r="F894" s="265" t="s">
        <v>42</v>
      </c>
      <c r="G894" s="263"/>
      <c r="H894" s="263"/>
      <c r="I894" s="486"/>
      <c r="J894" s="486"/>
      <c r="K894" s="486"/>
      <c r="L894" s="486"/>
      <c r="M894" s="263"/>
      <c r="N894" s="486" t="str">
        <f>IF(V887&gt;V890,I887,IF(V890&gt;V887,I890,""))</f>
        <v>TUREK Teodor</v>
      </c>
      <c r="O894" s="486"/>
      <c r="P894" s="486"/>
      <c r="Q894" s="486"/>
      <c r="R894" s="486"/>
      <c r="S894" s="486"/>
      <c r="T894" s="263"/>
      <c r="U894" s="263"/>
      <c r="V894" s="263"/>
      <c r="W894" s="267"/>
      <c r="X894" s="263"/>
      <c r="AZ894" s="269" t="s">
        <v>43</v>
      </c>
      <c r="BA894" s="269">
        <v>8</v>
      </c>
    </row>
    <row r="895" spans="1:53" ht="39.950000000000003" customHeight="1">
      <c r="E895" s="271"/>
      <c r="F895" s="272"/>
      <c r="G895" s="263"/>
      <c r="H895" s="263"/>
      <c r="I895" s="486"/>
      <c r="J895" s="486"/>
      <c r="K895" s="486"/>
      <c r="L895" s="486"/>
      <c r="M895" s="263"/>
      <c r="N895" s="486"/>
      <c r="O895" s="486"/>
      <c r="P895" s="486"/>
      <c r="Q895" s="486"/>
      <c r="R895" s="486"/>
      <c r="S895" s="486"/>
      <c r="T895" s="263"/>
      <c r="U895" s="263"/>
      <c r="V895" s="263"/>
      <c r="W895" s="267"/>
      <c r="X895" s="263"/>
    </row>
    <row r="896" spans="1:53" ht="39.950000000000003" customHeight="1">
      <c r="E896" s="264" t="s">
        <v>27</v>
      </c>
      <c r="F896" s="274" t="s">
        <v>22</v>
      </c>
      <c r="G896" s="263"/>
      <c r="H896" s="263"/>
      <c r="I896" s="263"/>
      <c r="J896" s="263"/>
      <c r="K896" s="263"/>
      <c r="L896" s="263"/>
      <c r="M896" s="263"/>
      <c r="N896" s="263"/>
      <c r="O896" s="263"/>
      <c r="P896" s="263"/>
      <c r="Q896" s="263"/>
      <c r="R896" s="263"/>
      <c r="S896" s="263"/>
      <c r="T896" s="263"/>
      <c r="U896" s="263"/>
      <c r="V896" s="263"/>
      <c r="W896" s="267"/>
      <c r="X896" s="263"/>
    </row>
    <row r="897" spans="1:53" ht="39.950000000000003" customHeight="1">
      <c r="E897" s="271"/>
      <c r="F897" s="272"/>
      <c r="G897" s="263"/>
      <c r="H897" s="263" t="s">
        <v>33</v>
      </c>
      <c r="I897" s="263"/>
      <c r="J897" s="263"/>
      <c r="K897" s="263"/>
      <c r="L897" s="263"/>
      <c r="M897" s="263"/>
      <c r="N897" s="263"/>
      <c r="O897" s="263"/>
      <c r="P897" s="263"/>
      <c r="Q897" s="263"/>
      <c r="R897" s="263"/>
      <c r="S897" s="263"/>
      <c r="T897" s="263"/>
      <c r="U897" s="263"/>
      <c r="V897" s="263"/>
      <c r="W897" s="267"/>
      <c r="X897" s="263"/>
    </row>
    <row r="898" spans="1:53" ht="39.950000000000003" customHeight="1">
      <c r="E898" s="271"/>
      <c r="F898" s="272"/>
      <c r="G898" s="263"/>
      <c r="H898" s="263"/>
      <c r="I898" s="263"/>
      <c r="J898" s="263"/>
      <c r="K898" s="263"/>
      <c r="L898" s="263"/>
      <c r="M898" s="263"/>
      <c r="N898" s="263"/>
      <c r="O898" s="263"/>
      <c r="P898" s="263"/>
      <c r="Q898" s="263"/>
      <c r="R898" s="263"/>
      <c r="S898" s="263"/>
      <c r="T898" s="263"/>
      <c r="U898" s="263"/>
      <c r="V898" s="263"/>
      <c r="W898" s="267"/>
      <c r="X898" s="263"/>
    </row>
    <row r="899" spans="1:53" ht="39.950000000000003" customHeight="1">
      <c r="E899" s="271"/>
      <c r="F899" s="272"/>
      <c r="G899" s="263"/>
      <c r="H899" s="263"/>
      <c r="I899" s="496" t="str">
        <f>I887</f>
        <v>TUREK Teodor</v>
      </c>
      <c r="J899" s="496"/>
      <c r="K899" s="496"/>
      <c r="L899" s="496"/>
      <c r="M899" s="263"/>
      <c r="N899" s="263"/>
      <c r="O899" s="263"/>
      <c r="P899" s="496" t="str">
        <f>I890</f>
        <v>JALOVECKÝ Marek</v>
      </c>
      <c r="Q899" s="496"/>
      <c r="R899" s="496"/>
      <c r="S899" s="496"/>
      <c r="T899" s="497"/>
      <c r="U899" s="497"/>
      <c r="V899" s="263"/>
      <c r="W899" s="267"/>
      <c r="X899" s="263"/>
    </row>
    <row r="900" spans="1:53" ht="69.95" customHeight="1">
      <c r="E900" s="264"/>
      <c r="F900" s="265"/>
      <c r="G900" s="263"/>
      <c r="H900" s="275" t="s">
        <v>36</v>
      </c>
      <c r="I900" s="483"/>
      <c r="J900" s="494"/>
      <c r="K900" s="494"/>
      <c r="L900" s="495"/>
      <c r="M900" s="263"/>
      <c r="N900" s="263"/>
      <c r="O900" s="275" t="s">
        <v>36</v>
      </c>
      <c r="P900" s="486"/>
      <c r="Q900" s="486"/>
      <c r="R900" s="486"/>
      <c r="S900" s="486"/>
      <c r="T900" s="486"/>
      <c r="U900" s="486"/>
      <c r="V900" s="263"/>
      <c r="W900" s="267"/>
      <c r="X900" s="263"/>
    </row>
    <row r="901" spans="1:53" ht="69.95" customHeight="1">
      <c r="E901" s="264"/>
      <c r="F901" s="265"/>
      <c r="G901" s="263"/>
      <c r="H901" s="275" t="s">
        <v>37</v>
      </c>
      <c r="I901" s="486"/>
      <c r="J901" s="486"/>
      <c r="K901" s="486"/>
      <c r="L901" s="486"/>
      <c r="M901" s="263"/>
      <c r="N901" s="263"/>
      <c r="O901" s="275" t="s">
        <v>37</v>
      </c>
      <c r="P901" s="486"/>
      <c r="Q901" s="486"/>
      <c r="R901" s="486"/>
      <c r="S901" s="486"/>
      <c r="T901" s="486"/>
      <c r="U901" s="486"/>
      <c r="V901" s="263"/>
      <c r="W901" s="267"/>
      <c r="X901" s="263"/>
    </row>
    <row r="902" spans="1:53" ht="69.95" customHeight="1">
      <c r="E902" s="264"/>
      <c r="F902" s="265"/>
      <c r="G902" s="263"/>
      <c r="H902" s="275" t="s">
        <v>37</v>
      </c>
      <c r="I902" s="486"/>
      <c r="J902" s="486"/>
      <c r="K902" s="486"/>
      <c r="L902" s="486"/>
      <c r="M902" s="263"/>
      <c r="N902" s="263"/>
      <c r="O902" s="275" t="s">
        <v>37</v>
      </c>
      <c r="P902" s="486"/>
      <c r="Q902" s="486"/>
      <c r="R902" s="486"/>
      <c r="S902" s="486"/>
      <c r="T902" s="486"/>
      <c r="U902" s="486"/>
      <c r="V902" s="263"/>
      <c r="W902" s="267"/>
      <c r="X902" s="263"/>
    </row>
    <row r="903" spans="1:53" ht="39.950000000000003" customHeight="1" thickBot="1">
      <c r="E903" s="276"/>
      <c r="F903" s="277"/>
      <c r="G903" s="278"/>
      <c r="H903" s="278"/>
      <c r="I903" s="278"/>
      <c r="J903" s="278"/>
      <c r="K903" s="278"/>
      <c r="L903" s="278"/>
      <c r="M903" s="278"/>
      <c r="N903" s="278"/>
      <c r="O903" s="278"/>
      <c r="P903" s="278"/>
      <c r="Q903" s="278"/>
      <c r="R903" s="278"/>
      <c r="S903" s="278"/>
      <c r="T903" s="279"/>
      <c r="U903" s="279"/>
      <c r="V903" s="279"/>
      <c r="W903" s="280"/>
      <c r="X903" s="263"/>
    </row>
    <row r="904" spans="1:53" ht="62.25" thickBot="1"/>
    <row r="905" spans="1:53" ht="39.950000000000003" customHeight="1">
      <c r="A905" s="252" t="str">
        <f>CONCATENATE(F912,F914,F916)</f>
        <v>CHG3-4</v>
      </c>
      <c r="E905" s="259" t="s">
        <v>70</v>
      </c>
      <c r="F905" s="260">
        <f>VLOOKUP(A905,'zoznam zapasov'!$A$6:$K$77,3,0)</f>
        <v>46</v>
      </c>
      <c r="G905" s="261"/>
      <c r="H905" s="322" t="s">
        <v>501</v>
      </c>
      <c r="I905" s="261"/>
      <c r="J905" s="261"/>
      <c r="K905" s="261"/>
      <c r="L905" s="261"/>
      <c r="M905" s="261"/>
      <c r="N905" s="261"/>
      <c r="O905" s="261"/>
      <c r="P905" s="261"/>
      <c r="Q905" s="261"/>
      <c r="R905" s="261"/>
      <c r="S905" s="261"/>
      <c r="T905" s="261"/>
      <c r="U905" s="261"/>
      <c r="V905" s="261" t="s">
        <v>30</v>
      </c>
      <c r="W905" s="262"/>
      <c r="X905" s="263"/>
      <c r="Z905" s="258" t="str">
        <f>CONCATENATE(V907,":",V910)</f>
        <v>3:2</v>
      </c>
      <c r="AE905" s="253" t="s">
        <v>11</v>
      </c>
      <c r="AV905" s="256" t="str">
        <f>CONCATENATE(AN907,",",AO907,",",AP907,",",AQ907,",",AR907,",",AS907,",",AT907)</f>
        <v>9,-7,-9,8,5,,</v>
      </c>
    </row>
    <row r="906" spans="1:53" ht="39.950000000000003" customHeight="1">
      <c r="E906" s="264"/>
      <c r="F906" s="265"/>
      <c r="G906" s="321" t="s">
        <v>500</v>
      </c>
      <c r="H906" s="323" t="s">
        <v>502</v>
      </c>
      <c r="I906" s="263"/>
      <c r="J906" s="263"/>
      <c r="K906" s="263"/>
      <c r="L906" s="263"/>
      <c r="M906" s="263"/>
      <c r="N906" s="266">
        <v>1</v>
      </c>
      <c r="O906" s="266">
        <v>2</v>
      </c>
      <c r="P906" s="266">
        <v>3</v>
      </c>
      <c r="Q906" s="266">
        <v>4</v>
      </c>
      <c r="R906" s="266">
        <v>5</v>
      </c>
      <c r="S906" s="266">
        <v>6</v>
      </c>
      <c r="T906" s="266">
        <v>7</v>
      </c>
      <c r="U906" s="263"/>
      <c r="V906" s="266" t="s">
        <v>31</v>
      </c>
      <c r="W906" s="267"/>
      <c r="X906" s="263"/>
      <c r="AE906" s="253" t="s">
        <v>68</v>
      </c>
      <c r="AV906" s="256" t="str">
        <f>CONCATENATE(AN908,",",AO908,",",AP908,",",AQ908,",",AR908,",",AS908,",",AT908)</f>
        <v>-9,7,9,-8,-5,,</v>
      </c>
    </row>
    <row r="907" spans="1:53" ht="39.950000000000003" customHeight="1">
      <c r="A907" s="252" t="str">
        <f>CONCATENATE(F912,VLOOKUP(F914,$AZ$7:$BA$14,2,0),LEFT(F916,1))</f>
        <v>CH73</v>
      </c>
      <c r="E907" s="264" t="s">
        <v>29</v>
      </c>
      <c r="F907" s="265">
        <f>VLOOKUP(A905,'zoznam zapasov'!$A$6:$K$77,11,0)</f>
        <v>6</v>
      </c>
      <c r="G907" s="508"/>
      <c r="H907" s="495"/>
      <c r="I907" s="487" t="str">
        <f>IF(ISERROR(VLOOKUP(A907,vylosovanie!$A$8:$J$68,6,0))=TRUE,"",VLOOKUP(A907,vylosovanie!$A$8:$J$68,6,0))</f>
        <v>FEČO Michal</v>
      </c>
      <c r="J907" s="487"/>
      <c r="K907" s="487"/>
      <c r="L907" s="487"/>
      <c r="M907" s="263"/>
      <c r="N907" s="489">
        <v>11</v>
      </c>
      <c r="O907" s="489">
        <v>7</v>
      </c>
      <c r="P907" s="489">
        <v>9</v>
      </c>
      <c r="Q907" s="489">
        <v>11</v>
      </c>
      <c r="R907" s="489">
        <v>11</v>
      </c>
      <c r="S907" s="489"/>
      <c r="T907" s="489"/>
      <c r="U907" s="263"/>
      <c r="V907" s="493">
        <f>IF(SUM(AF907:AL908)=0,"",SUM(AF907:AL907))</f>
        <v>3</v>
      </c>
      <c r="W907" s="267"/>
      <c r="X907" s="263"/>
      <c r="AE907" s="253" t="str">
        <f>VLOOKUP(I907,vylosovanie!$F$8:$L$190,7,0)</f>
        <v>CH73</v>
      </c>
      <c r="AF907" s="268">
        <f>IF(N907&gt;N910,1,0)</f>
        <v>1</v>
      </c>
      <c r="AG907" s="268">
        <f t="shared" ref="AG907" si="620">IF(O907&gt;O910,1,0)</f>
        <v>0</v>
      </c>
      <c r="AH907" s="268">
        <f t="shared" ref="AH907" si="621">IF(P907&gt;P910,1,0)</f>
        <v>0</v>
      </c>
      <c r="AI907" s="268">
        <f t="shared" ref="AI907" si="622">IF(Q907&gt;Q910,1,0)</f>
        <v>1</v>
      </c>
      <c r="AJ907" s="268">
        <f t="shared" ref="AJ907" si="623">IF(R907&gt;R910,1,0)</f>
        <v>1</v>
      </c>
      <c r="AK907" s="268">
        <f t="shared" ref="AK907" si="624">IF(S907&gt;S910,1,0)</f>
        <v>0</v>
      </c>
      <c r="AL907" s="268">
        <f t="shared" ref="AL907" si="625">IF(T907&gt;T910,1,0)</f>
        <v>0</v>
      </c>
      <c r="AN907" s="268">
        <f t="shared" ref="AN907:AT907" si="626">IF(ISBLANK(N907)=TRUE,"",IF(AF907=1,N910,-N907))</f>
        <v>9</v>
      </c>
      <c r="AO907" s="268">
        <f t="shared" si="626"/>
        <v>-7</v>
      </c>
      <c r="AP907" s="268">
        <f t="shared" si="626"/>
        <v>-9</v>
      </c>
      <c r="AQ907" s="268">
        <f t="shared" si="626"/>
        <v>8</v>
      </c>
      <c r="AR907" s="268">
        <f t="shared" si="626"/>
        <v>5</v>
      </c>
      <c r="AS907" s="268" t="str">
        <f t="shared" si="626"/>
        <v/>
      </c>
      <c r="AT907" s="268" t="str">
        <f t="shared" si="626"/>
        <v/>
      </c>
      <c r="AZ907" s="269" t="s">
        <v>12</v>
      </c>
      <c r="BA907" s="269">
        <v>1</v>
      </c>
    </row>
    <row r="908" spans="1:53" ht="39.950000000000003" customHeight="1">
      <c r="E908" s="264"/>
      <c r="F908" s="265"/>
      <c r="G908" s="509"/>
      <c r="H908" s="495"/>
      <c r="I908" s="487"/>
      <c r="J908" s="487"/>
      <c r="K908" s="487"/>
      <c r="L908" s="487"/>
      <c r="M908" s="263"/>
      <c r="N908" s="490"/>
      <c r="O908" s="490"/>
      <c r="P908" s="490"/>
      <c r="Q908" s="490"/>
      <c r="R908" s="490"/>
      <c r="S908" s="490"/>
      <c r="T908" s="490"/>
      <c r="U908" s="263"/>
      <c r="V908" s="493"/>
      <c r="W908" s="267"/>
      <c r="X908" s="263"/>
      <c r="AE908" s="253" t="str">
        <f>VLOOKUP(I910,vylosovanie!$F$8:$L$190,7,0)</f>
        <v>CH74</v>
      </c>
      <c r="AF908" s="268">
        <f>IF(N910&gt;N907,1,0)</f>
        <v>0</v>
      </c>
      <c r="AG908" s="268">
        <f t="shared" ref="AG908" si="627">IF(O910&gt;O907,1,0)</f>
        <v>1</v>
      </c>
      <c r="AH908" s="268">
        <f t="shared" ref="AH908" si="628">IF(P910&gt;P907,1,0)</f>
        <v>1</v>
      </c>
      <c r="AI908" s="268">
        <f t="shared" ref="AI908" si="629">IF(Q910&gt;Q907,1,0)</f>
        <v>0</v>
      </c>
      <c r="AJ908" s="268">
        <f t="shared" ref="AJ908" si="630">IF(R910&gt;R907,1,0)</f>
        <v>0</v>
      </c>
      <c r="AK908" s="268">
        <f t="shared" ref="AK908" si="631">IF(S910&gt;S907,1,0)</f>
        <v>0</v>
      </c>
      <c r="AL908" s="268">
        <f t="shared" ref="AL908" si="632">IF(T910&gt;T907,1,0)</f>
        <v>0</v>
      </c>
      <c r="AN908" s="268">
        <f t="shared" ref="AN908:AT908" si="633">IF(ISBLANK(N910)=TRUE,"",IF(AF908=1,N907,-N910))</f>
        <v>-9</v>
      </c>
      <c r="AO908" s="268">
        <f t="shared" si="633"/>
        <v>7</v>
      </c>
      <c r="AP908" s="268">
        <f t="shared" si="633"/>
        <v>9</v>
      </c>
      <c r="AQ908" s="268">
        <f t="shared" si="633"/>
        <v>-8</v>
      </c>
      <c r="AR908" s="268">
        <f t="shared" si="633"/>
        <v>-5</v>
      </c>
      <c r="AS908" s="268" t="str">
        <f t="shared" si="633"/>
        <v/>
      </c>
      <c r="AT908" s="268" t="str">
        <f t="shared" si="633"/>
        <v/>
      </c>
      <c r="AZ908" s="269" t="s">
        <v>18</v>
      </c>
      <c r="BA908" s="269">
        <v>2</v>
      </c>
    </row>
    <row r="909" spans="1:53" ht="39.950000000000003" customHeight="1">
      <c r="E909" s="264" t="s">
        <v>35</v>
      </c>
      <c r="F909" s="265" t="str">
        <f>VLOOKUP(A905,'zoznam zapasov'!$A$6:$K$77,9,0)</f>
        <v>So</v>
      </c>
      <c r="G909" s="263"/>
      <c r="H909" s="263"/>
      <c r="I909" s="263"/>
      <c r="J909" s="263"/>
      <c r="K909" s="263"/>
      <c r="L909" s="263"/>
      <c r="M909" s="263"/>
      <c r="N909" s="263"/>
      <c r="O909" s="263"/>
      <c r="P909" s="263"/>
      <c r="Q909" s="263"/>
      <c r="R909" s="263"/>
      <c r="S909" s="263"/>
      <c r="T909" s="263"/>
      <c r="U909" s="263"/>
      <c r="V909" s="263"/>
      <c r="W909" s="267"/>
      <c r="X909" s="263"/>
      <c r="AZ909" s="269" t="s">
        <v>38</v>
      </c>
      <c r="BA909" s="269">
        <v>3</v>
      </c>
    </row>
    <row r="910" spans="1:53" ht="39.950000000000003" customHeight="1">
      <c r="A910" s="252" t="str">
        <f>CONCATENATE(F912,VLOOKUP(F914,$AZ$7:$BA$14,2,0),RIGHT(F916,1))</f>
        <v>CH74</v>
      </c>
      <c r="E910" s="264" t="s">
        <v>28</v>
      </c>
      <c r="F910" s="270" t="str">
        <f>VLOOKUP(A905,'zoznam zapasov'!$A$6:$K$77,10,0)</f>
        <v>11.35</v>
      </c>
      <c r="G910" s="508"/>
      <c r="H910" s="486"/>
      <c r="I910" s="487" t="str">
        <f>IF(ISERROR(VLOOKUP(A910,vylosovanie!$A$8:$J$68,6,0))=TRUE,"",VLOOKUP(A910,vylosovanie!$A$8:$J$68,6,0))</f>
        <v>GREGOR Jakub</v>
      </c>
      <c r="J910" s="487"/>
      <c r="K910" s="487"/>
      <c r="L910" s="487"/>
      <c r="M910" s="263"/>
      <c r="N910" s="489">
        <v>9</v>
      </c>
      <c r="O910" s="489">
        <v>11</v>
      </c>
      <c r="P910" s="489">
        <v>11</v>
      </c>
      <c r="Q910" s="489">
        <v>8</v>
      </c>
      <c r="R910" s="489">
        <v>5</v>
      </c>
      <c r="S910" s="489"/>
      <c r="T910" s="489"/>
      <c r="U910" s="263"/>
      <c r="V910" s="493">
        <f>IF(SUM(AF907:AL908)=0,"",SUM(AF908:AL908))</f>
        <v>2</v>
      </c>
      <c r="W910" s="267"/>
      <c r="X910" s="263"/>
      <c r="AZ910" s="269" t="s">
        <v>39</v>
      </c>
      <c r="BA910" s="269">
        <v>4</v>
      </c>
    </row>
    <row r="911" spans="1:53" ht="39.950000000000003" customHeight="1">
      <c r="E911" s="271"/>
      <c r="F911" s="272"/>
      <c r="G911" s="509"/>
      <c r="H911" s="486"/>
      <c r="I911" s="487"/>
      <c r="J911" s="487"/>
      <c r="K911" s="487"/>
      <c r="L911" s="487"/>
      <c r="M911" s="263"/>
      <c r="N911" s="490"/>
      <c r="O911" s="490"/>
      <c r="P911" s="490"/>
      <c r="Q911" s="490"/>
      <c r="R911" s="490"/>
      <c r="S911" s="490"/>
      <c r="T911" s="490"/>
      <c r="U911" s="263"/>
      <c r="V911" s="493"/>
      <c r="W911" s="267"/>
      <c r="X911" s="263"/>
      <c r="AZ911" s="269" t="s">
        <v>40</v>
      </c>
      <c r="BA911" s="269">
        <v>5</v>
      </c>
    </row>
    <row r="912" spans="1:53" ht="39.950000000000003" customHeight="1">
      <c r="E912" s="264" t="s">
        <v>66</v>
      </c>
      <c r="F912" s="265" t="s">
        <v>65</v>
      </c>
      <c r="G912" s="263"/>
      <c r="H912" s="263"/>
      <c r="I912" s="263"/>
      <c r="J912" s="263"/>
      <c r="K912" s="263"/>
      <c r="L912" s="263"/>
      <c r="M912" s="263"/>
      <c r="N912" s="263"/>
      <c r="O912" s="263"/>
      <c r="P912" s="263"/>
      <c r="Q912" s="263"/>
      <c r="R912" s="263"/>
      <c r="S912" s="263"/>
      <c r="T912" s="263"/>
      <c r="U912" s="263"/>
      <c r="V912" s="263"/>
      <c r="W912" s="267"/>
      <c r="X912" s="263"/>
      <c r="AZ912" s="269" t="s">
        <v>41</v>
      </c>
      <c r="BA912" s="269">
        <v>6</v>
      </c>
    </row>
    <row r="913" spans="1:53" ht="39.950000000000003" customHeight="1">
      <c r="E913" s="271"/>
      <c r="F913" s="272"/>
      <c r="G913" s="263"/>
      <c r="H913" s="263"/>
      <c r="I913" s="263" t="s">
        <v>32</v>
      </c>
      <c r="J913" s="263"/>
      <c r="K913" s="263"/>
      <c r="L913" s="263"/>
      <c r="M913" s="263"/>
      <c r="N913" s="273"/>
      <c r="O913" s="266"/>
      <c r="P913" s="266" t="s">
        <v>34</v>
      </c>
      <c r="Q913" s="266"/>
      <c r="R913" s="266"/>
      <c r="S913" s="266"/>
      <c r="T913" s="266"/>
      <c r="U913" s="263"/>
      <c r="V913" s="263"/>
      <c r="W913" s="267"/>
      <c r="X913" s="263"/>
      <c r="AZ913" s="269" t="s">
        <v>42</v>
      </c>
      <c r="BA913" s="269">
        <v>7</v>
      </c>
    </row>
    <row r="914" spans="1:53" ht="39.950000000000003" customHeight="1">
      <c r="E914" s="264" t="s">
        <v>26</v>
      </c>
      <c r="F914" s="265" t="s">
        <v>42</v>
      </c>
      <c r="G914" s="263"/>
      <c r="H914" s="263"/>
      <c r="I914" s="486"/>
      <c r="J914" s="486"/>
      <c r="K914" s="486"/>
      <c r="L914" s="486"/>
      <c r="M914" s="263"/>
      <c r="N914" s="486" t="str">
        <f>IF(V907&gt;V910,I907,IF(V910&gt;V907,I910,""))</f>
        <v>FEČO Michal</v>
      </c>
      <c r="O914" s="486"/>
      <c r="P914" s="486"/>
      <c r="Q914" s="486"/>
      <c r="R914" s="486"/>
      <c r="S914" s="486"/>
      <c r="T914" s="263"/>
      <c r="U914" s="263"/>
      <c r="V914" s="263"/>
      <c r="W914" s="267"/>
      <c r="X914" s="263"/>
      <c r="AZ914" s="269" t="s">
        <v>43</v>
      </c>
      <c r="BA914" s="269">
        <v>8</v>
      </c>
    </row>
    <row r="915" spans="1:53" ht="39.950000000000003" customHeight="1">
      <c r="E915" s="271"/>
      <c r="F915" s="272"/>
      <c r="G915" s="263"/>
      <c r="H915" s="263"/>
      <c r="I915" s="486"/>
      <c r="J915" s="486"/>
      <c r="K915" s="486"/>
      <c r="L915" s="486"/>
      <c r="M915" s="263"/>
      <c r="N915" s="486"/>
      <c r="O915" s="486"/>
      <c r="P915" s="486"/>
      <c r="Q915" s="486"/>
      <c r="R915" s="486"/>
      <c r="S915" s="486"/>
      <c r="T915" s="263"/>
      <c r="U915" s="263"/>
      <c r="V915" s="263"/>
      <c r="W915" s="267"/>
      <c r="X915" s="263"/>
    </row>
    <row r="916" spans="1:53" ht="39.950000000000003" customHeight="1">
      <c r="E916" s="264" t="s">
        <v>27</v>
      </c>
      <c r="F916" s="274" t="s">
        <v>23</v>
      </c>
      <c r="G916" s="263"/>
      <c r="H916" s="263"/>
      <c r="I916" s="263"/>
      <c r="J916" s="263"/>
      <c r="K916" s="263"/>
      <c r="L916" s="263"/>
      <c r="M916" s="263"/>
      <c r="N916" s="263"/>
      <c r="O916" s="263"/>
      <c r="P916" s="263"/>
      <c r="Q916" s="263"/>
      <c r="R916" s="263"/>
      <c r="S916" s="263"/>
      <c r="T916" s="263"/>
      <c r="U916" s="263"/>
      <c r="V916" s="263"/>
      <c r="W916" s="267"/>
      <c r="X916" s="263"/>
    </row>
    <row r="917" spans="1:53" ht="39.950000000000003" customHeight="1">
      <c r="E917" s="271"/>
      <c r="F917" s="272"/>
      <c r="G917" s="263"/>
      <c r="H917" s="263" t="s">
        <v>33</v>
      </c>
      <c r="I917" s="263"/>
      <c r="J917" s="263"/>
      <c r="K917" s="263"/>
      <c r="L917" s="263"/>
      <c r="M917" s="263"/>
      <c r="N917" s="263"/>
      <c r="O917" s="263"/>
      <c r="P917" s="263"/>
      <c r="Q917" s="263"/>
      <c r="R917" s="263"/>
      <c r="S917" s="263"/>
      <c r="T917" s="263"/>
      <c r="U917" s="263"/>
      <c r="V917" s="263"/>
      <c r="W917" s="267"/>
      <c r="X917" s="263"/>
    </row>
    <row r="918" spans="1:53" ht="39.950000000000003" customHeight="1">
      <c r="E918" s="271"/>
      <c r="F918" s="272"/>
      <c r="G918" s="263"/>
      <c r="H918" s="263"/>
      <c r="I918" s="263"/>
      <c r="J918" s="263"/>
      <c r="K918" s="263"/>
      <c r="L918" s="263"/>
      <c r="M918" s="263"/>
      <c r="N918" s="263"/>
      <c r="O918" s="263"/>
      <c r="P918" s="263"/>
      <c r="Q918" s="263"/>
      <c r="R918" s="263"/>
      <c r="S918" s="263"/>
      <c r="T918" s="263"/>
      <c r="U918" s="263"/>
      <c r="V918" s="263"/>
      <c r="W918" s="267"/>
      <c r="X918" s="263"/>
    </row>
    <row r="919" spans="1:53" ht="39.950000000000003" customHeight="1">
      <c r="E919" s="271"/>
      <c r="F919" s="272"/>
      <c r="G919" s="263"/>
      <c r="H919" s="263"/>
      <c r="I919" s="496" t="str">
        <f>I907</f>
        <v>FEČO Michal</v>
      </c>
      <c r="J919" s="496"/>
      <c r="K919" s="496"/>
      <c r="L919" s="496"/>
      <c r="M919" s="263"/>
      <c r="N919" s="263"/>
      <c r="O919" s="263"/>
      <c r="P919" s="496" t="str">
        <f>I910</f>
        <v>GREGOR Jakub</v>
      </c>
      <c r="Q919" s="496"/>
      <c r="R919" s="496"/>
      <c r="S919" s="496"/>
      <c r="T919" s="497"/>
      <c r="U919" s="497"/>
      <c r="V919" s="263"/>
      <c r="W919" s="267"/>
      <c r="X919" s="263"/>
    </row>
    <row r="920" spans="1:53" ht="69.95" customHeight="1">
      <c r="E920" s="264"/>
      <c r="F920" s="265"/>
      <c r="G920" s="263"/>
      <c r="H920" s="275" t="s">
        <v>36</v>
      </c>
      <c r="I920" s="483"/>
      <c r="J920" s="494"/>
      <c r="K920" s="494"/>
      <c r="L920" s="495"/>
      <c r="M920" s="263"/>
      <c r="N920" s="263"/>
      <c r="O920" s="275" t="s">
        <v>36</v>
      </c>
      <c r="P920" s="486"/>
      <c r="Q920" s="486"/>
      <c r="R920" s="486"/>
      <c r="S920" s="486"/>
      <c r="T920" s="486"/>
      <c r="U920" s="486"/>
      <c r="V920" s="263"/>
      <c r="W920" s="267"/>
      <c r="X920" s="263"/>
    </row>
    <row r="921" spans="1:53" ht="69.95" customHeight="1">
      <c r="E921" s="264"/>
      <c r="F921" s="265"/>
      <c r="G921" s="263"/>
      <c r="H921" s="275" t="s">
        <v>37</v>
      </c>
      <c r="I921" s="486"/>
      <c r="J921" s="486"/>
      <c r="K921" s="486"/>
      <c r="L921" s="486"/>
      <c r="M921" s="263"/>
      <c r="N921" s="263"/>
      <c r="O921" s="275" t="s">
        <v>37</v>
      </c>
      <c r="P921" s="486"/>
      <c r="Q921" s="486"/>
      <c r="R921" s="486"/>
      <c r="S921" s="486"/>
      <c r="T921" s="486"/>
      <c r="U921" s="486"/>
      <c r="V921" s="263"/>
      <c r="W921" s="267"/>
      <c r="X921" s="263"/>
    </row>
    <row r="922" spans="1:53" ht="69.95" customHeight="1">
      <c r="E922" s="264"/>
      <c r="F922" s="265"/>
      <c r="G922" s="263"/>
      <c r="H922" s="275" t="s">
        <v>37</v>
      </c>
      <c r="I922" s="486"/>
      <c r="J922" s="486"/>
      <c r="K922" s="486"/>
      <c r="L922" s="486"/>
      <c r="M922" s="263"/>
      <c r="N922" s="263"/>
      <c r="O922" s="275" t="s">
        <v>37</v>
      </c>
      <c r="P922" s="486"/>
      <c r="Q922" s="486"/>
      <c r="R922" s="486"/>
      <c r="S922" s="486"/>
      <c r="T922" s="486"/>
      <c r="U922" s="486"/>
      <c r="V922" s="263"/>
      <c r="W922" s="267"/>
      <c r="X922" s="263"/>
    </row>
    <row r="923" spans="1:53" ht="39.950000000000003" customHeight="1" thickBot="1">
      <c r="E923" s="276"/>
      <c r="F923" s="277"/>
      <c r="G923" s="278"/>
      <c r="H923" s="278"/>
      <c r="I923" s="278"/>
      <c r="J923" s="278"/>
      <c r="K923" s="278"/>
      <c r="L923" s="278"/>
      <c r="M923" s="278"/>
      <c r="N923" s="278"/>
      <c r="O923" s="278"/>
      <c r="P923" s="278"/>
      <c r="Q923" s="278"/>
      <c r="R923" s="278"/>
      <c r="S923" s="278"/>
      <c r="T923" s="279"/>
      <c r="U923" s="279"/>
      <c r="V923" s="279"/>
      <c r="W923" s="280"/>
      <c r="X923" s="263"/>
    </row>
    <row r="924" spans="1:53" ht="62.25" thickBot="1"/>
    <row r="925" spans="1:53" ht="39.950000000000003" customHeight="1">
      <c r="A925" s="252" t="str">
        <f>CONCATENATE(F932,F934,F936)</f>
        <v>CHH1-2</v>
      </c>
      <c r="E925" s="259" t="s">
        <v>70</v>
      </c>
      <c r="F925" s="260">
        <f>VLOOKUP(A925,'zoznam zapasov'!$A$6:$K$77,3,0)</f>
        <v>47</v>
      </c>
      <c r="G925" s="261"/>
      <c r="H925" s="322" t="s">
        <v>501</v>
      </c>
      <c r="I925" s="261"/>
      <c r="J925" s="261"/>
      <c r="K925" s="261"/>
      <c r="L925" s="261"/>
      <c r="M925" s="261"/>
      <c r="N925" s="261"/>
      <c r="O925" s="261"/>
      <c r="P925" s="261"/>
      <c r="Q925" s="261"/>
      <c r="R925" s="261"/>
      <c r="S925" s="261"/>
      <c r="T925" s="261"/>
      <c r="U925" s="261"/>
      <c r="V925" s="261" t="s">
        <v>30</v>
      </c>
      <c r="W925" s="262"/>
      <c r="X925" s="263"/>
      <c r="Z925" s="258" t="str">
        <f>CONCATENATE(V927,":",V930)</f>
        <v>3:0</v>
      </c>
      <c r="AE925" s="253" t="s">
        <v>11</v>
      </c>
      <c r="AV925" s="256" t="str">
        <f>CONCATENATE(AN927,",",AO927,",",AP927,",",AQ927,",",AR927,",",AS927,",",AT927)</f>
        <v>10,7,4,,,,</v>
      </c>
    </row>
    <row r="926" spans="1:53" ht="39.950000000000003" customHeight="1">
      <c r="E926" s="264"/>
      <c r="F926" s="265"/>
      <c r="G926" s="321" t="s">
        <v>500</v>
      </c>
      <c r="H926" s="323" t="s">
        <v>502</v>
      </c>
      <c r="I926" s="263"/>
      <c r="J926" s="263"/>
      <c r="K926" s="263"/>
      <c r="L926" s="263"/>
      <c r="M926" s="263"/>
      <c r="N926" s="266">
        <v>1</v>
      </c>
      <c r="O926" s="266">
        <v>2</v>
      </c>
      <c r="P926" s="266">
        <v>3</v>
      </c>
      <c r="Q926" s="266">
        <v>4</v>
      </c>
      <c r="R926" s="266">
        <v>5</v>
      </c>
      <c r="S926" s="266">
        <v>6</v>
      </c>
      <c r="T926" s="266">
        <v>7</v>
      </c>
      <c r="U926" s="263"/>
      <c r="V926" s="266" t="s">
        <v>31</v>
      </c>
      <c r="W926" s="267"/>
      <c r="X926" s="263"/>
      <c r="AE926" s="253" t="s">
        <v>68</v>
      </c>
      <c r="AV926" s="256" t="str">
        <f>CONCATENATE(AN928,",",AO928,",",AP928,",",AQ928,",",AR928,",",AS928,",",AT928)</f>
        <v>-10,-7,-4,,,,</v>
      </c>
    </row>
    <row r="927" spans="1:53" ht="39.950000000000003" customHeight="1">
      <c r="A927" s="252" t="str">
        <f>CONCATENATE(F932,VLOOKUP(F934,$AZ$7:$BA$14,2,0),LEFT(F936,1))</f>
        <v>CH81</v>
      </c>
      <c r="E927" s="264" t="s">
        <v>29</v>
      </c>
      <c r="F927" s="265">
        <f>VLOOKUP(A925,'zoznam zapasov'!$A$6:$K$77,11,0)</f>
        <v>7</v>
      </c>
      <c r="G927" s="508"/>
      <c r="H927" s="495"/>
      <c r="I927" s="487" t="str">
        <f>IF(ISERROR(VLOOKUP(A927,vylosovanie!$A$8:$J$68,6,0))=TRUE,"",VLOOKUP(A927,vylosovanie!$A$8:$J$68,6,0))</f>
        <v>PAPÁNEK Martin</v>
      </c>
      <c r="J927" s="487"/>
      <c r="K927" s="487"/>
      <c r="L927" s="487"/>
      <c r="M927" s="263"/>
      <c r="N927" s="489">
        <v>12</v>
      </c>
      <c r="O927" s="489">
        <v>11</v>
      </c>
      <c r="P927" s="489">
        <v>11</v>
      </c>
      <c r="Q927" s="489"/>
      <c r="R927" s="489"/>
      <c r="S927" s="489"/>
      <c r="T927" s="489"/>
      <c r="U927" s="263"/>
      <c r="V927" s="493">
        <f>IF(SUM(AF927:AL928)=0,"",SUM(AF927:AL927))</f>
        <v>3</v>
      </c>
      <c r="W927" s="267"/>
      <c r="X927" s="263"/>
      <c r="AE927" s="253" t="str">
        <f>VLOOKUP(I927,vylosovanie!$F$8:$L$190,7,0)</f>
        <v>CH81</v>
      </c>
      <c r="AF927" s="268">
        <f>IF(N927&gt;N930,1,0)</f>
        <v>1</v>
      </c>
      <c r="AG927" s="268">
        <f t="shared" ref="AG927" si="634">IF(O927&gt;O930,1,0)</f>
        <v>1</v>
      </c>
      <c r="AH927" s="268">
        <f t="shared" ref="AH927" si="635">IF(P927&gt;P930,1,0)</f>
        <v>1</v>
      </c>
      <c r="AI927" s="268">
        <f t="shared" ref="AI927" si="636">IF(Q927&gt;Q930,1,0)</f>
        <v>0</v>
      </c>
      <c r="AJ927" s="268">
        <f t="shared" ref="AJ927" si="637">IF(R927&gt;R930,1,0)</f>
        <v>0</v>
      </c>
      <c r="AK927" s="268">
        <f t="shared" ref="AK927" si="638">IF(S927&gt;S930,1,0)</f>
        <v>0</v>
      </c>
      <c r="AL927" s="268">
        <f t="shared" ref="AL927" si="639">IF(T927&gt;T930,1,0)</f>
        <v>0</v>
      </c>
      <c r="AN927" s="268">
        <f t="shared" ref="AN927:AT927" si="640">IF(ISBLANK(N927)=TRUE,"",IF(AF927=1,N930,-N927))</f>
        <v>10</v>
      </c>
      <c r="AO927" s="268">
        <f t="shared" si="640"/>
        <v>7</v>
      </c>
      <c r="AP927" s="268">
        <f t="shared" si="640"/>
        <v>4</v>
      </c>
      <c r="AQ927" s="268" t="str">
        <f t="shared" si="640"/>
        <v/>
      </c>
      <c r="AR927" s="268" t="str">
        <f t="shared" si="640"/>
        <v/>
      </c>
      <c r="AS927" s="268" t="str">
        <f t="shared" si="640"/>
        <v/>
      </c>
      <c r="AT927" s="268" t="str">
        <f t="shared" si="640"/>
        <v/>
      </c>
      <c r="AZ927" s="269" t="s">
        <v>12</v>
      </c>
      <c r="BA927" s="269">
        <v>1</v>
      </c>
    </row>
    <row r="928" spans="1:53" ht="39.950000000000003" customHeight="1">
      <c r="E928" s="264"/>
      <c r="F928" s="265"/>
      <c r="G928" s="509"/>
      <c r="H928" s="495"/>
      <c r="I928" s="487"/>
      <c r="J928" s="487"/>
      <c r="K928" s="487"/>
      <c r="L928" s="487"/>
      <c r="M928" s="263"/>
      <c r="N928" s="490"/>
      <c r="O928" s="490"/>
      <c r="P928" s="490"/>
      <c r="Q928" s="490"/>
      <c r="R928" s="490"/>
      <c r="S928" s="490"/>
      <c r="T928" s="490"/>
      <c r="U928" s="263"/>
      <c r="V928" s="493"/>
      <c r="W928" s="267"/>
      <c r="X928" s="263"/>
      <c r="AE928" s="253" t="str">
        <f>VLOOKUP(I930,vylosovanie!$F$8:$L$190,7,0)</f>
        <v>CH82</v>
      </c>
      <c r="AF928" s="268">
        <f>IF(N930&gt;N927,1,0)</f>
        <v>0</v>
      </c>
      <c r="AG928" s="268">
        <f t="shared" ref="AG928" si="641">IF(O930&gt;O927,1,0)</f>
        <v>0</v>
      </c>
      <c r="AH928" s="268">
        <f t="shared" ref="AH928" si="642">IF(P930&gt;P927,1,0)</f>
        <v>0</v>
      </c>
      <c r="AI928" s="268">
        <f t="shared" ref="AI928" si="643">IF(Q930&gt;Q927,1,0)</f>
        <v>0</v>
      </c>
      <c r="AJ928" s="268">
        <f t="shared" ref="AJ928" si="644">IF(R930&gt;R927,1,0)</f>
        <v>0</v>
      </c>
      <c r="AK928" s="268">
        <f t="shared" ref="AK928" si="645">IF(S930&gt;S927,1,0)</f>
        <v>0</v>
      </c>
      <c r="AL928" s="268">
        <f t="shared" ref="AL928" si="646">IF(T930&gt;T927,1,0)</f>
        <v>0</v>
      </c>
      <c r="AN928" s="268">
        <f t="shared" ref="AN928:AT928" si="647">IF(ISBLANK(N930)=TRUE,"",IF(AF928=1,N927,-N930))</f>
        <v>-10</v>
      </c>
      <c r="AO928" s="268">
        <f t="shared" si="647"/>
        <v>-7</v>
      </c>
      <c r="AP928" s="268">
        <f t="shared" si="647"/>
        <v>-4</v>
      </c>
      <c r="AQ928" s="268" t="str">
        <f t="shared" si="647"/>
        <v/>
      </c>
      <c r="AR928" s="268" t="str">
        <f t="shared" si="647"/>
        <v/>
      </c>
      <c r="AS928" s="268" t="str">
        <f t="shared" si="647"/>
        <v/>
      </c>
      <c r="AT928" s="268" t="str">
        <f t="shared" si="647"/>
        <v/>
      </c>
      <c r="AZ928" s="269" t="s">
        <v>18</v>
      </c>
      <c r="BA928" s="269">
        <v>2</v>
      </c>
    </row>
    <row r="929" spans="1:53" ht="39.950000000000003" customHeight="1">
      <c r="E929" s="264" t="s">
        <v>35</v>
      </c>
      <c r="F929" s="265" t="str">
        <f>VLOOKUP(A925,'zoznam zapasov'!$A$6:$K$77,9,0)</f>
        <v>So</v>
      </c>
      <c r="G929" s="263"/>
      <c r="H929" s="263"/>
      <c r="I929" s="263"/>
      <c r="J929" s="263"/>
      <c r="K929" s="263"/>
      <c r="L929" s="263"/>
      <c r="M929" s="263"/>
      <c r="N929" s="263"/>
      <c r="O929" s="263"/>
      <c r="P929" s="263"/>
      <c r="Q929" s="263"/>
      <c r="R929" s="263"/>
      <c r="S929" s="263"/>
      <c r="T929" s="263"/>
      <c r="U929" s="263"/>
      <c r="V929" s="263"/>
      <c r="W929" s="267"/>
      <c r="X929" s="263"/>
      <c r="AZ929" s="269" t="s">
        <v>38</v>
      </c>
      <c r="BA929" s="269">
        <v>3</v>
      </c>
    </row>
    <row r="930" spans="1:53" ht="39.950000000000003" customHeight="1">
      <c r="A930" s="252" t="str">
        <f>CONCATENATE(F932,VLOOKUP(F934,$AZ$7:$BA$14,2,0),RIGHT(F936,1))</f>
        <v>CH82</v>
      </c>
      <c r="E930" s="264" t="s">
        <v>28</v>
      </c>
      <c r="F930" s="270" t="str">
        <f>VLOOKUP(A925,'zoznam zapasov'!$A$6:$K$77,10,0)</f>
        <v>11.35</v>
      </c>
      <c r="G930" s="508"/>
      <c r="H930" s="486"/>
      <c r="I930" s="487" t="str">
        <f>IF(ISERROR(VLOOKUP(A930,vylosovanie!$A$8:$J$68,6,0))=TRUE,"",VLOOKUP(A930,vylosovanie!$A$8:$J$68,6,0))</f>
        <v>FUSEK Patrik</v>
      </c>
      <c r="J930" s="487"/>
      <c r="K930" s="487"/>
      <c r="L930" s="487"/>
      <c r="M930" s="263"/>
      <c r="N930" s="489">
        <v>10</v>
      </c>
      <c r="O930" s="489">
        <v>7</v>
      </c>
      <c r="P930" s="489">
        <v>4</v>
      </c>
      <c r="Q930" s="489"/>
      <c r="R930" s="489"/>
      <c r="S930" s="489"/>
      <c r="T930" s="489"/>
      <c r="U930" s="263"/>
      <c r="V930" s="493">
        <f>IF(SUM(AF927:AL928)=0,"",SUM(AF928:AL928))</f>
        <v>0</v>
      </c>
      <c r="W930" s="267"/>
      <c r="X930" s="263"/>
      <c r="AZ930" s="269" t="s">
        <v>39</v>
      </c>
      <c r="BA930" s="269">
        <v>4</v>
      </c>
    </row>
    <row r="931" spans="1:53" ht="39.950000000000003" customHeight="1">
      <c r="E931" s="271"/>
      <c r="F931" s="272"/>
      <c r="G931" s="509"/>
      <c r="H931" s="486"/>
      <c r="I931" s="487"/>
      <c r="J931" s="487"/>
      <c r="K931" s="487"/>
      <c r="L931" s="487"/>
      <c r="M931" s="263"/>
      <c r="N931" s="490"/>
      <c r="O931" s="490"/>
      <c r="P931" s="490"/>
      <c r="Q931" s="490"/>
      <c r="R931" s="490"/>
      <c r="S931" s="490"/>
      <c r="T931" s="490"/>
      <c r="U931" s="263"/>
      <c r="V931" s="493"/>
      <c r="W931" s="267"/>
      <c r="X931" s="263"/>
      <c r="AZ931" s="269" t="s">
        <v>40</v>
      </c>
      <c r="BA931" s="269">
        <v>5</v>
      </c>
    </row>
    <row r="932" spans="1:53" ht="39.950000000000003" customHeight="1">
      <c r="E932" s="264" t="s">
        <v>66</v>
      </c>
      <c r="F932" s="265" t="s">
        <v>65</v>
      </c>
      <c r="G932" s="263"/>
      <c r="H932" s="263"/>
      <c r="I932" s="263"/>
      <c r="J932" s="263"/>
      <c r="K932" s="263"/>
      <c r="L932" s="263"/>
      <c r="M932" s="263"/>
      <c r="N932" s="263"/>
      <c r="O932" s="263"/>
      <c r="P932" s="263"/>
      <c r="Q932" s="263"/>
      <c r="R932" s="263"/>
      <c r="S932" s="263"/>
      <c r="T932" s="263"/>
      <c r="U932" s="263"/>
      <c r="V932" s="263"/>
      <c r="W932" s="267"/>
      <c r="X932" s="263"/>
      <c r="AZ932" s="269" t="s">
        <v>41</v>
      </c>
      <c r="BA932" s="269">
        <v>6</v>
      </c>
    </row>
    <row r="933" spans="1:53" ht="39.950000000000003" customHeight="1">
      <c r="E933" s="271"/>
      <c r="F933" s="272"/>
      <c r="G933" s="263"/>
      <c r="H933" s="263"/>
      <c r="I933" s="263" t="s">
        <v>32</v>
      </c>
      <c r="J933" s="263"/>
      <c r="K933" s="263"/>
      <c r="L933" s="263"/>
      <c r="M933" s="263"/>
      <c r="N933" s="273"/>
      <c r="O933" s="266"/>
      <c r="P933" s="266" t="s">
        <v>34</v>
      </c>
      <c r="Q933" s="266"/>
      <c r="R933" s="266"/>
      <c r="S933" s="266"/>
      <c r="T933" s="266"/>
      <c r="U933" s="263"/>
      <c r="V933" s="263"/>
      <c r="W933" s="267"/>
      <c r="X933" s="263"/>
      <c r="AZ933" s="269" t="s">
        <v>42</v>
      </c>
      <c r="BA933" s="269">
        <v>7</v>
      </c>
    </row>
    <row r="934" spans="1:53" ht="39.950000000000003" customHeight="1">
      <c r="E934" s="264" t="s">
        <v>26</v>
      </c>
      <c r="F934" s="265" t="s">
        <v>43</v>
      </c>
      <c r="G934" s="263"/>
      <c r="H934" s="263"/>
      <c r="I934" s="486"/>
      <c r="J934" s="486"/>
      <c r="K934" s="486"/>
      <c r="L934" s="486"/>
      <c r="M934" s="263"/>
      <c r="N934" s="486" t="str">
        <f>IF(V927&gt;V930,I927,IF(V930&gt;V927,I930,""))</f>
        <v>PAPÁNEK Martin</v>
      </c>
      <c r="O934" s="486"/>
      <c r="P934" s="486"/>
      <c r="Q934" s="486"/>
      <c r="R934" s="486"/>
      <c r="S934" s="486"/>
      <c r="T934" s="263"/>
      <c r="U934" s="263"/>
      <c r="V934" s="263"/>
      <c r="W934" s="267"/>
      <c r="X934" s="263"/>
      <c r="AZ934" s="269" t="s">
        <v>43</v>
      </c>
      <c r="BA934" s="269">
        <v>8</v>
      </c>
    </row>
    <row r="935" spans="1:53" ht="39.950000000000003" customHeight="1">
      <c r="E935" s="271"/>
      <c r="F935" s="272"/>
      <c r="G935" s="263"/>
      <c r="H935" s="263"/>
      <c r="I935" s="486"/>
      <c r="J935" s="486"/>
      <c r="K935" s="486"/>
      <c r="L935" s="486"/>
      <c r="M935" s="263"/>
      <c r="N935" s="486"/>
      <c r="O935" s="486"/>
      <c r="P935" s="486"/>
      <c r="Q935" s="486"/>
      <c r="R935" s="486"/>
      <c r="S935" s="486"/>
      <c r="T935" s="263"/>
      <c r="U935" s="263"/>
      <c r="V935" s="263"/>
      <c r="W935" s="267"/>
      <c r="X935" s="263"/>
    </row>
    <row r="936" spans="1:53" ht="39.950000000000003" customHeight="1">
      <c r="E936" s="264" t="s">
        <v>27</v>
      </c>
      <c r="F936" s="274" t="s">
        <v>22</v>
      </c>
      <c r="G936" s="263"/>
      <c r="H936" s="263"/>
      <c r="I936" s="263"/>
      <c r="J936" s="263"/>
      <c r="K936" s="263"/>
      <c r="L936" s="263"/>
      <c r="M936" s="263"/>
      <c r="N936" s="263"/>
      <c r="O936" s="263"/>
      <c r="P936" s="263"/>
      <c r="Q936" s="263"/>
      <c r="R936" s="263"/>
      <c r="S936" s="263"/>
      <c r="T936" s="263"/>
      <c r="U936" s="263"/>
      <c r="V936" s="263"/>
      <c r="W936" s="267"/>
      <c r="X936" s="263"/>
    </row>
    <row r="937" spans="1:53" ht="39.950000000000003" customHeight="1">
      <c r="E937" s="271"/>
      <c r="F937" s="272"/>
      <c r="G937" s="263"/>
      <c r="H937" s="263" t="s">
        <v>33</v>
      </c>
      <c r="I937" s="263"/>
      <c r="J937" s="263"/>
      <c r="K937" s="263"/>
      <c r="L937" s="263"/>
      <c r="M937" s="263"/>
      <c r="N937" s="263"/>
      <c r="O937" s="263"/>
      <c r="P937" s="263"/>
      <c r="Q937" s="263"/>
      <c r="R937" s="263"/>
      <c r="S937" s="263"/>
      <c r="T937" s="263"/>
      <c r="U937" s="263"/>
      <c r="V937" s="263"/>
      <c r="W937" s="267"/>
      <c r="X937" s="263"/>
    </row>
    <row r="938" spans="1:53" ht="39.950000000000003" customHeight="1">
      <c r="E938" s="271"/>
      <c r="F938" s="272"/>
      <c r="G938" s="263"/>
      <c r="H938" s="263"/>
      <c r="I938" s="263"/>
      <c r="J938" s="263"/>
      <c r="K938" s="263"/>
      <c r="L938" s="263"/>
      <c r="M938" s="263"/>
      <c r="N938" s="263"/>
      <c r="O938" s="263"/>
      <c r="P938" s="263"/>
      <c r="Q938" s="263"/>
      <c r="R938" s="263"/>
      <c r="S938" s="263"/>
      <c r="T938" s="263"/>
      <c r="U938" s="263"/>
      <c r="V938" s="263"/>
      <c r="W938" s="267"/>
      <c r="X938" s="263"/>
    </row>
    <row r="939" spans="1:53" ht="39.950000000000003" customHeight="1">
      <c r="E939" s="271"/>
      <c r="F939" s="272"/>
      <c r="G939" s="263"/>
      <c r="H939" s="263"/>
      <c r="I939" s="496" t="str">
        <f>I927</f>
        <v>PAPÁNEK Martin</v>
      </c>
      <c r="J939" s="496"/>
      <c r="K939" s="496"/>
      <c r="L939" s="496"/>
      <c r="M939" s="263"/>
      <c r="N939" s="263"/>
      <c r="O939" s="263"/>
      <c r="P939" s="496" t="str">
        <f>I930</f>
        <v>FUSEK Patrik</v>
      </c>
      <c r="Q939" s="496"/>
      <c r="R939" s="496"/>
      <c r="S939" s="496"/>
      <c r="T939" s="497"/>
      <c r="U939" s="497"/>
      <c r="V939" s="263"/>
      <c r="W939" s="267"/>
      <c r="X939" s="263"/>
    </row>
    <row r="940" spans="1:53" ht="69.95" customHeight="1">
      <c r="E940" s="264"/>
      <c r="F940" s="265"/>
      <c r="G940" s="263"/>
      <c r="H940" s="275" t="s">
        <v>36</v>
      </c>
      <c r="I940" s="483"/>
      <c r="J940" s="494"/>
      <c r="K940" s="494"/>
      <c r="L940" s="495"/>
      <c r="M940" s="263"/>
      <c r="N940" s="263"/>
      <c r="O940" s="275" t="s">
        <v>36</v>
      </c>
      <c r="P940" s="486"/>
      <c r="Q940" s="486"/>
      <c r="R940" s="486"/>
      <c r="S940" s="486"/>
      <c r="T940" s="486"/>
      <c r="U940" s="486"/>
      <c r="V940" s="263"/>
      <c r="W940" s="267"/>
      <c r="X940" s="263"/>
    </row>
    <row r="941" spans="1:53" ht="69.95" customHeight="1">
      <c r="E941" s="264"/>
      <c r="F941" s="265"/>
      <c r="G941" s="263"/>
      <c r="H941" s="275" t="s">
        <v>37</v>
      </c>
      <c r="I941" s="486"/>
      <c r="J941" s="486"/>
      <c r="K941" s="486"/>
      <c r="L941" s="486"/>
      <c r="M941" s="263"/>
      <c r="N941" s="263"/>
      <c r="O941" s="275" t="s">
        <v>37</v>
      </c>
      <c r="P941" s="486"/>
      <c r="Q941" s="486"/>
      <c r="R941" s="486"/>
      <c r="S941" s="486"/>
      <c r="T941" s="486"/>
      <c r="U941" s="486"/>
      <c r="V941" s="263"/>
      <c r="W941" s="267"/>
      <c r="X941" s="263"/>
    </row>
    <row r="942" spans="1:53" ht="69.95" customHeight="1">
      <c r="E942" s="264"/>
      <c r="F942" s="265"/>
      <c r="G942" s="263"/>
      <c r="H942" s="275" t="s">
        <v>37</v>
      </c>
      <c r="I942" s="486"/>
      <c r="J942" s="486"/>
      <c r="K942" s="486"/>
      <c r="L942" s="486"/>
      <c r="M942" s="263"/>
      <c r="N942" s="263"/>
      <c r="O942" s="275" t="s">
        <v>37</v>
      </c>
      <c r="P942" s="486"/>
      <c r="Q942" s="486"/>
      <c r="R942" s="486"/>
      <c r="S942" s="486"/>
      <c r="T942" s="486"/>
      <c r="U942" s="486"/>
      <c r="V942" s="263"/>
      <c r="W942" s="267"/>
      <c r="X942" s="263"/>
    </row>
    <row r="943" spans="1:53" ht="39.950000000000003" customHeight="1" thickBot="1">
      <c r="E943" s="276"/>
      <c r="F943" s="277"/>
      <c r="G943" s="278"/>
      <c r="H943" s="278"/>
      <c r="I943" s="278"/>
      <c r="J943" s="278"/>
      <c r="K943" s="278"/>
      <c r="L943" s="278"/>
      <c r="M943" s="278"/>
      <c r="N943" s="278"/>
      <c r="O943" s="278"/>
      <c r="P943" s="278"/>
      <c r="Q943" s="278"/>
      <c r="R943" s="278"/>
      <c r="S943" s="278"/>
      <c r="T943" s="279"/>
      <c r="U943" s="279"/>
      <c r="V943" s="279"/>
      <c r="W943" s="280"/>
      <c r="X943" s="263"/>
    </row>
    <row r="944" spans="1:53" ht="62.25" thickBot="1"/>
    <row r="945" spans="1:53" ht="39.950000000000003" customHeight="1">
      <c r="A945" s="252" t="str">
        <f>CONCATENATE(F952,F954,F956)</f>
        <v>CHH3-4</v>
      </c>
      <c r="E945" s="259" t="s">
        <v>70</v>
      </c>
      <c r="F945" s="260">
        <f>VLOOKUP(A945,'zoznam zapasov'!$A$6:$K$77,3,0)</f>
        <v>48</v>
      </c>
      <c r="G945" s="261"/>
      <c r="H945" s="322" t="s">
        <v>501</v>
      </c>
      <c r="I945" s="261"/>
      <c r="J945" s="261"/>
      <c r="K945" s="261"/>
      <c r="L945" s="261"/>
      <c r="M945" s="261"/>
      <c r="N945" s="261"/>
      <c r="O945" s="261"/>
      <c r="P945" s="261"/>
      <c r="Q945" s="261"/>
      <c r="R945" s="261"/>
      <c r="S945" s="261"/>
      <c r="T945" s="261"/>
      <c r="U945" s="261"/>
      <c r="V945" s="261" t="s">
        <v>30</v>
      </c>
      <c r="W945" s="262"/>
      <c r="X945" s="263"/>
      <c r="Z945" s="258" t="str">
        <f>CONCATENATE(V947,":",V950)</f>
        <v>0:3</v>
      </c>
      <c r="AE945" s="253" t="s">
        <v>11</v>
      </c>
      <c r="AV945" s="256" t="str">
        <f>CONCATENATE(AN947,",",AO947,",",AP947,",",AQ947,",",AR947,",",AS947,",",AT947)</f>
        <v>-1,-7,-12,,,,</v>
      </c>
    </row>
    <row r="946" spans="1:53" ht="39.950000000000003" customHeight="1">
      <c r="E946" s="264"/>
      <c r="F946" s="265"/>
      <c r="G946" s="321" t="s">
        <v>500</v>
      </c>
      <c r="H946" s="323" t="s">
        <v>502</v>
      </c>
      <c r="I946" s="263"/>
      <c r="J946" s="263"/>
      <c r="K946" s="263"/>
      <c r="L946" s="263"/>
      <c r="M946" s="263"/>
      <c r="N946" s="266">
        <v>1</v>
      </c>
      <c r="O946" s="266">
        <v>2</v>
      </c>
      <c r="P946" s="266">
        <v>3</v>
      </c>
      <c r="Q946" s="266">
        <v>4</v>
      </c>
      <c r="R946" s="266">
        <v>5</v>
      </c>
      <c r="S946" s="266">
        <v>6</v>
      </c>
      <c r="T946" s="266">
        <v>7</v>
      </c>
      <c r="U946" s="263"/>
      <c r="V946" s="266" t="s">
        <v>31</v>
      </c>
      <c r="W946" s="267"/>
      <c r="X946" s="263"/>
      <c r="AE946" s="253" t="s">
        <v>68</v>
      </c>
      <c r="AV946" s="256" t="str">
        <f>CONCATENATE(AN948,",",AO948,",",AP948,",",AQ948,",",AR948,",",AS948,",",AT948)</f>
        <v>1,7,12,,,,</v>
      </c>
    </row>
    <row r="947" spans="1:53" ht="39.950000000000003" customHeight="1">
      <c r="A947" s="252" t="str">
        <f>CONCATENATE(F952,VLOOKUP(F954,$AZ$7:$BA$14,2,0),LEFT(F956,1))</f>
        <v>CH83</v>
      </c>
      <c r="E947" s="264" t="s">
        <v>29</v>
      </c>
      <c r="F947" s="265">
        <f>VLOOKUP(A945,'zoznam zapasov'!$A$6:$K$77,11,0)</f>
        <v>8</v>
      </c>
      <c r="G947" s="508"/>
      <c r="H947" s="495"/>
      <c r="I947" s="487" t="str">
        <f>IF(ISERROR(VLOOKUP(A947,vylosovanie!$A$8:$J$68,6,0))=TRUE,"",VLOOKUP(A947,vylosovanie!$A$8:$J$68,6,0))</f>
        <v>MAKÚCH Damian</v>
      </c>
      <c r="J947" s="487"/>
      <c r="K947" s="487"/>
      <c r="L947" s="487"/>
      <c r="M947" s="263"/>
      <c r="N947" s="489">
        <v>1</v>
      </c>
      <c r="O947" s="489">
        <v>7</v>
      </c>
      <c r="P947" s="489">
        <v>12</v>
      </c>
      <c r="Q947" s="489"/>
      <c r="R947" s="489"/>
      <c r="S947" s="489"/>
      <c r="T947" s="489"/>
      <c r="U947" s="263"/>
      <c r="V947" s="493">
        <f>IF(SUM(AF947:AL948)=0,"",SUM(AF947:AL947))</f>
        <v>0</v>
      </c>
      <c r="W947" s="267"/>
      <c r="X947" s="263"/>
      <c r="AE947" s="253" t="str">
        <f>VLOOKUP(I947,vylosovanie!$F$8:$L$190,7,0)</f>
        <v>CH83</v>
      </c>
      <c r="AF947" s="268">
        <f>IF(N947&gt;N950,1,0)</f>
        <v>0</v>
      </c>
      <c r="AG947" s="268">
        <f t="shared" ref="AG947" si="648">IF(O947&gt;O950,1,0)</f>
        <v>0</v>
      </c>
      <c r="AH947" s="268">
        <f t="shared" ref="AH947" si="649">IF(P947&gt;P950,1,0)</f>
        <v>0</v>
      </c>
      <c r="AI947" s="268">
        <f t="shared" ref="AI947" si="650">IF(Q947&gt;Q950,1,0)</f>
        <v>0</v>
      </c>
      <c r="AJ947" s="268">
        <f t="shared" ref="AJ947" si="651">IF(R947&gt;R950,1,0)</f>
        <v>0</v>
      </c>
      <c r="AK947" s="268">
        <f t="shared" ref="AK947" si="652">IF(S947&gt;S950,1,0)</f>
        <v>0</v>
      </c>
      <c r="AL947" s="268">
        <f t="shared" ref="AL947" si="653">IF(T947&gt;T950,1,0)</f>
        <v>0</v>
      </c>
      <c r="AN947" s="268">
        <f t="shared" ref="AN947:AT947" si="654">IF(ISBLANK(N947)=TRUE,"",IF(AF947=1,N950,-N947))</f>
        <v>-1</v>
      </c>
      <c r="AO947" s="268">
        <f t="shared" si="654"/>
        <v>-7</v>
      </c>
      <c r="AP947" s="268">
        <f t="shared" si="654"/>
        <v>-12</v>
      </c>
      <c r="AQ947" s="268" t="str">
        <f t="shared" si="654"/>
        <v/>
      </c>
      <c r="AR947" s="268" t="str">
        <f t="shared" si="654"/>
        <v/>
      </c>
      <c r="AS947" s="268" t="str">
        <f t="shared" si="654"/>
        <v/>
      </c>
      <c r="AT947" s="268" t="str">
        <f t="shared" si="654"/>
        <v/>
      </c>
      <c r="AZ947" s="269" t="s">
        <v>12</v>
      </c>
      <c r="BA947" s="269">
        <v>1</v>
      </c>
    </row>
    <row r="948" spans="1:53" ht="39.950000000000003" customHeight="1">
      <c r="E948" s="264"/>
      <c r="F948" s="265"/>
      <c r="G948" s="509"/>
      <c r="H948" s="495"/>
      <c r="I948" s="487"/>
      <c r="J948" s="487"/>
      <c r="K948" s="487"/>
      <c r="L948" s="487"/>
      <c r="M948" s="263"/>
      <c r="N948" s="490"/>
      <c r="O948" s="490"/>
      <c r="P948" s="490"/>
      <c r="Q948" s="490"/>
      <c r="R948" s="490"/>
      <c r="S948" s="490"/>
      <c r="T948" s="490"/>
      <c r="U948" s="263"/>
      <c r="V948" s="493"/>
      <c r="W948" s="267"/>
      <c r="X948" s="263"/>
      <c r="AE948" s="253" t="str">
        <f>VLOOKUP(I950,vylosovanie!$F$8:$L$190,7,0)</f>
        <v>CH84</v>
      </c>
      <c r="AF948" s="268">
        <f>IF(N950&gt;N947,1,0)</f>
        <v>1</v>
      </c>
      <c r="AG948" s="268">
        <f t="shared" ref="AG948" si="655">IF(O950&gt;O947,1,0)</f>
        <v>1</v>
      </c>
      <c r="AH948" s="268">
        <f t="shared" ref="AH948" si="656">IF(P950&gt;P947,1,0)</f>
        <v>1</v>
      </c>
      <c r="AI948" s="268">
        <f t="shared" ref="AI948" si="657">IF(Q950&gt;Q947,1,0)</f>
        <v>0</v>
      </c>
      <c r="AJ948" s="268">
        <f t="shared" ref="AJ948" si="658">IF(R950&gt;R947,1,0)</f>
        <v>0</v>
      </c>
      <c r="AK948" s="268">
        <f t="shared" ref="AK948" si="659">IF(S950&gt;S947,1,0)</f>
        <v>0</v>
      </c>
      <c r="AL948" s="268">
        <f t="shared" ref="AL948" si="660">IF(T950&gt;T947,1,0)</f>
        <v>0</v>
      </c>
      <c r="AN948" s="268">
        <f t="shared" ref="AN948:AT948" si="661">IF(ISBLANK(N950)=TRUE,"",IF(AF948=1,N947,-N950))</f>
        <v>1</v>
      </c>
      <c r="AO948" s="268">
        <f t="shared" si="661"/>
        <v>7</v>
      </c>
      <c r="AP948" s="268">
        <f t="shared" si="661"/>
        <v>12</v>
      </c>
      <c r="AQ948" s="268" t="str">
        <f t="shared" si="661"/>
        <v/>
      </c>
      <c r="AR948" s="268" t="str">
        <f t="shared" si="661"/>
        <v/>
      </c>
      <c r="AS948" s="268" t="str">
        <f t="shared" si="661"/>
        <v/>
      </c>
      <c r="AT948" s="268" t="str">
        <f t="shared" si="661"/>
        <v/>
      </c>
      <c r="AZ948" s="269" t="s">
        <v>18</v>
      </c>
      <c r="BA948" s="269">
        <v>2</v>
      </c>
    </row>
    <row r="949" spans="1:53" ht="39.950000000000003" customHeight="1">
      <c r="E949" s="264" t="s">
        <v>35</v>
      </c>
      <c r="F949" s="265" t="str">
        <f>VLOOKUP(A945,'zoznam zapasov'!$A$6:$K$77,9,0)</f>
        <v>So</v>
      </c>
      <c r="G949" s="263"/>
      <c r="H949" s="263"/>
      <c r="I949" s="263"/>
      <c r="J949" s="263"/>
      <c r="K949" s="263"/>
      <c r="L949" s="263"/>
      <c r="M949" s="263"/>
      <c r="N949" s="263"/>
      <c r="O949" s="263"/>
      <c r="P949" s="263"/>
      <c r="Q949" s="263"/>
      <c r="R949" s="263"/>
      <c r="S949" s="263"/>
      <c r="T949" s="263"/>
      <c r="U949" s="263"/>
      <c r="V949" s="263"/>
      <c r="W949" s="267"/>
      <c r="X949" s="263"/>
      <c r="AZ949" s="269" t="s">
        <v>38</v>
      </c>
      <c r="BA949" s="269">
        <v>3</v>
      </c>
    </row>
    <row r="950" spans="1:53" ht="39.950000000000003" customHeight="1">
      <c r="A950" s="252" t="str">
        <f>CONCATENATE(F952,VLOOKUP(F954,$AZ$7:$BA$14,2,0),RIGHT(F956,1))</f>
        <v>CH84</v>
      </c>
      <c r="E950" s="264" t="s">
        <v>28</v>
      </c>
      <c r="F950" s="270" t="str">
        <f>VLOOKUP(A945,'zoznam zapasov'!$A$6:$K$77,10,0)</f>
        <v>11.35</v>
      </c>
      <c r="G950" s="508"/>
      <c r="H950" s="486"/>
      <c r="I950" s="487" t="str">
        <f>IF(ISERROR(VLOOKUP(A950,vylosovanie!$A$8:$J$68,6,0))=TRUE,"",VLOOKUP(A950,vylosovanie!$A$8:$J$68,6,0))</f>
        <v>TRUBÁČIK Tomáš</v>
      </c>
      <c r="J950" s="487"/>
      <c r="K950" s="487"/>
      <c r="L950" s="487"/>
      <c r="M950" s="263"/>
      <c r="N950" s="489">
        <v>11</v>
      </c>
      <c r="O950" s="489">
        <v>11</v>
      </c>
      <c r="P950" s="489">
        <v>14</v>
      </c>
      <c r="Q950" s="489"/>
      <c r="R950" s="489"/>
      <c r="S950" s="489"/>
      <c r="T950" s="489"/>
      <c r="U950" s="263"/>
      <c r="V950" s="493">
        <f>IF(SUM(AF947:AL948)=0,"",SUM(AF948:AL948))</f>
        <v>3</v>
      </c>
      <c r="W950" s="267"/>
      <c r="X950" s="263"/>
      <c r="AZ950" s="269" t="s">
        <v>39</v>
      </c>
      <c r="BA950" s="269">
        <v>4</v>
      </c>
    </row>
    <row r="951" spans="1:53" ht="39.950000000000003" customHeight="1">
      <c r="E951" s="271"/>
      <c r="F951" s="272"/>
      <c r="G951" s="509"/>
      <c r="H951" s="486"/>
      <c r="I951" s="487"/>
      <c r="J951" s="487"/>
      <c r="K951" s="487"/>
      <c r="L951" s="487"/>
      <c r="M951" s="263"/>
      <c r="N951" s="490"/>
      <c r="O951" s="490"/>
      <c r="P951" s="490"/>
      <c r="Q951" s="490"/>
      <c r="R951" s="490"/>
      <c r="S951" s="490"/>
      <c r="T951" s="490"/>
      <c r="U951" s="263"/>
      <c r="V951" s="493"/>
      <c r="W951" s="267"/>
      <c r="X951" s="263"/>
      <c r="AZ951" s="269" t="s">
        <v>40</v>
      </c>
      <c r="BA951" s="269">
        <v>5</v>
      </c>
    </row>
    <row r="952" spans="1:53" ht="39.950000000000003" customHeight="1">
      <c r="E952" s="264" t="s">
        <v>66</v>
      </c>
      <c r="F952" s="265" t="s">
        <v>65</v>
      </c>
      <c r="G952" s="263"/>
      <c r="H952" s="263"/>
      <c r="I952" s="263"/>
      <c r="J952" s="263"/>
      <c r="K952" s="263"/>
      <c r="L952" s="263"/>
      <c r="M952" s="263"/>
      <c r="N952" s="263"/>
      <c r="O952" s="263"/>
      <c r="P952" s="263"/>
      <c r="Q952" s="263"/>
      <c r="R952" s="263"/>
      <c r="S952" s="263"/>
      <c r="T952" s="263"/>
      <c r="U952" s="263"/>
      <c r="V952" s="263"/>
      <c r="W952" s="267"/>
      <c r="X952" s="263"/>
      <c r="AZ952" s="269" t="s">
        <v>41</v>
      </c>
      <c r="BA952" s="269">
        <v>6</v>
      </c>
    </row>
    <row r="953" spans="1:53" ht="39.950000000000003" customHeight="1">
      <c r="E953" s="271"/>
      <c r="F953" s="272"/>
      <c r="G953" s="263"/>
      <c r="H953" s="263"/>
      <c r="I953" s="263" t="s">
        <v>32</v>
      </c>
      <c r="J953" s="263"/>
      <c r="K953" s="263"/>
      <c r="L953" s="263"/>
      <c r="M953" s="263"/>
      <c r="N953" s="273"/>
      <c r="O953" s="266"/>
      <c r="P953" s="266" t="s">
        <v>34</v>
      </c>
      <c r="Q953" s="266"/>
      <c r="R953" s="266"/>
      <c r="S953" s="266"/>
      <c r="T953" s="266"/>
      <c r="U953" s="263"/>
      <c r="V953" s="263"/>
      <c r="W953" s="267"/>
      <c r="X953" s="263"/>
      <c r="AZ953" s="269" t="s">
        <v>42</v>
      </c>
      <c r="BA953" s="269">
        <v>7</v>
      </c>
    </row>
    <row r="954" spans="1:53" ht="39.950000000000003" customHeight="1">
      <c r="E954" s="264" t="s">
        <v>26</v>
      </c>
      <c r="F954" s="265" t="s">
        <v>43</v>
      </c>
      <c r="G954" s="263"/>
      <c r="H954" s="263"/>
      <c r="I954" s="486"/>
      <c r="J954" s="486"/>
      <c r="K954" s="486"/>
      <c r="L954" s="486"/>
      <c r="M954" s="263"/>
      <c r="N954" s="486" t="str">
        <f>IF(V947&gt;V950,I947,IF(V950&gt;V947,I950,""))</f>
        <v>TRUBÁČIK Tomáš</v>
      </c>
      <c r="O954" s="486"/>
      <c r="P954" s="486"/>
      <c r="Q954" s="486"/>
      <c r="R954" s="486"/>
      <c r="S954" s="486"/>
      <c r="T954" s="263"/>
      <c r="U954" s="263"/>
      <c r="V954" s="263"/>
      <c r="W954" s="267"/>
      <c r="X954" s="263"/>
      <c r="AZ954" s="269" t="s">
        <v>43</v>
      </c>
      <c r="BA954" s="269">
        <v>8</v>
      </c>
    </row>
    <row r="955" spans="1:53" ht="39.950000000000003" customHeight="1">
      <c r="E955" s="271"/>
      <c r="F955" s="272"/>
      <c r="G955" s="263"/>
      <c r="H955" s="263"/>
      <c r="I955" s="486"/>
      <c r="J955" s="486"/>
      <c r="K955" s="486"/>
      <c r="L955" s="486"/>
      <c r="M955" s="263"/>
      <c r="N955" s="486"/>
      <c r="O955" s="486"/>
      <c r="P955" s="486"/>
      <c r="Q955" s="486"/>
      <c r="R955" s="486"/>
      <c r="S955" s="486"/>
      <c r="T955" s="263"/>
      <c r="U955" s="263"/>
      <c r="V955" s="263"/>
      <c r="W955" s="267"/>
      <c r="X955" s="263"/>
    </row>
    <row r="956" spans="1:53" ht="39.950000000000003" customHeight="1">
      <c r="E956" s="264" t="s">
        <v>27</v>
      </c>
      <c r="F956" s="274" t="s">
        <v>23</v>
      </c>
      <c r="G956" s="263"/>
      <c r="H956" s="263"/>
      <c r="I956" s="263"/>
      <c r="J956" s="263"/>
      <c r="K956" s="263"/>
      <c r="L956" s="263"/>
      <c r="M956" s="263"/>
      <c r="N956" s="263"/>
      <c r="O956" s="263"/>
      <c r="P956" s="263"/>
      <c r="Q956" s="263"/>
      <c r="R956" s="263"/>
      <c r="S956" s="263"/>
      <c r="T956" s="263"/>
      <c r="U956" s="263"/>
      <c r="V956" s="263"/>
      <c r="W956" s="267"/>
      <c r="X956" s="263"/>
    </row>
    <row r="957" spans="1:53" ht="39.950000000000003" customHeight="1">
      <c r="E957" s="271"/>
      <c r="F957" s="272"/>
      <c r="G957" s="263"/>
      <c r="H957" s="263" t="s">
        <v>33</v>
      </c>
      <c r="I957" s="263"/>
      <c r="J957" s="263"/>
      <c r="K957" s="263"/>
      <c r="L957" s="263"/>
      <c r="M957" s="263"/>
      <c r="N957" s="263"/>
      <c r="O957" s="263"/>
      <c r="P957" s="263"/>
      <c r="Q957" s="263"/>
      <c r="R957" s="263"/>
      <c r="S957" s="263"/>
      <c r="T957" s="263"/>
      <c r="U957" s="263"/>
      <c r="V957" s="263"/>
      <c r="W957" s="267"/>
      <c r="X957" s="263"/>
    </row>
    <row r="958" spans="1:53" ht="39.950000000000003" customHeight="1">
      <c r="E958" s="271"/>
      <c r="F958" s="272"/>
      <c r="G958" s="263"/>
      <c r="H958" s="263"/>
      <c r="I958" s="263"/>
      <c r="J958" s="263"/>
      <c r="K958" s="263"/>
      <c r="L958" s="263"/>
      <c r="M958" s="263"/>
      <c r="N958" s="263"/>
      <c r="O958" s="263"/>
      <c r="P958" s="263"/>
      <c r="Q958" s="263"/>
      <c r="R958" s="263"/>
      <c r="S958" s="263"/>
      <c r="T958" s="263"/>
      <c r="U958" s="263"/>
      <c r="V958" s="263"/>
      <c r="W958" s="267"/>
      <c r="X958" s="263"/>
    </row>
    <row r="959" spans="1:53" ht="39.950000000000003" customHeight="1">
      <c r="E959" s="271"/>
      <c r="F959" s="272"/>
      <c r="G959" s="263"/>
      <c r="H959" s="263"/>
      <c r="I959" s="496" t="str">
        <f>I947</f>
        <v>MAKÚCH Damian</v>
      </c>
      <c r="J959" s="496"/>
      <c r="K959" s="496"/>
      <c r="L959" s="496"/>
      <c r="M959" s="263"/>
      <c r="N959" s="263"/>
      <c r="O959" s="263"/>
      <c r="P959" s="496" t="str">
        <f>I950</f>
        <v>TRUBÁČIK Tomáš</v>
      </c>
      <c r="Q959" s="496"/>
      <c r="R959" s="496"/>
      <c r="S959" s="496"/>
      <c r="T959" s="497"/>
      <c r="U959" s="497"/>
      <c r="V959" s="263"/>
      <c r="W959" s="267"/>
      <c r="X959" s="263"/>
    </row>
    <row r="960" spans="1:53" ht="69.95" customHeight="1">
      <c r="E960" s="264"/>
      <c r="F960" s="265"/>
      <c r="G960" s="263"/>
      <c r="H960" s="275" t="s">
        <v>36</v>
      </c>
      <c r="I960" s="483"/>
      <c r="J960" s="494"/>
      <c r="K960" s="494"/>
      <c r="L960" s="495"/>
      <c r="M960" s="263"/>
      <c r="N960" s="263"/>
      <c r="O960" s="275" t="s">
        <v>36</v>
      </c>
      <c r="P960" s="486"/>
      <c r="Q960" s="486"/>
      <c r="R960" s="486"/>
      <c r="S960" s="486"/>
      <c r="T960" s="486"/>
      <c r="U960" s="486"/>
      <c r="V960" s="263"/>
      <c r="W960" s="267"/>
      <c r="X960" s="263"/>
    </row>
    <row r="961" spans="1:53" ht="69.95" customHeight="1">
      <c r="E961" s="264"/>
      <c r="F961" s="265"/>
      <c r="G961" s="263"/>
      <c r="H961" s="275" t="s">
        <v>37</v>
      </c>
      <c r="I961" s="486"/>
      <c r="J961" s="486"/>
      <c r="K961" s="486"/>
      <c r="L961" s="486"/>
      <c r="M961" s="263"/>
      <c r="N961" s="263"/>
      <c r="O961" s="275" t="s">
        <v>37</v>
      </c>
      <c r="P961" s="486"/>
      <c r="Q961" s="486"/>
      <c r="R961" s="486"/>
      <c r="S961" s="486"/>
      <c r="T961" s="486"/>
      <c r="U961" s="486"/>
      <c r="V961" s="263"/>
      <c r="W961" s="267"/>
      <c r="X961" s="263"/>
    </row>
    <row r="962" spans="1:53" ht="69.95" customHeight="1">
      <c r="E962" s="264"/>
      <c r="F962" s="265"/>
      <c r="G962" s="263"/>
      <c r="H962" s="275" t="s">
        <v>37</v>
      </c>
      <c r="I962" s="486"/>
      <c r="J962" s="486"/>
      <c r="K962" s="486"/>
      <c r="L962" s="486"/>
      <c r="M962" s="263"/>
      <c r="N962" s="263"/>
      <c r="O962" s="275" t="s">
        <v>37</v>
      </c>
      <c r="P962" s="486"/>
      <c r="Q962" s="486"/>
      <c r="R962" s="486"/>
      <c r="S962" s="486"/>
      <c r="T962" s="486"/>
      <c r="U962" s="486"/>
      <c r="V962" s="263"/>
      <c r="W962" s="267"/>
      <c r="X962" s="263"/>
    </row>
    <row r="963" spans="1:53" ht="39.950000000000003" customHeight="1" thickBot="1">
      <c r="E963" s="276"/>
      <c r="F963" s="277"/>
      <c r="G963" s="278"/>
      <c r="H963" s="278"/>
      <c r="I963" s="278"/>
      <c r="J963" s="278"/>
      <c r="K963" s="278"/>
      <c r="L963" s="278"/>
      <c r="M963" s="278"/>
      <c r="N963" s="278"/>
      <c r="O963" s="278"/>
      <c r="P963" s="278"/>
      <c r="Q963" s="278"/>
      <c r="R963" s="278"/>
      <c r="S963" s="278"/>
      <c r="T963" s="279"/>
      <c r="U963" s="279"/>
      <c r="V963" s="279"/>
      <c r="W963" s="280"/>
      <c r="X963" s="263"/>
    </row>
    <row r="964" spans="1:53" ht="62.25" thickBot="1"/>
    <row r="965" spans="1:53" ht="39.950000000000003" customHeight="1">
      <c r="A965" s="252" t="str">
        <f>CONCATENATE(F972,F974,F976)</f>
        <v>DA2-3</v>
      </c>
      <c r="E965" s="259" t="s">
        <v>70</v>
      </c>
      <c r="F965" s="260">
        <f>VLOOKUP(A965,'zoznam zapasov'!$A$6:$K$77,3,0)</f>
        <v>49</v>
      </c>
      <c r="G965" s="261"/>
      <c r="H965" s="322" t="s">
        <v>501</v>
      </c>
      <c r="I965" s="261"/>
      <c r="J965" s="261"/>
      <c r="K965" s="261"/>
      <c r="L965" s="261"/>
      <c r="M965" s="261"/>
      <c r="N965" s="261"/>
      <c r="O965" s="261"/>
      <c r="P965" s="261"/>
      <c r="Q965" s="261"/>
      <c r="R965" s="261"/>
      <c r="S965" s="261"/>
      <c r="T965" s="261"/>
      <c r="U965" s="261"/>
      <c r="V965" s="261" t="s">
        <v>30</v>
      </c>
      <c r="W965" s="262"/>
      <c r="X965" s="263"/>
      <c r="Z965" s="258" t="str">
        <f>CONCATENATE(V967,":",V970)</f>
        <v>3:0</v>
      </c>
      <c r="AE965" s="253" t="s">
        <v>11</v>
      </c>
      <c r="AV965" s="256" t="str">
        <f>CONCATENATE(AN967,",",AO967,",",AP967,",",AQ967,",",AR967,",",AS967,",",AT967)</f>
        <v>9,9,5,,,,</v>
      </c>
    </row>
    <row r="966" spans="1:53" ht="39.950000000000003" customHeight="1">
      <c r="E966" s="264"/>
      <c r="F966" s="265"/>
      <c r="G966" s="321" t="s">
        <v>500</v>
      </c>
      <c r="H966" s="323" t="s">
        <v>502</v>
      </c>
      <c r="I966" s="263"/>
      <c r="J966" s="263"/>
      <c r="K966" s="263"/>
      <c r="L966" s="263"/>
      <c r="M966" s="263"/>
      <c r="N966" s="266">
        <v>1</v>
      </c>
      <c r="O966" s="266">
        <v>2</v>
      </c>
      <c r="P966" s="266">
        <v>3</v>
      </c>
      <c r="Q966" s="266">
        <v>4</v>
      </c>
      <c r="R966" s="266">
        <v>5</v>
      </c>
      <c r="S966" s="266">
        <v>6</v>
      </c>
      <c r="T966" s="266">
        <v>7</v>
      </c>
      <c r="U966" s="263"/>
      <c r="V966" s="266" t="s">
        <v>31</v>
      </c>
      <c r="W966" s="267"/>
      <c r="X966" s="263"/>
      <c r="AE966" s="253" t="s">
        <v>68</v>
      </c>
      <c r="AV966" s="256" t="str">
        <f>CONCATENATE(AN968,",",AO968,",",AP968,",",AQ968,",",AR968,",",AS968,",",AT968)</f>
        <v>-9,-9,-5,,,,</v>
      </c>
    </row>
    <row r="967" spans="1:53" ht="39.950000000000003" customHeight="1">
      <c r="A967" s="252" t="str">
        <f>CONCATENATE(F972,VLOOKUP(F974,$AZ$7:$BA$14,2,0),LEFT(F976,1))</f>
        <v>D12</v>
      </c>
      <c r="E967" s="264" t="s">
        <v>29</v>
      </c>
      <c r="F967" s="265">
        <f>VLOOKUP(A965,'zoznam zapasov'!$A$6:$K$77,11,0)</f>
        <v>1</v>
      </c>
      <c r="G967" s="508"/>
      <c r="H967" s="495"/>
      <c r="I967" s="487" t="str">
        <f>IF(ISERROR(VLOOKUP(A967,vylosovanie!$A$8:$J$68,6,0))=TRUE,"",VLOOKUP(A967,vylosovanie!$A$8:$J$68,6,0))</f>
        <v>CHYLOVÁ Sabína</v>
      </c>
      <c r="J967" s="487"/>
      <c r="K967" s="487"/>
      <c r="L967" s="487"/>
      <c r="M967" s="263"/>
      <c r="N967" s="489">
        <v>11</v>
      </c>
      <c r="O967" s="489">
        <v>11</v>
      </c>
      <c r="P967" s="489">
        <v>11</v>
      </c>
      <c r="Q967" s="489"/>
      <c r="R967" s="489"/>
      <c r="S967" s="489"/>
      <c r="T967" s="489"/>
      <c r="U967" s="263"/>
      <c r="V967" s="493">
        <f>IF(SUM(AF967:AL968)=0,"",SUM(AF967:AL967))</f>
        <v>3</v>
      </c>
      <c r="W967" s="267"/>
      <c r="X967" s="263"/>
      <c r="AE967" s="253" t="str">
        <f>VLOOKUP(I967,vylosovanie!$F$8:$L$190,7,0)</f>
        <v>D12</v>
      </c>
      <c r="AF967" s="268">
        <f>IF(N967&gt;N970,1,0)</f>
        <v>1</v>
      </c>
      <c r="AG967" s="268">
        <f t="shared" ref="AG967" si="662">IF(O967&gt;O970,1,0)</f>
        <v>1</v>
      </c>
      <c r="AH967" s="268">
        <f t="shared" ref="AH967" si="663">IF(P967&gt;P970,1,0)</f>
        <v>1</v>
      </c>
      <c r="AI967" s="268">
        <f t="shared" ref="AI967" si="664">IF(Q967&gt;Q970,1,0)</f>
        <v>0</v>
      </c>
      <c r="AJ967" s="268">
        <f t="shared" ref="AJ967" si="665">IF(R967&gt;R970,1,0)</f>
        <v>0</v>
      </c>
      <c r="AK967" s="268">
        <f t="shared" ref="AK967" si="666">IF(S967&gt;S970,1,0)</f>
        <v>0</v>
      </c>
      <c r="AL967" s="268">
        <f t="shared" ref="AL967" si="667">IF(T967&gt;T970,1,0)</f>
        <v>0</v>
      </c>
      <c r="AN967" s="268">
        <f t="shared" ref="AN967:AT967" si="668">IF(ISBLANK(N967)=TRUE,"",IF(AF967=1,N970,-N967))</f>
        <v>9</v>
      </c>
      <c r="AO967" s="268">
        <f t="shared" si="668"/>
        <v>9</v>
      </c>
      <c r="AP967" s="268">
        <f t="shared" si="668"/>
        <v>5</v>
      </c>
      <c r="AQ967" s="268" t="str">
        <f t="shared" si="668"/>
        <v/>
      </c>
      <c r="AR967" s="268" t="str">
        <f t="shared" si="668"/>
        <v/>
      </c>
      <c r="AS967" s="268" t="str">
        <f t="shared" si="668"/>
        <v/>
      </c>
      <c r="AT967" s="268" t="str">
        <f t="shared" si="668"/>
        <v/>
      </c>
      <c r="AZ967" s="269" t="s">
        <v>12</v>
      </c>
      <c r="BA967" s="269">
        <v>1</v>
      </c>
    </row>
    <row r="968" spans="1:53" ht="39.950000000000003" customHeight="1">
      <c r="E968" s="264"/>
      <c r="F968" s="265"/>
      <c r="G968" s="509"/>
      <c r="H968" s="495"/>
      <c r="I968" s="487"/>
      <c r="J968" s="487"/>
      <c r="K968" s="487"/>
      <c r="L968" s="487"/>
      <c r="M968" s="263"/>
      <c r="N968" s="490"/>
      <c r="O968" s="490"/>
      <c r="P968" s="490"/>
      <c r="Q968" s="490"/>
      <c r="R968" s="490"/>
      <c r="S968" s="490"/>
      <c r="T968" s="490"/>
      <c r="U968" s="263"/>
      <c r="V968" s="493"/>
      <c r="W968" s="267"/>
      <c r="X968" s="263"/>
      <c r="AE968" s="253" t="str">
        <f>VLOOKUP(I970,vylosovanie!$F$8:$L$190,7,0)</f>
        <v>D13</v>
      </c>
      <c r="AF968" s="268">
        <f>IF(N970&gt;N967,1,0)</f>
        <v>0</v>
      </c>
      <c r="AG968" s="268">
        <f t="shared" ref="AG968" si="669">IF(O970&gt;O967,1,0)</f>
        <v>0</v>
      </c>
      <c r="AH968" s="268">
        <f t="shared" ref="AH968" si="670">IF(P970&gt;P967,1,0)</f>
        <v>0</v>
      </c>
      <c r="AI968" s="268">
        <f t="shared" ref="AI968" si="671">IF(Q970&gt;Q967,1,0)</f>
        <v>0</v>
      </c>
      <c r="AJ968" s="268">
        <f t="shared" ref="AJ968" si="672">IF(R970&gt;R967,1,0)</f>
        <v>0</v>
      </c>
      <c r="AK968" s="268">
        <f t="shared" ref="AK968" si="673">IF(S970&gt;S967,1,0)</f>
        <v>0</v>
      </c>
      <c r="AL968" s="268">
        <f t="shared" ref="AL968" si="674">IF(T970&gt;T967,1,0)</f>
        <v>0</v>
      </c>
      <c r="AN968" s="268">
        <f t="shared" ref="AN968:AT968" si="675">IF(ISBLANK(N970)=TRUE,"",IF(AF968=1,N967,-N970))</f>
        <v>-9</v>
      </c>
      <c r="AO968" s="268">
        <f t="shared" si="675"/>
        <v>-9</v>
      </c>
      <c r="AP968" s="268">
        <f t="shared" si="675"/>
        <v>-5</v>
      </c>
      <c r="AQ968" s="268" t="str">
        <f t="shared" si="675"/>
        <v/>
      </c>
      <c r="AR968" s="268" t="str">
        <f t="shared" si="675"/>
        <v/>
      </c>
      <c r="AS968" s="268" t="str">
        <f t="shared" si="675"/>
        <v/>
      </c>
      <c r="AT968" s="268" t="str">
        <f t="shared" si="675"/>
        <v/>
      </c>
      <c r="AZ968" s="269" t="s">
        <v>18</v>
      </c>
      <c r="BA968" s="269">
        <v>2</v>
      </c>
    </row>
    <row r="969" spans="1:53" ht="39.950000000000003" customHeight="1">
      <c r="E969" s="264" t="s">
        <v>35</v>
      </c>
      <c r="F969" s="265" t="str">
        <f>VLOOKUP(A965,'zoznam zapasov'!$A$6:$K$77,9,0)</f>
        <v>So</v>
      </c>
      <c r="G969" s="263"/>
      <c r="H969" s="263"/>
      <c r="I969" s="263"/>
      <c r="J969" s="263"/>
      <c r="K969" s="263"/>
      <c r="L969" s="263"/>
      <c r="M969" s="263"/>
      <c r="N969" s="263"/>
      <c r="O969" s="263"/>
      <c r="P969" s="263"/>
      <c r="Q969" s="263"/>
      <c r="R969" s="263"/>
      <c r="S969" s="263"/>
      <c r="T969" s="263"/>
      <c r="U969" s="263"/>
      <c r="V969" s="263"/>
      <c r="W969" s="267"/>
      <c r="X969" s="263"/>
      <c r="AZ969" s="269" t="s">
        <v>38</v>
      </c>
      <c r="BA969" s="269">
        <v>3</v>
      </c>
    </row>
    <row r="970" spans="1:53" ht="39.950000000000003" customHeight="1">
      <c r="A970" s="252" t="str">
        <f>CONCATENATE(F972,VLOOKUP(F974,$AZ$7:$BA$14,2,0),RIGHT(F976,1))</f>
        <v>D13</v>
      </c>
      <c r="E970" s="264" t="s">
        <v>28</v>
      </c>
      <c r="F970" s="270" t="str">
        <f>VLOOKUP(A965,'zoznam zapasov'!$A$6:$K$77,10,0)</f>
        <v>12.00</v>
      </c>
      <c r="G970" s="508"/>
      <c r="H970" s="486"/>
      <c r="I970" s="487" t="str">
        <f>IF(ISERROR(VLOOKUP(A970,vylosovanie!$A$8:$J$68,6,0))=TRUE,"",VLOOKUP(A970,vylosovanie!$A$8:$J$68,6,0))</f>
        <v>LEDAJOVÁ Martina</v>
      </c>
      <c r="J970" s="487"/>
      <c r="K970" s="487"/>
      <c r="L970" s="487"/>
      <c r="M970" s="263"/>
      <c r="N970" s="489">
        <v>9</v>
      </c>
      <c r="O970" s="489">
        <v>9</v>
      </c>
      <c r="P970" s="489">
        <v>5</v>
      </c>
      <c r="Q970" s="489"/>
      <c r="R970" s="489"/>
      <c r="S970" s="489"/>
      <c r="T970" s="489"/>
      <c r="U970" s="263"/>
      <c r="V970" s="493">
        <f>IF(SUM(AF967:AL968)=0,"",SUM(AF968:AL968))</f>
        <v>0</v>
      </c>
      <c r="W970" s="267"/>
      <c r="X970" s="263"/>
      <c r="AZ970" s="269" t="s">
        <v>39</v>
      </c>
      <c r="BA970" s="269">
        <v>4</v>
      </c>
    </row>
    <row r="971" spans="1:53" ht="39.950000000000003" customHeight="1">
      <c r="E971" s="271"/>
      <c r="F971" s="272"/>
      <c r="G971" s="509"/>
      <c r="H971" s="486"/>
      <c r="I971" s="487"/>
      <c r="J971" s="487"/>
      <c r="K971" s="487"/>
      <c r="L971" s="487"/>
      <c r="M971" s="263"/>
      <c r="N971" s="490"/>
      <c r="O971" s="490"/>
      <c r="P971" s="490"/>
      <c r="Q971" s="490"/>
      <c r="R971" s="490"/>
      <c r="S971" s="490"/>
      <c r="T971" s="490"/>
      <c r="U971" s="263"/>
      <c r="V971" s="493"/>
      <c r="W971" s="267"/>
      <c r="X971" s="263"/>
      <c r="AZ971" s="269" t="s">
        <v>40</v>
      </c>
      <c r="BA971" s="269">
        <v>5</v>
      </c>
    </row>
    <row r="972" spans="1:53" ht="39.950000000000003" customHeight="1">
      <c r="E972" s="264" t="s">
        <v>66</v>
      </c>
      <c r="F972" s="265" t="s">
        <v>39</v>
      </c>
      <c r="G972" s="263"/>
      <c r="H972" s="263"/>
      <c r="I972" s="263"/>
      <c r="J972" s="263"/>
      <c r="K972" s="263"/>
      <c r="L972" s="263"/>
      <c r="M972" s="263"/>
      <c r="N972" s="263"/>
      <c r="O972" s="263"/>
      <c r="P972" s="263"/>
      <c r="Q972" s="263"/>
      <c r="R972" s="263"/>
      <c r="S972" s="263"/>
      <c r="T972" s="263"/>
      <c r="U972" s="263"/>
      <c r="V972" s="263"/>
      <c r="W972" s="267"/>
      <c r="X972" s="263"/>
      <c r="AZ972" s="269" t="s">
        <v>41</v>
      </c>
      <c r="BA972" s="269">
        <v>6</v>
      </c>
    </row>
    <row r="973" spans="1:53" ht="39.950000000000003" customHeight="1">
      <c r="E973" s="271"/>
      <c r="F973" s="272"/>
      <c r="G973" s="263"/>
      <c r="H973" s="263"/>
      <c r="I973" s="263" t="s">
        <v>32</v>
      </c>
      <c r="J973" s="263"/>
      <c r="K973" s="263"/>
      <c r="L973" s="263"/>
      <c r="M973" s="263"/>
      <c r="N973" s="273"/>
      <c r="O973" s="266"/>
      <c r="P973" s="266" t="s">
        <v>34</v>
      </c>
      <c r="Q973" s="266"/>
      <c r="R973" s="266"/>
      <c r="S973" s="266"/>
      <c r="T973" s="266"/>
      <c r="U973" s="263"/>
      <c r="V973" s="263"/>
      <c r="W973" s="267"/>
      <c r="X973" s="263"/>
      <c r="AZ973" s="269" t="s">
        <v>42</v>
      </c>
      <c r="BA973" s="269">
        <v>7</v>
      </c>
    </row>
    <row r="974" spans="1:53" ht="39.950000000000003" customHeight="1">
      <c r="E974" s="264" t="s">
        <v>26</v>
      </c>
      <c r="F974" s="265" t="s">
        <v>12</v>
      </c>
      <c r="G974" s="263"/>
      <c r="H974" s="263"/>
      <c r="I974" s="486"/>
      <c r="J974" s="486"/>
      <c r="K974" s="486"/>
      <c r="L974" s="486"/>
      <c r="M974" s="263"/>
      <c r="N974" s="486" t="str">
        <f>IF(V967&gt;V970,I967,IF(V970&gt;V967,I970,""))</f>
        <v>CHYLOVÁ Sabína</v>
      </c>
      <c r="O974" s="486"/>
      <c r="P974" s="486"/>
      <c r="Q974" s="486"/>
      <c r="R974" s="486"/>
      <c r="S974" s="486"/>
      <c r="T974" s="263"/>
      <c r="U974" s="263"/>
      <c r="V974" s="263"/>
      <c r="W974" s="267"/>
      <c r="X974" s="263"/>
      <c r="AZ974" s="269" t="s">
        <v>43</v>
      </c>
      <c r="BA974" s="269">
        <v>8</v>
      </c>
    </row>
    <row r="975" spans="1:53" ht="39.950000000000003" customHeight="1">
      <c r="E975" s="271"/>
      <c r="F975" s="272"/>
      <c r="G975" s="263"/>
      <c r="H975" s="263"/>
      <c r="I975" s="486"/>
      <c r="J975" s="486"/>
      <c r="K975" s="486"/>
      <c r="L975" s="486"/>
      <c r="M975" s="263"/>
      <c r="N975" s="486"/>
      <c r="O975" s="486"/>
      <c r="P975" s="486"/>
      <c r="Q975" s="486"/>
      <c r="R975" s="486"/>
      <c r="S975" s="486"/>
      <c r="T975" s="263"/>
      <c r="U975" s="263"/>
      <c r="V975" s="263"/>
      <c r="W975" s="267"/>
      <c r="X975" s="263"/>
    </row>
    <row r="976" spans="1:53" ht="39.950000000000003" customHeight="1">
      <c r="E976" s="264" t="s">
        <v>27</v>
      </c>
      <c r="F976" s="274" t="s">
        <v>25</v>
      </c>
      <c r="G976" s="263"/>
      <c r="H976" s="263"/>
      <c r="I976" s="263"/>
      <c r="J976" s="263"/>
      <c r="K976" s="263"/>
      <c r="L976" s="263"/>
      <c r="M976" s="263"/>
      <c r="N976" s="263"/>
      <c r="O976" s="263"/>
      <c r="P976" s="263"/>
      <c r="Q976" s="263"/>
      <c r="R976" s="263"/>
      <c r="S976" s="263"/>
      <c r="T976" s="263"/>
      <c r="U976" s="263"/>
      <c r="V976" s="263"/>
      <c r="W976" s="267"/>
      <c r="X976" s="263"/>
    </row>
    <row r="977" spans="1:53" ht="39.950000000000003" customHeight="1">
      <c r="E977" s="271"/>
      <c r="F977" s="272"/>
      <c r="G977" s="263"/>
      <c r="H977" s="263" t="s">
        <v>33</v>
      </c>
      <c r="I977" s="263"/>
      <c r="J977" s="263"/>
      <c r="K977" s="263"/>
      <c r="L977" s="263"/>
      <c r="M977" s="263"/>
      <c r="N977" s="263"/>
      <c r="O977" s="263"/>
      <c r="P977" s="263"/>
      <c r="Q977" s="263"/>
      <c r="R977" s="263"/>
      <c r="S977" s="263"/>
      <c r="T977" s="263"/>
      <c r="U977" s="263"/>
      <c r="V977" s="263"/>
      <c r="W977" s="267"/>
      <c r="X977" s="263"/>
    </row>
    <row r="978" spans="1:53" ht="39.950000000000003" customHeight="1">
      <c r="E978" s="271"/>
      <c r="F978" s="272"/>
      <c r="G978" s="263"/>
      <c r="H978" s="263"/>
      <c r="I978" s="263"/>
      <c r="J978" s="263"/>
      <c r="K978" s="263"/>
      <c r="L978" s="263"/>
      <c r="M978" s="263"/>
      <c r="N978" s="263"/>
      <c r="O978" s="263"/>
      <c r="P978" s="263"/>
      <c r="Q978" s="263"/>
      <c r="R978" s="263"/>
      <c r="S978" s="263"/>
      <c r="T978" s="263"/>
      <c r="U978" s="263"/>
      <c r="V978" s="263"/>
      <c r="W978" s="267"/>
      <c r="X978" s="263"/>
    </row>
    <row r="979" spans="1:53" ht="39.950000000000003" customHeight="1">
      <c r="E979" s="271"/>
      <c r="F979" s="272"/>
      <c r="G979" s="263"/>
      <c r="H979" s="263"/>
      <c r="I979" s="496" t="str">
        <f>I967</f>
        <v>CHYLOVÁ Sabína</v>
      </c>
      <c r="J979" s="496"/>
      <c r="K979" s="496"/>
      <c r="L979" s="496"/>
      <c r="M979" s="263"/>
      <c r="N979" s="263"/>
      <c r="O979" s="263"/>
      <c r="P979" s="496" t="str">
        <f>I970</f>
        <v>LEDAJOVÁ Martina</v>
      </c>
      <c r="Q979" s="496"/>
      <c r="R979" s="496"/>
      <c r="S979" s="496"/>
      <c r="T979" s="497"/>
      <c r="U979" s="497"/>
      <c r="V979" s="263"/>
      <c r="W979" s="267"/>
      <c r="X979" s="263"/>
    </row>
    <row r="980" spans="1:53" ht="69.95" customHeight="1">
      <c r="E980" s="264"/>
      <c r="F980" s="265"/>
      <c r="G980" s="263"/>
      <c r="H980" s="275" t="s">
        <v>36</v>
      </c>
      <c r="I980" s="483"/>
      <c r="J980" s="494"/>
      <c r="K980" s="494"/>
      <c r="L980" s="495"/>
      <c r="M980" s="263"/>
      <c r="N980" s="263"/>
      <c r="O980" s="275" t="s">
        <v>36</v>
      </c>
      <c r="P980" s="486"/>
      <c r="Q980" s="486"/>
      <c r="R980" s="486"/>
      <c r="S980" s="486"/>
      <c r="T980" s="486"/>
      <c r="U980" s="486"/>
      <c r="V980" s="263"/>
      <c r="W980" s="267"/>
      <c r="X980" s="263"/>
    </row>
    <row r="981" spans="1:53" ht="69.95" customHeight="1">
      <c r="E981" s="264"/>
      <c r="F981" s="265"/>
      <c r="G981" s="263"/>
      <c r="H981" s="275" t="s">
        <v>37</v>
      </c>
      <c r="I981" s="486"/>
      <c r="J981" s="486"/>
      <c r="K981" s="486"/>
      <c r="L981" s="486"/>
      <c r="M981" s="263"/>
      <c r="N981" s="263"/>
      <c r="O981" s="275" t="s">
        <v>37</v>
      </c>
      <c r="P981" s="486"/>
      <c r="Q981" s="486"/>
      <c r="R981" s="486"/>
      <c r="S981" s="486"/>
      <c r="T981" s="486"/>
      <c r="U981" s="486"/>
      <c r="V981" s="263"/>
      <c r="W981" s="267"/>
      <c r="X981" s="263"/>
    </row>
    <row r="982" spans="1:53" ht="69.95" customHeight="1">
      <c r="E982" s="264"/>
      <c r="F982" s="265"/>
      <c r="G982" s="263"/>
      <c r="H982" s="275" t="s">
        <v>37</v>
      </c>
      <c r="I982" s="486"/>
      <c r="J982" s="486"/>
      <c r="K982" s="486"/>
      <c r="L982" s="486"/>
      <c r="M982" s="263"/>
      <c r="N982" s="263"/>
      <c r="O982" s="275" t="s">
        <v>37</v>
      </c>
      <c r="P982" s="486"/>
      <c r="Q982" s="486"/>
      <c r="R982" s="486"/>
      <c r="S982" s="486"/>
      <c r="T982" s="486"/>
      <c r="U982" s="486"/>
      <c r="V982" s="263"/>
      <c r="W982" s="267"/>
      <c r="X982" s="263"/>
    </row>
    <row r="983" spans="1:53" ht="39.950000000000003" customHeight="1" thickBot="1">
      <c r="E983" s="276"/>
      <c r="F983" s="277"/>
      <c r="G983" s="278"/>
      <c r="H983" s="278"/>
      <c r="I983" s="278"/>
      <c r="J983" s="278"/>
      <c r="K983" s="278"/>
      <c r="L983" s="278"/>
      <c r="M983" s="278"/>
      <c r="N983" s="278"/>
      <c r="O983" s="278"/>
      <c r="P983" s="278"/>
      <c r="Q983" s="278"/>
      <c r="R983" s="278"/>
      <c r="S983" s="278"/>
      <c r="T983" s="279"/>
      <c r="U983" s="279"/>
      <c r="V983" s="279"/>
      <c r="W983" s="280"/>
      <c r="X983" s="263"/>
    </row>
    <row r="984" spans="1:53" ht="62.25" thickBot="1">
      <c r="A984" s="252" t="s">
        <v>62</v>
      </c>
    </row>
    <row r="985" spans="1:53" ht="39.950000000000003" customHeight="1">
      <c r="A985" s="252" t="str">
        <f>CONCATENATE(F992,F994,F996)</f>
        <v>DB2-3</v>
      </c>
      <c r="E985" s="259" t="s">
        <v>70</v>
      </c>
      <c r="F985" s="260">
        <f>VLOOKUP(A985,'zoznam zapasov'!$A$6:$K$77,3,0)</f>
        <v>50</v>
      </c>
      <c r="G985" s="261"/>
      <c r="H985" s="322" t="s">
        <v>501</v>
      </c>
      <c r="I985" s="261"/>
      <c r="J985" s="261"/>
      <c r="K985" s="261"/>
      <c r="L985" s="261"/>
      <c r="M985" s="261"/>
      <c r="N985" s="261"/>
      <c r="O985" s="261"/>
      <c r="P985" s="261"/>
      <c r="Q985" s="261"/>
      <c r="R985" s="261"/>
      <c r="S985" s="261"/>
      <c r="T985" s="261"/>
      <c r="U985" s="261"/>
      <c r="V985" s="261" t="s">
        <v>30</v>
      </c>
      <c r="W985" s="262"/>
      <c r="X985" s="263"/>
      <c r="Z985" s="258" t="str">
        <f>CONCATENATE(V987,":",V990)</f>
        <v>3:1</v>
      </c>
      <c r="AE985" s="253" t="s">
        <v>11</v>
      </c>
      <c r="AV985" s="256" t="str">
        <f>CONCATENATE(AN987,",",AO987,",",AP987,",",AQ987,",",AR987,",",AS987,",",AT987)</f>
        <v>-7,8,4,7,,,</v>
      </c>
    </row>
    <row r="986" spans="1:53" ht="39.950000000000003" customHeight="1">
      <c r="E986" s="264"/>
      <c r="F986" s="265"/>
      <c r="G986" s="321" t="s">
        <v>500</v>
      </c>
      <c r="H986" s="323" t="s">
        <v>502</v>
      </c>
      <c r="I986" s="263"/>
      <c r="J986" s="263"/>
      <c r="K986" s="263"/>
      <c r="L986" s="263"/>
      <c r="M986" s="263"/>
      <c r="N986" s="266">
        <v>1</v>
      </c>
      <c r="O986" s="266">
        <v>2</v>
      </c>
      <c r="P986" s="266">
        <v>3</v>
      </c>
      <c r="Q986" s="266">
        <v>4</v>
      </c>
      <c r="R986" s="266">
        <v>5</v>
      </c>
      <c r="S986" s="266">
        <v>6</v>
      </c>
      <c r="T986" s="266">
        <v>7</v>
      </c>
      <c r="U986" s="263"/>
      <c r="V986" s="266" t="s">
        <v>31</v>
      </c>
      <c r="W986" s="267"/>
      <c r="X986" s="263"/>
      <c r="AE986" s="253" t="s">
        <v>68</v>
      </c>
      <c r="AV986" s="256" t="str">
        <f>CONCATENATE(AN988,",",AO988,",",AP988,",",AQ988,",",AR988,",",AS988,",",AT988)</f>
        <v>7,-8,-4,-7,,,</v>
      </c>
    </row>
    <row r="987" spans="1:53" ht="39.950000000000003" customHeight="1">
      <c r="A987" s="252" t="str">
        <f>CONCATENATE(F992,VLOOKUP(F994,$AZ$7:$BA$14,2,0),LEFT(F996,1))</f>
        <v>D22</v>
      </c>
      <c r="E987" s="264" t="s">
        <v>29</v>
      </c>
      <c r="F987" s="265">
        <f>VLOOKUP(A985,'zoznam zapasov'!$A$6:$K$77,11,0)</f>
        <v>2</v>
      </c>
      <c r="G987" s="508"/>
      <c r="H987" s="495"/>
      <c r="I987" s="487" t="str">
        <f>IF(ISERROR(VLOOKUP(A987,vylosovanie!$A$8:$J$68,6,0))=TRUE,"",VLOOKUP(A987,vylosovanie!$A$8:$J$68,6,0))</f>
        <v>MIKULOVÁ Terézia</v>
      </c>
      <c r="J987" s="487"/>
      <c r="K987" s="487"/>
      <c r="L987" s="487"/>
      <c r="M987" s="263"/>
      <c r="N987" s="489">
        <v>7</v>
      </c>
      <c r="O987" s="489">
        <v>11</v>
      </c>
      <c r="P987" s="489">
        <v>11</v>
      </c>
      <c r="Q987" s="489">
        <v>11</v>
      </c>
      <c r="R987" s="489"/>
      <c r="S987" s="489"/>
      <c r="T987" s="489"/>
      <c r="U987" s="263"/>
      <c r="V987" s="493">
        <f>IF(SUM(AF987:AL988)=0,"",SUM(AF987:AL987))</f>
        <v>3</v>
      </c>
      <c r="W987" s="267"/>
      <c r="X987" s="263"/>
      <c r="AE987" s="253" t="str">
        <f>VLOOKUP(I987,vylosovanie!$F$8:$L$190,7,0)</f>
        <v>D22</v>
      </c>
      <c r="AF987" s="268">
        <f>IF(N987&gt;N990,1,0)</f>
        <v>0</v>
      </c>
      <c r="AG987" s="268">
        <f t="shared" ref="AG987" si="676">IF(O987&gt;O990,1,0)</f>
        <v>1</v>
      </c>
      <c r="AH987" s="268">
        <f t="shared" ref="AH987" si="677">IF(P987&gt;P990,1,0)</f>
        <v>1</v>
      </c>
      <c r="AI987" s="268">
        <f t="shared" ref="AI987" si="678">IF(Q987&gt;Q990,1,0)</f>
        <v>1</v>
      </c>
      <c r="AJ987" s="268">
        <f t="shared" ref="AJ987" si="679">IF(R987&gt;R990,1,0)</f>
        <v>0</v>
      </c>
      <c r="AK987" s="268">
        <f t="shared" ref="AK987" si="680">IF(S987&gt;S990,1,0)</f>
        <v>0</v>
      </c>
      <c r="AL987" s="268">
        <f t="shared" ref="AL987" si="681">IF(T987&gt;T990,1,0)</f>
        <v>0</v>
      </c>
      <c r="AN987" s="268">
        <f t="shared" ref="AN987:AT987" si="682">IF(ISBLANK(N987)=TRUE,"",IF(AF987=1,N990,-N987))</f>
        <v>-7</v>
      </c>
      <c r="AO987" s="268">
        <f t="shared" si="682"/>
        <v>8</v>
      </c>
      <c r="AP987" s="268">
        <f t="shared" si="682"/>
        <v>4</v>
      </c>
      <c r="AQ987" s="268">
        <f t="shared" si="682"/>
        <v>7</v>
      </c>
      <c r="AR987" s="268" t="str">
        <f t="shared" si="682"/>
        <v/>
      </c>
      <c r="AS987" s="268" t="str">
        <f t="shared" si="682"/>
        <v/>
      </c>
      <c r="AT987" s="268" t="str">
        <f t="shared" si="682"/>
        <v/>
      </c>
      <c r="AZ987" s="269" t="s">
        <v>12</v>
      </c>
      <c r="BA987" s="269">
        <v>1</v>
      </c>
    </row>
    <row r="988" spans="1:53" ht="39.950000000000003" customHeight="1">
      <c r="E988" s="264"/>
      <c r="F988" s="265"/>
      <c r="G988" s="509"/>
      <c r="H988" s="495"/>
      <c r="I988" s="487"/>
      <c r="J988" s="487"/>
      <c r="K988" s="487"/>
      <c r="L988" s="487"/>
      <c r="M988" s="263"/>
      <c r="N988" s="490"/>
      <c r="O988" s="490"/>
      <c r="P988" s="490"/>
      <c r="Q988" s="490"/>
      <c r="R988" s="490"/>
      <c r="S988" s="490"/>
      <c r="T988" s="490"/>
      <c r="U988" s="263"/>
      <c r="V988" s="493"/>
      <c r="W988" s="267"/>
      <c r="X988" s="263"/>
      <c r="AE988" s="253" t="str">
        <f>VLOOKUP(I990,vylosovanie!$F$8:$L$190,7,0)</f>
        <v>D23</v>
      </c>
      <c r="AF988" s="268">
        <f>IF(N990&gt;N987,1,0)</f>
        <v>1</v>
      </c>
      <c r="AG988" s="268">
        <f t="shared" ref="AG988" si="683">IF(O990&gt;O987,1,0)</f>
        <v>0</v>
      </c>
      <c r="AH988" s="268">
        <f t="shared" ref="AH988" si="684">IF(P990&gt;P987,1,0)</f>
        <v>0</v>
      </c>
      <c r="AI988" s="268">
        <f t="shared" ref="AI988" si="685">IF(Q990&gt;Q987,1,0)</f>
        <v>0</v>
      </c>
      <c r="AJ988" s="268">
        <f t="shared" ref="AJ988" si="686">IF(R990&gt;R987,1,0)</f>
        <v>0</v>
      </c>
      <c r="AK988" s="268">
        <f t="shared" ref="AK988" si="687">IF(S990&gt;S987,1,0)</f>
        <v>0</v>
      </c>
      <c r="AL988" s="268">
        <f t="shared" ref="AL988" si="688">IF(T990&gt;T987,1,0)</f>
        <v>0</v>
      </c>
      <c r="AN988" s="268">
        <f t="shared" ref="AN988:AT988" si="689">IF(ISBLANK(N990)=TRUE,"",IF(AF988=1,N987,-N990))</f>
        <v>7</v>
      </c>
      <c r="AO988" s="268">
        <f t="shared" si="689"/>
        <v>-8</v>
      </c>
      <c r="AP988" s="268">
        <f t="shared" si="689"/>
        <v>-4</v>
      </c>
      <c r="AQ988" s="268">
        <f t="shared" si="689"/>
        <v>-7</v>
      </c>
      <c r="AR988" s="268" t="str">
        <f t="shared" si="689"/>
        <v/>
      </c>
      <c r="AS988" s="268" t="str">
        <f t="shared" si="689"/>
        <v/>
      </c>
      <c r="AT988" s="268" t="str">
        <f t="shared" si="689"/>
        <v/>
      </c>
      <c r="AZ988" s="269" t="s">
        <v>18</v>
      </c>
      <c r="BA988" s="269">
        <v>2</v>
      </c>
    </row>
    <row r="989" spans="1:53" ht="39.950000000000003" customHeight="1">
      <c r="E989" s="264" t="s">
        <v>35</v>
      </c>
      <c r="F989" s="265" t="str">
        <f>VLOOKUP(A985,'zoznam zapasov'!$A$6:$K$77,9,0)</f>
        <v>So</v>
      </c>
      <c r="G989" s="263"/>
      <c r="H989" s="263"/>
      <c r="I989" s="263"/>
      <c r="J989" s="263"/>
      <c r="K989" s="263"/>
      <c r="L989" s="263"/>
      <c r="M989" s="263"/>
      <c r="N989" s="263"/>
      <c r="O989" s="263"/>
      <c r="P989" s="263"/>
      <c r="Q989" s="263"/>
      <c r="R989" s="263"/>
      <c r="S989" s="263"/>
      <c r="T989" s="263"/>
      <c r="U989" s="263"/>
      <c r="V989" s="263"/>
      <c r="W989" s="267"/>
      <c r="X989" s="263"/>
      <c r="AZ989" s="269" t="s">
        <v>38</v>
      </c>
      <c r="BA989" s="269">
        <v>3</v>
      </c>
    </row>
    <row r="990" spans="1:53" ht="39.950000000000003" customHeight="1">
      <c r="A990" s="252" t="str">
        <f>CONCATENATE(F992,VLOOKUP(F994,$AZ$7:$BA$14,2,0),RIGHT(F996,1))</f>
        <v>D23</v>
      </c>
      <c r="E990" s="264" t="s">
        <v>28</v>
      </c>
      <c r="F990" s="270" t="str">
        <f>VLOOKUP(A985,'zoznam zapasov'!$A$6:$K$77,10,0)</f>
        <v>12.00</v>
      </c>
      <c r="G990" s="508"/>
      <c r="H990" s="486"/>
      <c r="I990" s="487" t="str">
        <f>IF(ISERROR(VLOOKUP(A990,vylosovanie!$A$8:$J$68,6,0))=TRUE,"",VLOOKUP(A990,vylosovanie!$A$8:$J$68,6,0))</f>
        <v>GALČÍKOVÁ Sára</v>
      </c>
      <c r="J990" s="487"/>
      <c r="K990" s="487"/>
      <c r="L990" s="487"/>
      <c r="M990" s="263"/>
      <c r="N990" s="489">
        <v>11</v>
      </c>
      <c r="O990" s="489">
        <v>8</v>
      </c>
      <c r="P990" s="489">
        <v>4</v>
      </c>
      <c r="Q990" s="489">
        <v>7</v>
      </c>
      <c r="R990" s="489"/>
      <c r="S990" s="489"/>
      <c r="T990" s="489"/>
      <c r="U990" s="263"/>
      <c r="V990" s="493">
        <f>IF(SUM(AF987:AL988)=0,"",SUM(AF988:AL988))</f>
        <v>1</v>
      </c>
      <c r="W990" s="267"/>
      <c r="X990" s="263"/>
      <c r="AZ990" s="269" t="s">
        <v>39</v>
      </c>
      <c r="BA990" s="269">
        <v>4</v>
      </c>
    </row>
    <row r="991" spans="1:53" ht="39.950000000000003" customHeight="1">
      <c r="E991" s="271"/>
      <c r="F991" s="272"/>
      <c r="G991" s="509"/>
      <c r="H991" s="486"/>
      <c r="I991" s="487"/>
      <c r="J991" s="487"/>
      <c r="K991" s="487"/>
      <c r="L991" s="487"/>
      <c r="M991" s="263"/>
      <c r="N991" s="490"/>
      <c r="O991" s="490"/>
      <c r="P991" s="490"/>
      <c r="Q991" s="490"/>
      <c r="R991" s="490"/>
      <c r="S991" s="490"/>
      <c r="T991" s="490"/>
      <c r="U991" s="263"/>
      <c r="V991" s="493"/>
      <c r="W991" s="267"/>
      <c r="X991" s="263"/>
      <c r="AZ991" s="269" t="s">
        <v>40</v>
      </c>
      <c r="BA991" s="269">
        <v>5</v>
      </c>
    </row>
    <row r="992" spans="1:53" ht="39.950000000000003" customHeight="1">
      <c r="E992" s="264" t="s">
        <v>66</v>
      </c>
      <c r="F992" s="265" t="s">
        <v>39</v>
      </c>
      <c r="G992" s="263"/>
      <c r="H992" s="263"/>
      <c r="I992" s="263"/>
      <c r="J992" s="263"/>
      <c r="K992" s="263"/>
      <c r="L992" s="263"/>
      <c r="M992" s="263"/>
      <c r="N992" s="263"/>
      <c r="O992" s="263"/>
      <c r="P992" s="263"/>
      <c r="Q992" s="263"/>
      <c r="R992" s="263"/>
      <c r="S992" s="263"/>
      <c r="T992" s="263"/>
      <c r="U992" s="263"/>
      <c r="V992" s="263"/>
      <c r="W992" s="267"/>
      <c r="X992" s="263"/>
      <c r="AZ992" s="269" t="s">
        <v>41</v>
      </c>
      <c r="BA992" s="269">
        <v>6</v>
      </c>
    </row>
    <row r="993" spans="1:53" ht="39.950000000000003" customHeight="1">
      <c r="E993" s="271"/>
      <c r="F993" s="272"/>
      <c r="G993" s="263"/>
      <c r="H993" s="263"/>
      <c r="I993" s="263" t="s">
        <v>32</v>
      </c>
      <c r="J993" s="263"/>
      <c r="K993" s="263"/>
      <c r="L993" s="263"/>
      <c r="M993" s="263"/>
      <c r="N993" s="273"/>
      <c r="O993" s="266"/>
      <c r="P993" s="266" t="s">
        <v>34</v>
      </c>
      <c r="Q993" s="266"/>
      <c r="R993" s="266"/>
      <c r="S993" s="266"/>
      <c r="T993" s="266"/>
      <c r="U993" s="263"/>
      <c r="V993" s="263"/>
      <c r="W993" s="267"/>
      <c r="X993" s="263"/>
      <c r="AZ993" s="269" t="s">
        <v>42</v>
      </c>
      <c r="BA993" s="269">
        <v>7</v>
      </c>
    </row>
    <row r="994" spans="1:53" ht="39.950000000000003" customHeight="1">
      <c r="E994" s="264" t="s">
        <v>26</v>
      </c>
      <c r="F994" s="265" t="s">
        <v>18</v>
      </c>
      <c r="G994" s="263"/>
      <c r="H994" s="263"/>
      <c r="I994" s="486"/>
      <c r="J994" s="486"/>
      <c r="K994" s="486"/>
      <c r="L994" s="486"/>
      <c r="M994" s="263"/>
      <c r="N994" s="486" t="str">
        <f>IF(V987&gt;V990,I987,IF(V990&gt;V987,I990,""))</f>
        <v>MIKULOVÁ Terézia</v>
      </c>
      <c r="O994" s="486"/>
      <c r="P994" s="486"/>
      <c r="Q994" s="486"/>
      <c r="R994" s="486"/>
      <c r="S994" s="486"/>
      <c r="T994" s="263"/>
      <c r="U994" s="263"/>
      <c r="V994" s="263"/>
      <c r="W994" s="267"/>
      <c r="X994" s="263"/>
      <c r="AZ994" s="269" t="s">
        <v>43</v>
      </c>
      <c r="BA994" s="269">
        <v>8</v>
      </c>
    </row>
    <row r="995" spans="1:53" ht="39.950000000000003" customHeight="1">
      <c r="E995" s="271"/>
      <c r="F995" s="272"/>
      <c r="G995" s="263"/>
      <c r="H995" s="263"/>
      <c r="I995" s="486"/>
      <c r="J995" s="486"/>
      <c r="K995" s="486"/>
      <c r="L995" s="486"/>
      <c r="M995" s="263"/>
      <c r="N995" s="486"/>
      <c r="O995" s="486"/>
      <c r="P995" s="486"/>
      <c r="Q995" s="486"/>
      <c r="R995" s="486"/>
      <c r="S995" s="486"/>
      <c r="T995" s="263"/>
      <c r="U995" s="263"/>
      <c r="V995" s="263"/>
      <c r="W995" s="267"/>
      <c r="X995" s="263"/>
    </row>
    <row r="996" spans="1:53" ht="39.950000000000003" customHeight="1">
      <c r="E996" s="264" t="s">
        <v>27</v>
      </c>
      <c r="F996" s="274" t="s">
        <v>25</v>
      </c>
      <c r="G996" s="263"/>
      <c r="H996" s="263"/>
      <c r="I996" s="263"/>
      <c r="J996" s="263"/>
      <c r="K996" s="263"/>
      <c r="L996" s="263"/>
      <c r="M996" s="263"/>
      <c r="N996" s="263"/>
      <c r="O996" s="263"/>
      <c r="P996" s="263"/>
      <c r="Q996" s="263"/>
      <c r="R996" s="263"/>
      <c r="S996" s="263"/>
      <c r="T996" s="263"/>
      <c r="U996" s="263"/>
      <c r="V996" s="263"/>
      <c r="W996" s="267"/>
      <c r="X996" s="263"/>
    </row>
    <row r="997" spans="1:53" ht="39.950000000000003" customHeight="1">
      <c r="E997" s="271"/>
      <c r="F997" s="272"/>
      <c r="G997" s="263"/>
      <c r="H997" s="263" t="s">
        <v>33</v>
      </c>
      <c r="I997" s="263"/>
      <c r="J997" s="263"/>
      <c r="K997" s="263"/>
      <c r="L997" s="263"/>
      <c r="M997" s="263"/>
      <c r="N997" s="263"/>
      <c r="O997" s="263"/>
      <c r="P997" s="263"/>
      <c r="Q997" s="263"/>
      <c r="R997" s="263"/>
      <c r="S997" s="263"/>
      <c r="T997" s="263"/>
      <c r="U997" s="263"/>
      <c r="V997" s="263"/>
      <c r="W997" s="267"/>
      <c r="X997" s="263"/>
    </row>
    <row r="998" spans="1:53" ht="39.950000000000003" customHeight="1">
      <c r="E998" s="271"/>
      <c r="F998" s="272"/>
      <c r="G998" s="263"/>
      <c r="H998" s="263"/>
      <c r="I998" s="263"/>
      <c r="J998" s="263"/>
      <c r="K998" s="263"/>
      <c r="L998" s="263"/>
      <c r="M998" s="263"/>
      <c r="N998" s="263"/>
      <c r="O998" s="263"/>
      <c r="P998" s="263"/>
      <c r="Q998" s="263"/>
      <c r="R998" s="263"/>
      <c r="S998" s="263"/>
      <c r="T998" s="263"/>
      <c r="U998" s="263"/>
      <c r="V998" s="263"/>
      <c r="W998" s="267"/>
      <c r="X998" s="263"/>
    </row>
    <row r="999" spans="1:53" ht="39.950000000000003" customHeight="1">
      <c r="E999" s="271"/>
      <c r="F999" s="272"/>
      <c r="G999" s="263"/>
      <c r="H999" s="263"/>
      <c r="I999" s="496" t="str">
        <f>I987</f>
        <v>MIKULOVÁ Terézia</v>
      </c>
      <c r="J999" s="496"/>
      <c r="K999" s="496"/>
      <c r="L999" s="496"/>
      <c r="M999" s="263"/>
      <c r="N999" s="263"/>
      <c r="O999" s="263"/>
      <c r="P999" s="496" t="str">
        <f>I990</f>
        <v>GALČÍKOVÁ Sára</v>
      </c>
      <c r="Q999" s="496"/>
      <c r="R999" s="496"/>
      <c r="S999" s="496"/>
      <c r="T999" s="497"/>
      <c r="U999" s="497"/>
      <c r="V999" s="263"/>
      <c r="W999" s="267"/>
      <c r="X999" s="263"/>
    </row>
    <row r="1000" spans="1:53" ht="69.95" customHeight="1">
      <c r="E1000" s="264"/>
      <c r="F1000" s="265"/>
      <c r="G1000" s="263"/>
      <c r="H1000" s="275" t="s">
        <v>36</v>
      </c>
      <c r="I1000" s="483"/>
      <c r="J1000" s="494"/>
      <c r="K1000" s="494"/>
      <c r="L1000" s="495"/>
      <c r="M1000" s="263"/>
      <c r="N1000" s="263"/>
      <c r="O1000" s="275" t="s">
        <v>36</v>
      </c>
      <c r="P1000" s="486"/>
      <c r="Q1000" s="486"/>
      <c r="R1000" s="486"/>
      <c r="S1000" s="486"/>
      <c r="T1000" s="486"/>
      <c r="U1000" s="486"/>
      <c r="V1000" s="263"/>
      <c r="W1000" s="267"/>
      <c r="X1000" s="263"/>
    </row>
    <row r="1001" spans="1:53" ht="69.95" customHeight="1">
      <c r="E1001" s="264"/>
      <c r="F1001" s="265"/>
      <c r="G1001" s="263"/>
      <c r="H1001" s="275" t="s">
        <v>37</v>
      </c>
      <c r="I1001" s="486"/>
      <c r="J1001" s="486"/>
      <c r="K1001" s="486"/>
      <c r="L1001" s="486"/>
      <c r="M1001" s="263"/>
      <c r="N1001" s="263"/>
      <c r="O1001" s="275" t="s">
        <v>37</v>
      </c>
      <c r="P1001" s="486"/>
      <c r="Q1001" s="486"/>
      <c r="R1001" s="486"/>
      <c r="S1001" s="486"/>
      <c r="T1001" s="486"/>
      <c r="U1001" s="486"/>
      <c r="V1001" s="263"/>
      <c r="W1001" s="267"/>
      <c r="X1001" s="263"/>
    </row>
    <row r="1002" spans="1:53" ht="69.95" customHeight="1">
      <c r="E1002" s="264"/>
      <c r="F1002" s="265"/>
      <c r="G1002" s="263"/>
      <c r="H1002" s="275" t="s">
        <v>37</v>
      </c>
      <c r="I1002" s="486"/>
      <c r="J1002" s="486"/>
      <c r="K1002" s="486"/>
      <c r="L1002" s="486"/>
      <c r="M1002" s="263"/>
      <c r="N1002" s="263"/>
      <c r="O1002" s="275" t="s">
        <v>37</v>
      </c>
      <c r="P1002" s="486"/>
      <c r="Q1002" s="486"/>
      <c r="R1002" s="486"/>
      <c r="S1002" s="486"/>
      <c r="T1002" s="486"/>
      <c r="U1002" s="486"/>
      <c r="V1002" s="263"/>
      <c r="W1002" s="267"/>
      <c r="X1002" s="263"/>
    </row>
    <row r="1003" spans="1:53" ht="39.950000000000003" customHeight="1" thickBot="1">
      <c r="E1003" s="276"/>
      <c r="F1003" s="277"/>
      <c r="G1003" s="278"/>
      <c r="H1003" s="278"/>
      <c r="I1003" s="278"/>
      <c r="J1003" s="278"/>
      <c r="K1003" s="278"/>
      <c r="L1003" s="278"/>
      <c r="M1003" s="278"/>
      <c r="N1003" s="278"/>
      <c r="O1003" s="278"/>
      <c r="P1003" s="278"/>
      <c r="Q1003" s="278"/>
      <c r="R1003" s="278"/>
      <c r="S1003" s="278"/>
      <c r="T1003" s="279"/>
      <c r="U1003" s="279"/>
      <c r="V1003" s="279"/>
      <c r="W1003" s="280"/>
      <c r="X1003" s="263"/>
    </row>
    <row r="1004" spans="1:53" ht="62.25" thickBot="1">
      <c r="A1004" s="252" t="s">
        <v>62</v>
      </c>
    </row>
    <row r="1005" spans="1:53" ht="39.950000000000003" customHeight="1">
      <c r="A1005" s="252" t="str">
        <f>CONCATENATE(F1012,F1014,F1016)</f>
        <v>DC2-3</v>
      </c>
      <c r="E1005" s="259" t="s">
        <v>70</v>
      </c>
      <c r="F1005" s="260">
        <f>VLOOKUP(A1005,'zoznam zapasov'!$A$6:$K$77,3,0)</f>
        <v>51</v>
      </c>
      <c r="G1005" s="261"/>
      <c r="H1005" s="322" t="s">
        <v>501</v>
      </c>
      <c r="I1005" s="261"/>
      <c r="J1005" s="261"/>
      <c r="K1005" s="261"/>
      <c r="L1005" s="261"/>
      <c r="M1005" s="261"/>
      <c r="N1005" s="261"/>
      <c r="O1005" s="261"/>
      <c r="P1005" s="261"/>
      <c r="Q1005" s="261"/>
      <c r="R1005" s="261"/>
      <c r="S1005" s="261"/>
      <c r="T1005" s="261"/>
      <c r="U1005" s="261"/>
      <c r="V1005" s="261" t="s">
        <v>30</v>
      </c>
      <c r="W1005" s="262"/>
      <c r="X1005" s="263"/>
      <c r="Z1005" s="258" t="str">
        <f>CONCATENATE(V1007,":",V1010)</f>
        <v>3:1</v>
      </c>
      <c r="AE1005" s="253" t="s">
        <v>11</v>
      </c>
      <c r="AV1005" s="256" t="str">
        <f>CONCATENATE(AN1007,",",AO1007,",",AP1007,",",AQ1007,",",AR1007,",",AS1007,",",AT1007)</f>
        <v>6,10,-4,4,,,</v>
      </c>
    </row>
    <row r="1006" spans="1:53" ht="39.950000000000003" customHeight="1">
      <c r="E1006" s="264"/>
      <c r="F1006" s="265"/>
      <c r="G1006" s="321" t="s">
        <v>500</v>
      </c>
      <c r="H1006" s="323" t="s">
        <v>502</v>
      </c>
      <c r="I1006" s="263"/>
      <c r="J1006" s="263"/>
      <c r="K1006" s="263"/>
      <c r="L1006" s="263"/>
      <c r="M1006" s="263"/>
      <c r="N1006" s="266">
        <v>1</v>
      </c>
      <c r="O1006" s="266">
        <v>2</v>
      </c>
      <c r="P1006" s="266">
        <v>3</v>
      </c>
      <c r="Q1006" s="266">
        <v>4</v>
      </c>
      <c r="R1006" s="266">
        <v>5</v>
      </c>
      <c r="S1006" s="266">
        <v>6</v>
      </c>
      <c r="T1006" s="266">
        <v>7</v>
      </c>
      <c r="U1006" s="263"/>
      <c r="V1006" s="266" t="s">
        <v>31</v>
      </c>
      <c r="W1006" s="267"/>
      <c r="X1006" s="263"/>
      <c r="AE1006" s="253" t="s">
        <v>68</v>
      </c>
      <c r="AV1006" s="256" t="str">
        <f>CONCATENATE(AN1008,",",AO1008,",",AP1008,",",AQ1008,",",AR1008,",",AS1008,",",AT1008)</f>
        <v>-6,-10,4,-4,,,</v>
      </c>
    </row>
    <row r="1007" spans="1:53" ht="39.950000000000003" customHeight="1">
      <c r="A1007" s="252" t="str">
        <f>CONCATENATE(F1012,VLOOKUP(F1014,$AZ$7:$BA$14,2,0),LEFT(F1016,1))</f>
        <v>D32</v>
      </c>
      <c r="E1007" s="264" t="s">
        <v>29</v>
      </c>
      <c r="F1007" s="265">
        <f>VLOOKUP(A1005,'zoznam zapasov'!$A$6:$K$77,11,0)</f>
        <v>3</v>
      </c>
      <c r="G1007" s="508"/>
      <c r="H1007" s="495"/>
      <c r="I1007" s="487" t="str">
        <f>IF(ISERROR(VLOOKUP(A1007,vylosovanie!$A$8:$J$68,6,0))=TRUE,"",VLOOKUP(A1007,vylosovanie!$A$8:$J$68,6,0))</f>
        <v>DZUROVÁ Lenka</v>
      </c>
      <c r="J1007" s="487"/>
      <c r="K1007" s="487"/>
      <c r="L1007" s="487"/>
      <c r="M1007" s="263"/>
      <c r="N1007" s="489">
        <v>11</v>
      </c>
      <c r="O1007" s="489">
        <v>12</v>
      </c>
      <c r="P1007" s="489">
        <v>4</v>
      </c>
      <c r="Q1007" s="489">
        <v>11</v>
      </c>
      <c r="R1007" s="489"/>
      <c r="S1007" s="489"/>
      <c r="T1007" s="489"/>
      <c r="U1007" s="263"/>
      <c r="V1007" s="493">
        <f>IF(SUM(AF1007:AL1008)=0,"",SUM(AF1007:AL1007))</f>
        <v>3</v>
      </c>
      <c r="W1007" s="267"/>
      <c r="X1007" s="263"/>
      <c r="AE1007" s="253" t="str">
        <f>VLOOKUP(I1007,vylosovanie!$F$8:$L$190,7,0)</f>
        <v>D32</v>
      </c>
      <c r="AF1007" s="268">
        <f>IF(N1007&gt;N1010,1,0)</f>
        <v>1</v>
      </c>
      <c r="AG1007" s="268">
        <f t="shared" ref="AG1007" si="690">IF(O1007&gt;O1010,1,0)</f>
        <v>1</v>
      </c>
      <c r="AH1007" s="268">
        <f t="shared" ref="AH1007" si="691">IF(P1007&gt;P1010,1,0)</f>
        <v>0</v>
      </c>
      <c r="AI1007" s="268">
        <f t="shared" ref="AI1007" si="692">IF(Q1007&gt;Q1010,1,0)</f>
        <v>1</v>
      </c>
      <c r="AJ1007" s="268">
        <f t="shared" ref="AJ1007" si="693">IF(R1007&gt;R1010,1,0)</f>
        <v>0</v>
      </c>
      <c r="AK1007" s="268">
        <f t="shared" ref="AK1007" si="694">IF(S1007&gt;S1010,1,0)</f>
        <v>0</v>
      </c>
      <c r="AL1007" s="268">
        <f t="shared" ref="AL1007" si="695">IF(T1007&gt;T1010,1,0)</f>
        <v>0</v>
      </c>
      <c r="AN1007" s="268">
        <f t="shared" ref="AN1007:AT1007" si="696">IF(ISBLANK(N1007)=TRUE,"",IF(AF1007=1,N1010,-N1007))</f>
        <v>6</v>
      </c>
      <c r="AO1007" s="268">
        <f t="shared" si="696"/>
        <v>10</v>
      </c>
      <c r="AP1007" s="268">
        <f t="shared" si="696"/>
        <v>-4</v>
      </c>
      <c r="AQ1007" s="268">
        <f t="shared" si="696"/>
        <v>4</v>
      </c>
      <c r="AR1007" s="268" t="str">
        <f t="shared" si="696"/>
        <v/>
      </c>
      <c r="AS1007" s="268" t="str">
        <f t="shared" si="696"/>
        <v/>
      </c>
      <c r="AT1007" s="268" t="str">
        <f t="shared" si="696"/>
        <v/>
      </c>
      <c r="AZ1007" s="269" t="s">
        <v>12</v>
      </c>
      <c r="BA1007" s="269">
        <v>1</v>
      </c>
    </row>
    <row r="1008" spans="1:53" ht="39.950000000000003" customHeight="1">
      <c r="E1008" s="264"/>
      <c r="F1008" s="265"/>
      <c r="G1008" s="509"/>
      <c r="H1008" s="495"/>
      <c r="I1008" s="487"/>
      <c r="J1008" s="487"/>
      <c r="K1008" s="487"/>
      <c r="L1008" s="487"/>
      <c r="M1008" s="263"/>
      <c r="N1008" s="490"/>
      <c r="O1008" s="490"/>
      <c r="P1008" s="490"/>
      <c r="Q1008" s="490"/>
      <c r="R1008" s="490"/>
      <c r="S1008" s="490"/>
      <c r="T1008" s="490"/>
      <c r="U1008" s="263"/>
      <c r="V1008" s="493"/>
      <c r="W1008" s="267"/>
      <c r="X1008" s="263"/>
      <c r="AE1008" s="253" t="str">
        <f>VLOOKUP(I1010,vylosovanie!$F$8:$L$190,7,0)</f>
        <v>D33</v>
      </c>
      <c r="AF1008" s="268">
        <f>IF(N1010&gt;N1007,1,0)</f>
        <v>0</v>
      </c>
      <c r="AG1008" s="268">
        <f t="shared" ref="AG1008" si="697">IF(O1010&gt;O1007,1,0)</f>
        <v>0</v>
      </c>
      <c r="AH1008" s="268">
        <f t="shared" ref="AH1008" si="698">IF(P1010&gt;P1007,1,0)</f>
        <v>1</v>
      </c>
      <c r="AI1008" s="268">
        <f t="shared" ref="AI1008" si="699">IF(Q1010&gt;Q1007,1,0)</f>
        <v>0</v>
      </c>
      <c r="AJ1008" s="268">
        <f t="shared" ref="AJ1008" si="700">IF(R1010&gt;R1007,1,0)</f>
        <v>0</v>
      </c>
      <c r="AK1008" s="268">
        <f t="shared" ref="AK1008" si="701">IF(S1010&gt;S1007,1,0)</f>
        <v>0</v>
      </c>
      <c r="AL1008" s="268">
        <f t="shared" ref="AL1008" si="702">IF(T1010&gt;T1007,1,0)</f>
        <v>0</v>
      </c>
      <c r="AN1008" s="268">
        <f t="shared" ref="AN1008:AT1008" si="703">IF(ISBLANK(N1010)=TRUE,"",IF(AF1008=1,N1007,-N1010))</f>
        <v>-6</v>
      </c>
      <c r="AO1008" s="268">
        <f t="shared" si="703"/>
        <v>-10</v>
      </c>
      <c r="AP1008" s="268">
        <f t="shared" si="703"/>
        <v>4</v>
      </c>
      <c r="AQ1008" s="268">
        <f t="shared" si="703"/>
        <v>-4</v>
      </c>
      <c r="AR1008" s="268" t="str">
        <f t="shared" si="703"/>
        <v/>
      </c>
      <c r="AS1008" s="268" t="str">
        <f t="shared" si="703"/>
        <v/>
      </c>
      <c r="AT1008" s="268" t="str">
        <f t="shared" si="703"/>
        <v/>
      </c>
      <c r="AZ1008" s="269" t="s">
        <v>18</v>
      </c>
      <c r="BA1008" s="269">
        <v>2</v>
      </c>
    </row>
    <row r="1009" spans="1:53" ht="39.950000000000003" customHeight="1">
      <c r="E1009" s="264" t="s">
        <v>35</v>
      </c>
      <c r="F1009" s="265" t="str">
        <f>VLOOKUP(A1005,'zoznam zapasov'!$A$6:$K$77,9,0)</f>
        <v>So</v>
      </c>
      <c r="G1009" s="263"/>
      <c r="H1009" s="263"/>
      <c r="I1009" s="263"/>
      <c r="J1009" s="263"/>
      <c r="K1009" s="263"/>
      <c r="L1009" s="263"/>
      <c r="M1009" s="263"/>
      <c r="N1009" s="263"/>
      <c r="O1009" s="263"/>
      <c r="P1009" s="263"/>
      <c r="Q1009" s="263"/>
      <c r="R1009" s="263"/>
      <c r="S1009" s="263"/>
      <c r="T1009" s="263"/>
      <c r="U1009" s="263"/>
      <c r="V1009" s="263"/>
      <c r="W1009" s="267"/>
      <c r="X1009" s="263"/>
      <c r="AZ1009" s="269" t="s">
        <v>38</v>
      </c>
      <c r="BA1009" s="269">
        <v>3</v>
      </c>
    </row>
    <row r="1010" spans="1:53" ht="39.950000000000003" customHeight="1">
      <c r="A1010" s="252" t="str">
        <f>CONCATENATE(F1012,VLOOKUP(F1014,$AZ$7:$BA$14,2,0),RIGHT(F1016,1))</f>
        <v>D33</v>
      </c>
      <c r="E1010" s="264" t="s">
        <v>28</v>
      </c>
      <c r="F1010" s="270" t="str">
        <f>VLOOKUP(A1005,'zoznam zapasov'!$A$6:$K$77,10,0)</f>
        <v>12.00</v>
      </c>
      <c r="G1010" s="508"/>
      <c r="H1010" s="486"/>
      <c r="I1010" s="487" t="str">
        <f>IF(ISERROR(VLOOKUP(A1010,vylosovanie!$A$8:$J$68,6,0))=TRUE,"",VLOOKUP(A1010,vylosovanie!$A$8:$J$68,6,0))</f>
        <v>SISKOVÁ Zuzana</v>
      </c>
      <c r="J1010" s="487"/>
      <c r="K1010" s="487"/>
      <c r="L1010" s="487"/>
      <c r="M1010" s="263"/>
      <c r="N1010" s="489">
        <v>6</v>
      </c>
      <c r="O1010" s="489">
        <v>10</v>
      </c>
      <c r="P1010" s="489">
        <v>11</v>
      </c>
      <c r="Q1010" s="489">
        <v>4</v>
      </c>
      <c r="R1010" s="489"/>
      <c r="S1010" s="489"/>
      <c r="T1010" s="489"/>
      <c r="U1010" s="263"/>
      <c r="V1010" s="493">
        <f>IF(SUM(AF1007:AL1008)=0,"",SUM(AF1008:AL1008))</f>
        <v>1</v>
      </c>
      <c r="W1010" s="267"/>
      <c r="X1010" s="263"/>
      <c r="AZ1010" s="269" t="s">
        <v>39</v>
      </c>
      <c r="BA1010" s="269">
        <v>4</v>
      </c>
    </row>
    <row r="1011" spans="1:53" ht="39.950000000000003" customHeight="1">
      <c r="E1011" s="271"/>
      <c r="F1011" s="272"/>
      <c r="G1011" s="509"/>
      <c r="H1011" s="486"/>
      <c r="I1011" s="487"/>
      <c r="J1011" s="487"/>
      <c r="K1011" s="487"/>
      <c r="L1011" s="487"/>
      <c r="M1011" s="263"/>
      <c r="N1011" s="490"/>
      <c r="O1011" s="490"/>
      <c r="P1011" s="490"/>
      <c r="Q1011" s="490"/>
      <c r="R1011" s="490"/>
      <c r="S1011" s="490"/>
      <c r="T1011" s="490"/>
      <c r="U1011" s="263"/>
      <c r="V1011" s="493"/>
      <c r="W1011" s="267"/>
      <c r="X1011" s="263"/>
      <c r="AZ1011" s="269" t="s">
        <v>40</v>
      </c>
      <c r="BA1011" s="269">
        <v>5</v>
      </c>
    </row>
    <row r="1012" spans="1:53" ht="39.950000000000003" customHeight="1">
      <c r="E1012" s="264" t="s">
        <v>66</v>
      </c>
      <c r="F1012" s="265" t="s">
        <v>39</v>
      </c>
      <c r="G1012" s="263"/>
      <c r="H1012" s="263"/>
      <c r="I1012" s="263"/>
      <c r="J1012" s="263"/>
      <c r="K1012" s="263"/>
      <c r="L1012" s="263"/>
      <c r="M1012" s="263"/>
      <c r="N1012" s="263"/>
      <c r="O1012" s="263"/>
      <c r="P1012" s="263"/>
      <c r="Q1012" s="263"/>
      <c r="R1012" s="263"/>
      <c r="S1012" s="263"/>
      <c r="T1012" s="263"/>
      <c r="U1012" s="263"/>
      <c r="V1012" s="263"/>
      <c r="W1012" s="267"/>
      <c r="X1012" s="263"/>
      <c r="AZ1012" s="269" t="s">
        <v>41</v>
      </c>
      <c r="BA1012" s="269">
        <v>6</v>
      </c>
    </row>
    <row r="1013" spans="1:53" ht="39.950000000000003" customHeight="1">
      <c r="E1013" s="271"/>
      <c r="F1013" s="272"/>
      <c r="G1013" s="263"/>
      <c r="H1013" s="263"/>
      <c r="I1013" s="263" t="s">
        <v>32</v>
      </c>
      <c r="J1013" s="263"/>
      <c r="K1013" s="263"/>
      <c r="L1013" s="263"/>
      <c r="M1013" s="263"/>
      <c r="N1013" s="273"/>
      <c r="O1013" s="266"/>
      <c r="P1013" s="266" t="s">
        <v>34</v>
      </c>
      <c r="Q1013" s="266"/>
      <c r="R1013" s="266"/>
      <c r="S1013" s="266"/>
      <c r="T1013" s="266"/>
      <c r="U1013" s="263"/>
      <c r="V1013" s="263"/>
      <c r="W1013" s="267"/>
      <c r="X1013" s="263"/>
      <c r="AZ1013" s="269" t="s">
        <v>42</v>
      </c>
      <c r="BA1013" s="269">
        <v>7</v>
      </c>
    </row>
    <row r="1014" spans="1:53" ht="39.950000000000003" customHeight="1">
      <c r="E1014" s="264" t="s">
        <v>26</v>
      </c>
      <c r="F1014" s="265" t="s">
        <v>38</v>
      </c>
      <c r="G1014" s="263"/>
      <c r="H1014" s="263"/>
      <c r="I1014" s="486"/>
      <c r="J1014" s="486"/>
      <c r="K1014" s="486"/>
      <c r="L1014" s="486"/>
      <c r="M1014" s="263"/>
      <c r="N1014" s="486" t="str">
        <f>IF(V1007&gt;V1010,I1007,IF(V1010&gt;V1007,I1010,""))</f>
        <v>DZUROVÁ Lenka</v>
      </c>
      <c r="O1014" s="486"/>
      <c r="P1014" s="486"/>
      <c r="Q1014" s="486"/>
      <c r="R1014" s="486"/>
      <c r="S1014" s="486"/>
      <c r="T1014" s="263"/>
      <c r="U1014" s="263"/>
      <c r="V1014" s="263"/>
      <c r="W1014" s="267"/>
      <c r="X1014" s="263"/>
      <c r="AZ1014" s="269" t="s">
        <v>43</v>
      </c>
      <c r="BA1014" s="269">
        <v>8</v>
      </c>
    </row>
    <row r="1015" spans="1:53" ht="39.950000000000003" customHeight="1">
      <c r="E1015" s="271"/>
      <c r="F1015" s="272"/>
      <c r="G1015" s="263"/>
      <c r="H1015" s="263"/>
      <c r="I1015" s="486"/>
      <c r="J1015" s="486"/>
      <c r="K1015" s="486"/>
      <c r="L1015" s="486"/>
      <c r="M1015" s="263"/>
      <c r="N1015" s="486"/>
      <c r="O1015" s="486"/>
      <c r="P1015" s="486"/>
      <c r="Q1015" s="486"/>
      <c r="R1015" s="486"/>
      <c r="S1015" s="486"/>
      <c r="T1015" s="263"/>
      <c r="U1015" s="263"/>
      <c r="V1015" s="263"/>
      <c r="W1015" s="267"/>
      <c r="X1015" s="263"/>
    </row>
    <row r="1016" spans="1:53" ht="39.950000000000003" customHeight="1">
      <c r="E1016" s="264" t="s">
        <v>27</v>
      </c>
      <c r="F1016" s="274" t="s">
        <v>25</v>
      </c>
      <c r="G1016" s="263"/>
      <c r="H1016" s="263"/>
      <c r="I1016" s="263"/>
      <c r="J1016" s="263"/>
      <c r="K1016" s="263"/>
      <c r="L1016" s="263"/>
      <c r="M1016" s="263"/>
      <c r="N1016" s="263"/>
      <c r="O1016" s="263"/>
      <c r="P1016" s="263"/>
      <c r="Q1016" s="263"/>
      <c r="R1016" s="263"/>
      <c r="S1016" s="263"/>
      <c r="T1016" s="263"/>
      <c r="U1016" s="263"/>
      <c r="V1016" s="263"/>
      <c r="W1016" s="267"/>
      <c r="X1016" s="263"/>
    </row>
    <row r="1017" spans="1:53" ht="39.950000000000003" customHeight="1">
      <c r="E1017" s="271"/>
      <c r="F1017" s="272"/>
      <c r="G1017" s="263"/>
      <c r="H1017" s="263" t="s">
        <v>33</v>
      </c>
      <c r="I1017" s="263"/>
      <c r="J1017" s="263"/>
      <c r="K1017" s="263"/>
      <c r="L1017" s="263"/>
      <c r="M1017" s="263"/>
      <c r="N1017" s="263"/>
      <c r="O1017" s="263"/>
      <c r="P1017" s="263"/>
      <c r="Q1017" s="263"/>
      <c r="R1017" s="263"/>
      <c r="S1017" s="263"/>
      <c r="T1017" s="263"/>
      <c r="U1017" s="263"/>
      <c r="V1017" s="263"/>
      <c r="W1017" s="267"/>
      <c r="X1017" s="263"/>
    </row>
    <row r="1018" spans="1:53" ht="39.950000000000003" customHeight="1">
      <c r="E1018" s="271"/>
      <c r="F1018" s="272"/>
      <c r="G1018" s="263"/>
      <c r="H1018" s="263"/>
      <c r="I1018" s="263"/>
      <c r="J1018" s="263"/>
      <c r="K1018" s="263"/>
      <c r="L1018" s="263"/>
      <c r="M1018" s="263"/>
      <c r="N1018" s="263"/>
      <c r="O1018" s="263"/>
      <c r="P1018" s="263"/>
      <c r="Q1018" s="263"/>
      <c r="R1018" s="263"/>
      <c r="S1018" s="263"/>
      <c r="T1018" s="263"/>
      <c r="U1018" s="263"/>
      <c r="V1018" s="263"/>
      <c r="W1018" s="267"/>
      <c r="X1018" s="263"/>
    </row>
    <row r="1019" spans="1:53" ht="39.950000000000003" customHeight="1">
      <c r="E1019" s="271"/>
      <c r="F1019" s="272"/>
      <c r="G1019" s="263"/>
      <c r="H1019" s="263"/>
      <c r="I1019" s="496" t="str">
        <f>I1007</f>
        <v>DZUROVÁ Lenka</v>
      </c>
      <c r="J1019" s="496"/>
      <c r="K1019" s="496"/>
      <c r="L1019" s="496"/>
      <c r="M1019" s="263"/>
      <c r="N1019" s="263"/>
      <c r="O1019" s="263"/>
      <c r="P1019" s="496" t="str">
        <f>I1010</f>
        <v>SISKOVÁ Zuzana</v>
      </c>
      <c r="Q1019" s="496"/>
      <c r="R1019" s="496"/>
      <c r="S1019" s="496"/>
      <c r="T1019" s="497"/>
      <c r="U1019" s="497"/>
      <c r="V1019" s="263"/>
      <c r="W1019" s="267"/>
      <c r="X1019" s="263"/>
    </row>
    <row r="1020" spans="1:53" ht="69.95" customHeight="1">
      <c r="E1020" s="264"/>
      <c r="F1020" s="265"/>
      <c r="G1020" s="263"/>
      <c r="H1020" s="275" t="s">
        <v>36</v>
      </c>
      <c r="I1020" s="483"/>
      <c r="J1020" s="494"/>
      <c r="K1020" s="494"/>
      <c r="L1020" s="495"/>
      <c r="M1020" s="263"/>
      <c r="N1020" s="263"/>
      <c r="O1020" s="275" t="s">
        <v>36</v>
      </c>
      <c r="P1020" s="486"/>
      <c r="Q1020" s="486"/>
      <c r="R1020" s="486"/>
      <c r="S1020" s="486"/>
      <c r="T1020" s="486"/>
      <c r="U1020" s="486"/>
      <c r="V1020" s="263"/>
      <c r="W1020" s="267"/>
      <c r="X1020" s="263"/>
    </row>
    <row r="1021" spans="1:53" ht="69.95" customHeight="1">
      <c r="E1021" s="264"/>
      <c r="F1021" s="265"/>
      <c r="G1021" s="263"/>
      <c r="H1021" s="275" t="s">
        <v>37</v>
      </c>
      <c r="I1021" s="486"/>
      <c r="J1021" s="486"/>
      <c r="K1021" s="486"/>
      <c r="L1021" s="486"/>
      <c r="M1021" s="263"/>
      <c r="N1021" s="263"/>
      <c r="O1021" s="275" t="s">
        <v>37</v>
      </c>
      <c r="P1021" s="486"/>
      <c r="Q1021" s="486"/>
      <c r="R1021" s="486"/>
      <c r="S1021" s="486"/>
      <c r="T1021" s="486"/>
      <c r="U1021" s="486"/>
      <c r="V1021" s="263"/>
      <c r="W1021" s="267"/>
      <c r="X1021" s="263"/>
    </row>
    <row r="1022" spans="1:53" ht="69.95" customHeight="1">
      <c r="E1022" s="264"/>
      <c r="F1022" s="265"/>
      <c r="G1022" s="263"/>
      <c r="H1022" s="275" t="s">
        <v>37</v>
      </c>
      <c r="I1022" s="486"/>
      <c r="J1022" s="486"/>
      <c r="K1022" s="486"/>
      <c r="L1022" s="486"/>
      <c r="M1022" s="263"/>
      <c r="N1022" s="263"/>
      <c r="O1022" s="275" t="s">
        <v>37</v>
      </c>
      <c r="P1022" s="486"/>
      <c r="Q1022" s="486"/>
      <c r="R1022" s="486"/>
      <c r="S1022" s="486"/>
      <c r="T1022" s="486"/>
      <c r="U1022" s="486"/>
      <c r="V1022" s="263"/>
      <c r="W1022" s="267"/>
      <c r="X1022" s="263"/>
    </row>
    <row r="1023" spans="1:53" ht="39.950000000000003" customHeight="1" thickBot="1">
      <c r="E1023" s="276"/>
      <c r="F1023" s="277"/>
      <c r="G1023" s="278"/>
      <c r="H1023" s="278"/>
      <c r="I1023" s="278"/>
      <c r="J1023" s="278"/>
      <c r="K1023" s="278"/>
      <c r="L1023" s="278"/>
      <c r="M1023" s="278"/>
      <c r="N1023" s="278"/>
      <c r="O1023" s="278"/>
      <c r="P1023" s="278"/>
      <c r="Q1023" s="278"/>
      <c r="R1023" s="278"/>
      <c r="S1023" s="278"/>
      <c r="T1023" s="279"/>
      <c r="U1023" s="279"/>
      <c r="V1023" s="279"/>
      <c r="W1023" s="280"/>
      <c r="X1023" s="263"/>
    </row>
    <row r="1024" spans="1:53" ht="62.25" thickBot="1"/>
    <row r="1025" spans="1:53" ht="39.950000000000003" customHeight="1">
      <c r="A1025" s="252" t="str">
        <f>CONCATENATE(F1032,F1034,F1036)</f>
        <v>DD2-3</v>
      </c>
      <c r="E1025" s="259" t="s">
        <v>70</v>
      </c>
      <c r="F1025" s="260">
        <f>VLOOKUP(A1025,'zoznam zapasov'!$A$6:$K$77,3,0)</f>
        <v>52</v>
      </c>
      <c r="G1025" s="261"/>
      <c r="H1025" s="322" t="s">
        <v>501</v>
      </c>
      <c r="I1025" s="261"/>
      <c r="J1025" s="261"/>
      <c r="K1025" s="261"/>
      <c r="L1025" s="261"/>
      <c r="M1025" s="261"/>
      <c r="N1025" s="261"/>
      <c r="O1025" s="261"/>
      <c r="P1025" s="261"/>
      <c r="Q1025" s="261"/>
      <c r="R1025" s="261"/>
      <c r="S1025" s="261"/>
      <c r="T1025" s="261"/>
      <c r="U1025" s="261"/>
      <c r="V1025" s="261" t="s">
        <v>30</v>
      </c>
      <c r="W1025" s="262"/>
      <c r="X1025" s="263"/>
      <c r="Z1025" s="258" t="str">
        <f>CONCATENATE(V1027,":",V1030)</f>
        <v>2:3</v>
      </c>
      <c r="AE1025" s="253" t="s">
        <v>11</v>
      </c>
      <c r="AV1025" s="256" t="str">
        <f>CONCATENATE(AN1027,",",AO1027,",",AP1027,",",AQ1027,",",AR1027,",",AS1027,",",AT1027)</f>
        <v>-10,-9,3,12,-10,,</v>
      </c>
    </row>
    <row r="1026" spans="1:53" ht="39.950000000000003" customHeight="1">
      <c r="E1026" s="264"/>
      <c r="F1026" s="265"/>
      <c r="G1026" s="321" t="s">
        <v>500</v>
      </c>
      <c r="H1026" s="323" t="s">
        <v>502</v>
      </c>
      <c r="I1026" s="263"/>
      <c r="J1026" s="263"/>
      <c r="K1026" s="263"/>
      <c r="L1026" s="263"/>
      <c r="M1026" s="263"/>
      <c r="N1026" s="266">
        <v>1</v>
      </c>
      <c r="O1026" s="266">
        <v>2</v>
      </c>
      <c r="P1026" s="266">
        <v>3</v>
      </c>
      <c r="Q1026" s="266">
        <v>4</v>
      </c>
      <c r="R1026" s="266">
        <v>5</v>
      </c>
      <c r="S1026" s="266">
        <v>6</v>
      </c>
      <c r="T1026" s="266">
        <v>7</v>
      </c>
      <c r="U1026" s="263"/>
      <c r="V1026" s="266" t="s">
        <v>31</v>
      </c>
      <c r="W1026" s="267"/>
      <c r="X1026" s="263"/>
      <c r="AE1026" s="253" t="s">
        <v>68</v>
      </c>
      <c r="AV1026" s="256" t="str">
        <f>CONCATENATE(AN1028,",",AO1028,",",AP1028,",",AQ1028,",",AR1028,",",AS1028,",",AT1028)</f>
        <v>10,9,-3,-12,10,,</v>
      </c>
    </row>
    <row r="1027" spans="1:53" ht="39.950000000000003" customHeight="1">
      <c r="A1027" s="252" t="str">
        <f>CONCATENATE(F1032,VLOOKUP(F1034,$AZ$7:$BA$14,2,0),LEFT(F1036,1))</f>
        <v>D42</v>
      </c>
      <c r="E1027" s="264" t="s">
        <v>29</v>
      </c>
      <c r="F1027" s="265">
        <f>VLOOKUP(A1025,'zoznam zapasov'!$A$6:$K$77,11,0)</f>
        <v>4</v>
      </c>
      <c r="G1027" s="508"/>
      <c r="H1027" s="495"/>
      <c r="I1027" s="487" t="str">
        <f>IF(ISERROR(VLOOKUP(A1027,vylosovanie!$A$8:$J$68,6,0))=TRUE,"",VLOOKUP(A1027,vylosovanie!$A$8:$J$68,6,0))</f>
        <v>GAŠPARÍKOVÁ Lucia</v>
      </c>
      <c r="J1027" s="487"/>
      <c r="K1027" s="487"/>
      <c r="L1027" s="487"/>
      <c r="M1027" s="263"/>
      <c r="N1027" s="489">
        <v>10</v>
      </c>
      <c r="O1027" s="489">
        <v>9</v>
      </c>
      <c r="P1027" s="489">
        <v>11</v>
      </c>
      <c r="Q1027" s="489">
        <v>14</v>
      </c>
      <c r="R1027" s="489">
        <v>10</v>
      </c>
      <c r="S1027" s="489"/>
      <c r="T1027" s="489"/>
      <c r="U1027" s="263"/>
      <c r="V1027" s="493">
        <f>IF(SUM(AF1027:AL1028)=0,"",SUM(AF1027:AL1027))</f>
        <v>2</v>
      </c>
      <c r="W1027" s="267"/>
      <c r="X1027" s="263"/>
      <c r="AE1027" s="253" t="str">
        <f>VLOOKUP(I1027,vylosovanie!$F$8:$L$190,7,0)</f>
        <v>D42</v>
      </c>
      <c r="AF1027" s="268">
        <f>IF(N1027&gt;N1030,1,0)</f>
        <v>0</v>
      </c>
      <c r="AG1027" s="268">
        <f t="shared" ref="AG1027" si="704">IF(O1027&gt;O1030,1,0)</f>
        <v>0</v>
      </c>
      <c r="AH1027" s="268">
        <f t="shared" ref="AH1027" si="705">IF(P1027&gt;P1030,1,0)</f>
        <v>1</v>
      </c>
      <c r="AI1027" s="268">
        <f t="shared" ref="AI1027" si="706">IF(Q1027&gt;Q1030,1,0)</f>
        <v>1</v>
      </c>
      <c r="AJ1027" s="268">
        <f t="shared" ref="AJ1027" si="707">IF(R1027&gt;R1030,1,0)</f>
        <v>0</v>
      </c>
      <c r="AK1027" s="268">
        <f t="shared" ref="AK1027" si="708">IF(S1027&gt;S1030,1,0)</f>
        <v>0</v>
      </c>
      <c r="AL1027" s="268">
        <f t="shared" ref="AL1027" si="709">IF(T1027&gt;T1030,1,0)</f>
        <v>0</v>
      </c>
      <c r="AN1027" s="268">
        <f t="shared" ref="AN1027:AT1027" si="710">IF(ISBLANK(N1027)=TRUE,"",IF(AF1027=1,N1030,-N1027))</f>
        <v>-10</v>
      </c>
      <c r="AO1027" s="268">
        <f t="shared" si="710"/>
        <v>-9</v>
      </c>
      <c r="AP1027" s="268">
        <f t="shared" si="710"/>
        <v>3</v>
      </c>
      <c r="AQ1027" s="268">
        <f t="shared" si="710"/>
        <v>12</v>
      </c>
      <c r="AR1027" s="268">
        <f t="shared" si="710"/>
        <v>-10</v>
      </c>
      <c r="AS1027" s="268" t="str">
        <f t="shared" si="710"/>
        <v/>
      </c>
      <c r="AT1027" s="268" t="str">
        <f t="shared" si="710"/>
        <v/>
      </c>
      <c r="AZ1027" s="269" t="s">
        <v>12</v>
      </c>
      <c r="BA1027" s="269">
        <v>1</v>
      </c>
    </row>
    <row r="1028" spans="1:53" ht="39.950000000000003" customHeight="1">
      <c r="E1028" s="264"/>
      <c r="F1028" s="265"/>
      <c r="G1028" s="509"/>
      <c r="H1028" s="495"/>
      <c r="I1028" s="487"/>
      <c r="J1028" s="487"/>
      <c r="K1028" s="487"/>
      <c r="L1028" s="487"/>
      <c r="M1028" s="263"/>
      <c r="N1028" s="490"/>
      <c r="O1028" s="490"/>
      <c r="P1028" s="490"/>
      <c r="Q1028" s="490"/>
      <c r="R1028" s="490"/>
      <c r="S1028" s="490"/>
      <c r="T1028" s="490"/>
      <c r="U1028" s="263"/>
      <c r="V1028" s="493"/>
      <c r="W1028" s="267"/>
      <c r="X1028" s="263"/>
      <c r="AE1028" s="253" t="str">
        <f>VLOOKUP(I1030,vylosovanie!$F$8:$L$190,7,0)</f>
        <v>D43</v>
      </c>
      <c r="AF1028" s="268">
        <f>IF(N1030&gt;N1027,1,0)</f>
        <v>1</v>
      </c>
      <c r="AG1028" s="268">
        <f t="shared" ref="AG1028" si="711">IF(O1030&gt;O1027,1,0)</f>
        <v>1</v>
      </c>
      <c r="AH1028" s="268">
        <f t="shared" ref="AH1028" si="712">IF(P1030&gt;P1027,1,0)</f>
        <v>0</v>
      </c>
      <c r="AI1028" s="268">
        <f t="shared" ref="AI1028" si="713">IF(Q1030&gt;Q1027,1,0)</f>
        <v>0</v>
      </c>
      <c r="AJ1028" s="268">
        <f t="shared" ref="AJ1028" si="714">IF(R1030&gt;R1027,1,0)</f>
        <v>1</v>
      </c>
      <c r="AK1028" s="268">
        <f t="shared" ref="AK1028" si="715">IF(S1030&gt;S1027,1,0)</f>
        <v>0</v>
      </c>
      <c r="AL1028" s="268">
        <f t="shared" ref="AL1028" si="716">IF(T1030&gt;T1027,1,0)</f>
        <v>0</v>
      </c>
      <c r="AN1028" s="268">
        <f t="shared" ref="AN1028:AT1028" si="717">IF(ISBLANK(N1030)=TRUE,"",IF(AF1028=1,N1027,-N1030))</f>
        <v>10</v>
      </c>
      <c r="AO1028" s="268">
        <f t="shared" si="717"/>
        <v>9</v>
      </c>
      <c r="AP1028" s="268">
        <f t="shared" si="717"/>
        <v>-3</v>
      </c>
      <c r="AQ1028" s="268">
        <f t="shared" si="717"/>
        <v>-12</v>
      </c>
      <c r="AR1028" s="268">
        <f t="shared" si="717"/>
        <v>10</v>
      </c>
      <c r="AS1028" s="268" t="str">
        <f t="shared" si="717"/>
        <v/>
      </c>
      <c r="AT1028" s="268" t="str">
        <f t="shared" si="717"/>
        <v/>
      </c>
      <c r="AZ1028" s="269" t="s">
        <v>18</v>
      </c>
      <c r="BA1028" s="269">
        <v>2</v>
      </c>
    </row>
    <row r="1029" spans="1:53" ht="39.950000000000003" customHeight="1">
      <c r="E1029" s="264" t="s">
        <v>35</v>
      </c>
      <c r="F1029" s="265" t="str">
        <f>VLOOKUP(A1025,'zoznam zapasov'!$A$6:$K$77,9,0)</f>
        <v>So</v>
      </c>
      <c r="G1029" s="263"/>
      <c r="H1029" s="263"/>
      <c r="I1029" s="263"/>
      <c r="J1029" s="263"/>
      <c r="K1029" s="263"/>
      <c r="L1029" s="263"/>
      <c r="M1029" s="263"/>
      <c r="N1029" s="263"/>
      <c r="O1029" s="263"/>
      <c r="P1029" s="263"/>
      <c r="Q1029" s="263"/>
      <c r="R1029" s="263"/>
      <c r="S1029" s="263"/>
      <c r="T1029" s="263"/>
      <c r="U1029" s="263"/>
      <c r="V1029" s="263"/>
      <c r="W1029" s="267"/>
      <c r="X1029" s="263"/>
      <c r="AZ1029" s="269" t="s">
        <v>38</v>
      </c>
      <c r="BA1029" s="269">
        <v>3</v>
      </c>
    </row>
    <row r="1030" spans="1:53" ht="39.950000000000003" customHeight="1">
      <c r="A1030" s="252" t="str">
        <f>CONCATENATE(F1032,VLOOKUP(F1034,$AZ$7:$BA$14,2,0),RIGHT(F1036,1))</f>
        <v>D43</v>
      </c>
      <c r="E1030" s="264" t="s">
        <v>28</v>
      </c>
      <c r="F1030" s="270" t="str">
        <f>VLOOKUP(A1025,'zoznam zapasov'!$A$6:$K$77,10,0)</f>
        <v>12.00</v>
      </c>
      <c r="G1030" s="508"/>
      <c r="H1030" s="486"/>
      <c r="I1030" s="487" t="str">
        <f>IF(ISERROR(VLOOKUP(A1030,vylosovanie!$A$8:$J$68,6,0))=TRUE,"",VLOOKUP(A1030,vylosovanie!$A$8:$J$68,6,0))</f>
        <v>HUDÁKOVÁ Ivana</v>
      </c>
      <c r="J1030" s="487"/>
      <c r="K1030" s="487"/>
      <c r="L1030" s="487"/>
      <c r="M1030" s="263"/>
      <c r="N1030" s="489">
        <v>12</v>
      </c>
      <c r="O1030" s="489">
        <v>11</v>
      </c>
      <c r="P1030" s="489">
        <v>3</v>
      </c>
      <c r="Q1030" s="489">
        <v>12</v>
      </c>
      <c r="R1030" s="489">
        <v>12</v>
      </c>
      <c r="S1030" s="489"/>
      <c r="T1030" s="489"/>
      <c r="U1030" s="263"/>
      <c r="V1030" s="493">
        <f>IF(SUM(AF1027:AL1028)=0,"",SUM(AF1028:AL1028))</f>
        <v>3</v>
      </c>
      <c r="W1030" s="267"/>
      <c r="X1030" s="263"/>
      <c r="AZ1030" s="269" t="s">
        <v>39</v>
      </c>
      <c r="BA1030" s="269">
        <v>4</v>
      </c>
    </row>
    <row r="1031" spans="1:53" ht="39.950000000000003" customHeight="1">
      <c r="E1031" s="271"/>
      <c r="F1031" s="272"/>
      <c r="G1031" s="509"/>
      <c r="H1031" s="486"/>
      <c r="I1031" s="487"/>
      <c r="J1031" s="487"/>
      <c r="K1031" s="487"/>
      <c r="L1031" s="487"/>
      <c r="M1031" s="263"/>
      <c r="N1031" s="490"/>
      <c r="O1031" s="490"/>
      <c r="P1031" s="490"/>
      <c r="Q1031" s="490"/>
      <c r="R1031" s="490"/>
      <c r="S1031" s="490"/>
      <c r="T1031" s="490"/>
      <c r="U1031" s="263"/>
      <c r="V1031" s="493"/>
      <c r="W1031" s="267"/>
      <c r="X1031" s="263"/>
      <c r="AZ1031" s="269" t="s">
        <v>40</v>
      </c>
      <c r="BA1031" s="269">
        <v>5</v>
      </c>
    </row>
    <row r="1032" spans="1:53" ht="39.950000000000003" customHeight="1">
      <c r="E1032" s="264" t="s">
        <v>66</v>
      </c>
      <c r="F1032" s="265" t="s">
        <v>39</v>
      </c>
      <c r="G1032" s="263"/>
      <c r="H1032" s="263"/>
      <c r="I1032" s="263"/>
      <c r="J1032" s="263"/>
      <c r="K1032" s="263"/>
      <c r="L1032" s="263"/>
      <c r="M1032" s="263"/>
      <c r="N1032" s="263"/>
      <c r="O1032" s="263"/>
      <c r="P1032" s="263"/>
      <c r="Q1032" s="263"/>
      <c r="R1032" s="263"/>
      <c r="S1032" s="263"/>
      <c r="T1032" s="263"/>
      <c r="U1032" s="263"/>
      <c r="V1032" s="263"/>
      <c r="W1032" s="267"/>
      <c r="X1032" s="263"/>
      <c r="AZ1032" s="269" t="s">
        <v>41</v>
      </c>
      <c r="BA1032" s="269">
        <v>6</v>
      </c>
    </row>
    <row r="1033" spans="1:53" ht="39.950000000000003" customHeight="1">
      <c r="E1033" s="271"/>
      <c r="F1033" s="272"/>
      <c r="G1033" s="263"/>
      <c r="H1033" s="263"/>
      <c r="I1033" s="263" t="s">
        <v>32</v>
      </c>
      <c r="J1033" s="263"/>
      <c r="K1033" s="263"/>
      <c r="L1033" s="263"/>
      <c r="M1033" s="263"/>
      <c r="N1033" s="273"/>
      <c r="O1033" s="266"/>
      <c r="P1033" s="266" t="s">
        <v>34</v>
      </c>
      <c r="Q1033" s="266"/>
      <c r="R1033" s="266"/>
      <c r="S1033" s="266"/>
      <c r="T1033" s="266"/>
      <c r="U1033" s="263"/>
      <c r="V1033" s="263"/>
      <c r="W1033" s="267"/>
      <c r="X1033" s="263"/>
      <c r="AZ1033" s="269" t="s">
        <v>42</v>
      </c>
      <c r="BA1033" s="269">
        <v>7</v>
      </c>
    </row>
    <row r="1034" spans="1:53" ht="39.950000000000003" customHeight="1">
      <c r="E1034" s="264" t="s">
        <v>26</v>
      </c>
      <c r="F1034" s="265" t="s">
        <v>39</v>
      </c>
      <c r="G1034" s="263"/>
      <c r="H1034" s="263"/>
      <c r="I1034" s="486"/>
      <c r="J1034" s="486"/>
      <c r="K1034" s="486"/>
      <c r="L1034" s="486"/>
      <c r="M1034" s="263"/>
      <c r="N1034" s="486" t="str">
        <f>IF(V1027&gt;V1030,I1027,IF(V1030&gt;V1027,I1030,""))</f>
        <v>HUDÁKOVÁ Ivana</v>
      </c>
      <c r="O1034" s="486"/>
      <c r="P1034" s="486"/>
      <c r="Q1034" s="486"/>
      <c r="R1034" s="486"/>
      <c r="S1034" s="486"/>
      <c r="T1034" s="263"/>
      <c r="U1034" s="263"/>
      <c r="V1034" s="263"/>
      <c r="W1034" s="267"/>
      <c r="X1034" s="263"/>
      <c r="AZ1034" s="269" t="s">
        <v>43</v>
      </c>
      <c r="BA1034" s="269">
        <v>8</v>
      </c>
    </row>
    <row r="1035" spans="1:53" ht="39.950000000000003" customHeight="1">
      <c r="E1035" s="271"/>
      <c r="F1035" s="272"/>
      <c r="G1035" s="263"/>
      <c r="H1035" s="263"/>
      <c r="I1035" s="486"/>
      <c r="J1035" s="486"/>
      <c r="K1035" s="486"/>
      <c r="L1035" s="486"/>
      <c r="M1035" s="263"/>
      <c r="N1035" s="486"/>
      <c r="O1035" s="486"/>
      <c r="P1035" s="486"/>
      <c r="Q1035" s="486"/>
      <c r="R1035" s="486"/>
      <c r="S1035" s="486"/>
      <c r="T1035" s="263"/>
      <c r="U1035" s="263"/>
      <c r="V1035" s="263"/>
      <c r="W1035" s="267"/>
      <c r="X1035" s="263"/>
    </row>
    <row r="1036" spans="1:53" ht="39.950000000000003" customHeight="1">
      <c r="E1036" s="264" t="s">
        <v>27</v>
      </c>
      <c r="F1036" s="274" t="s">
        <v>25</v>
      </c>
      <c r="G1036" s="263"/>
      <c r="H1036" s="263"/>
      <c r="I1036" s="263"/>
      <c r="J1036" s="263"/>
      <c r="K1036" s="263"/>
      <c r="L1036" s="263"/>
      <c r="M1036" s="263"/>
      <c r="N1036" s="263"/>
      <c r="O1036" s="263"/>
      <c r="P1036" s="263"/>
      <c r="Q1036" s="263"/>
      <c r="R1036" s="263"/>
      <c r="S1036" s="263"/>
      <c r="T1036" s="263"/>
      <c r="U1036" s="263"/>
      <c r="V1036" s="263"/>
      <c r="W1036" s="267"/>
      <c r="X1036" s="263"/>
    </row>
    <row r="1037" spans="1:53" ht="39.950000000000003" customHeight="1">
      <c r="E1037" s="271"/>
      <c r="F1037" s="272"/>
      <c r="G1037" s="263"/>
      <c r="H1037" s="263" t="s">
        <v>33</v>
      </c>
      <c r="I1037" s="263"/>
      <c r="J1037" s="263"/>
      <c r="K1037" s="263"/>
      <c r="L1037" s="263"/>
      <c r="M1037" s="263"/>
      <c r="N1037" s="263"/>
      <c r="O1037" s="263"/>
      <c r="P1037" s="263"/>
      <c r="Q1037" s="263"/>
      <c r="R1037" s="263"/>
      <c r="S1037" s="263"/>
      <c r="T1037" s="263"/>
      <c r="U1037" s="263"/>
      <c r="V1037" s="263"/>
      <c r="W1037" s="267"/>
      <c r="X1037" s="263"/>
    </row>
    <row r="1038" spans="1:53" ht="39.950000000000003" customHeight="1">
      <c r="E1038" s="271"/>
      <c r="F1038" s="272"/>
      <c r="G1038" s="263"/>
      <c r="H1038" s="263"/>
      <c r="I1038" s="263"/>
      <c r="J1038" s="263"/>
      <c r="K1038" s="263"/>
      <c r="L1038" s="263"/>
      <c r="M1038" s="263"/>
      <c r="N1038" s="263"/>
      <c r="O1038" s="263"/>
      <c r="P1038" s="263"/>
      <c r="Q1038" s="263"/>
      <c r="R1038" s="263"/>
      <c r="S1038" s="263"/>
      <c r="T1038" s="263"/>
      <c r="U1038" s="263"/>
      <c r="V1038" s="263"/>
      <c r="W1038" s="267"/>
      <c r="X1038" s="263"/>
    </row>
    <row r="1039" spans="1:53" ht="39.950000000000003" customHeight="1">
      <c r="E1039" s="271"/>
      <c r="F1039" s="272"/>
      <c r="G1039" s="263"/>
      <c r="H1039" s="263"/>
      <c r="I1039" s="496" t="str">
        <f>I1027</f>
        <v>GAŠPARÍKOVÁ Lucia</v>
      </c>
      <c r="J1039" s="496"/>
      <c r="K1039" s="496"/>
      <c r="L1039" s="496"/>
      <c r="M1039" s="263"/>
      <c r="N1039" s="263"/>
      <c r="O1039" s="263"/>
      <c r="P1039" s="496" t="str">
        <f>I1030</f>
        <v>HUDÁKOVÁ Ivana</v>
      </c>
      <c r="Q1039" s="496"/>
      <c r="R1039" s="496"/>
      <c r="S1039" s="496"/>
      <c r="T1039" s="497"/>
      <c r="U1039" s="497"/>
      <c r="V1039" s="263"/>
      <c r="W1039" s="267"/>
      <c r="X1039" s="263"/>
    </row>
    <row r="1040" spans="1:53" ht="69.95" customHeight="1">
      <c r="E1040" s="264"/>
      <c r="F1040" s="265"/>
      <c r="G1040" s="263"/>
      <c r="H1040" s="275" t="s">
        <v>36</v>
      </c>
      <c r="I1040" s="483"/>
      <c r="J1040" s="494"/>
      <c r="K1040" s="494"/>
      <c r="L1040" s="495"/>
      <c r="M1040" s="263"/>
      <c r="N1040" s="263"/>
      <c r="O1040" s="275" t="s">
        <v>36</v>
      </c>
      <c r="P1040" s="486"/>
      <c r="Q1040" s="486"/>
      <c r="R1040" s="486"/>
      <c r="S1040" s="486"/>
      <c r="T1040" s="486"/>
      <c r="U1040" s="486"/>
      <c r="V1040" s="263"/>
      <c r="W1040" s="267"/>
      <c r="X1040" s="263"/>
    </row>
    <row r="1041" spans="1:53" ht="69.95" customHeight="1">
      <c r="E1041" s="264"/>
      <c r="F1041" s="265"/>
      <c r="G1041" s="263"/>
      <c r="H1041" s="275" t="s">
        <v>37</v>
      </c>
      <c r="I1041" s="486"/>
      <c r="J1041" s="486"/>
      <c r="K1041" s="486"/>
      <c r="L1041" s="486"/>
      <c r="M1041" s="263"/>
      <c r="N1041" s="263"/>
      <c r="O1041" s="275" t="s">
        <v>37</v>
      </c>
      <c r="P1041" s="486"/>
      <c r="Q1041" s="486"/>
      <c r="R1041" s="486"/>
      <c r="S1041" s="486"/>
      <c r="T1041" s="486"/>
      <c r="U1041" s="486"/>
      <c r="V1041" s="263"/>
      <c r="W1041" s="267"/>
      <c r="X1041" s="263"/>
    </row>
    <row r="1042" spans="1:53" ht="69.95" customHeight="1">
      <c r="E1042" s="264"/>
      <c r="F1042" s="265"/>
      <c r="G1042" s="263"/>
      <c r="H1042" s="275" t="s">
        <v>37</v>
      </c>
      <c r="I1042" s="486"/>
      <c r="J1042" s="486"/>
      <c r="K1042" s="486"/>
      <c r="L1042" s="486"/>
      <c r="M1042" s="263"/>
      <c r="N1042" s="263"/>
      <c r="O1042" s="275" t="s">
        <v>37</v>
      </c>
      <c r="P1042" s="486"/>
      <c r="Q1042" s="486"/>
      <c r="R1042" s="486"/>
      <c r="S1042" s="486"/>
      <c r="T1042" s="486"/>
      <c r="U1042" s="486"/>
      <c r="V1042" s="263"/>
      <c r="W1042" s="267"/>
      <c r="X1042" s="263"/>
    </row>
    <row r="1043" spans="1:53" ht="39.950000000000003" customHeight="1" thickBot="1">
      <c r="E1043" s="276"/>
      <c r="F1043" s="277"/>
      <c r="G1043" s="278"/>
      <c r="H1043" s="278"/>
      <c r="I1043" s="278"/>
      <c r="J1043" s="278"/>
      <c r="K1043" s="278"/>
      <c r="L1043" s="278"/>
      <c r="M1043" s="278"/>
      <c r="N1043" s="278"/>
      <c r="O1043" s="278"/>
      <c r="P1043" s="278"/>
      <c r="Q1043" s="278"/>
      <c r="R1043" s="278"/>
      <c r="S1043" s="278"/>
      <c r="T1043" s="279"/>
      <c r="U1043" s="279"/>
      <c r="V1043" s="279"/>
      <c r="W1043" s="280"/>
      <c r="X1043" s="263"/>
    </row>
    <row r="1044" spans="1:53" ht="62.25" thickBot="1"/>
    <row r="1045" spans="1:53" ht="39.950000000000003" customHeight="1">
      <c r="A1045" s="252" t="str">
        <f>CONCATENATE(F1052,F1054,F1056)</f>
        <v>DE2-3</v>
      </c>
      <c r="E1045" s="259" t="s">
        <v>70</v>
      </c>
      <c r="F1045" s="260">
        <f>VLOOKUP(A1045,'zoznam zapasov'!$A$6:$K$77,3,0)</f>
        <v>53</v>
      </c>
      <c r="G1045" s="261"/>
      <c r="H1045" s="322" t="s">
        <v>501</v>
      </c>
      <c r="I1045" s="261"/>
      <c r="J1045" s="261"/>
      <c r="K1045" s="261"/>
      <c r="L1045" s="261"/>
      <c r="M1045" s="261"/>
      <c r="N1045" s="261"/>
      <c r="O1045" s="261"/>
      <c r="P1045" s="261"/>
      <c r="Q1045" s="261"/>
      <c r="R1045" s="261"/>
      <c r="S1045" s="261"/>
      <c r="T1045" s="261"/>
      <c r="U1045" s="261"/>
      <c r="V1045" s="261" t="s">
        <v>30</v>
      </c>
      <c r="W1045" s="262"/>
      <c r="X1045" s="263"/>
      <c r="Z1045" s="258" t="str">
        <f>CONCATENATE(V1047,":",V1050)</f>
        <v>3:0</v>
      </c>
      <c r="AE1045" s="253" t="s">
        <v>11</v>
      </c>
      <c r="AV1045" s="256" t="str">
        <f>CONCATENATE(AN1047,",",AO1047,",",AP1047,",",AQ1047,",",AR1047,",",AS1047,",",AT1047)</f>
        <v>5,4,1,,,,</v>
      </c>
    </row>
    <row r="1046" spans="1:53" ht="39.950000000000003" customHeight="1">
      <c r="E1046" s="264"/>
      <c r="F1046" s="265"/>
      <c r="G1046" s="321" t="s">
        <v>500</v>
      </c>
      <c r="H1046" s="323" t="s">
        <v>502</v>
      </c>
      <c r="I1046" s="263"/>
      <c r="J1046" s="263"/>
      <c r="K1046" s="263"/>
      <c r="L1046" s="263"/>
      <c r="M1046" s="263"/>
      <c r="N1046" s="266">
        <v>1</v>
      </c>
      <c r="O1046" s="266">
        <v>2</v>
      </c>
      <c r="P1046" s="266">
        <v>3</v>
      </c>
      <c r="Q1046" s="266">
        <v>4</v>
      </c>
      <c r="R1046" s="266">
        <v>5</v>
      </c>
      <c r="S1046" s="266">
        <v>6</v>
      </c>
      <c r="T1046" s="266">
        <v>7</v>
      </c>
      <c r="U1046" s="263"/>
      <c r="V1046" s="266" t="s">
        <v>31</v>
      </c>
      <c r="W1046" s="267"/>
      <c r="X1046" s="263"/>
      <c r="AE1046" s="253" t="s">
        <v>68</v>
      </c>
      <c r="AV1046" s="256" t="str">
        <f>CONCATENATE(AN1048,",",AO1048,",",AP1048,",",AQ1048,",",AR1048,",",AS1048,",",AT1048)</f>
        <v>-5,-4,-1,,,,</v>
      </c>
    </row>
    <row r="1047" spans="1:53" ht="39.950000000000003" customHeight="1">
      <c r="A1047" s="252" t="str">
        <f>CONCATENATE(F1052,VLOOKUP(F1054,$AZ$7:$BA$14,2,0),LEFT(F1056,1))</f>
        <v>D52</v>
      </c>
      <c r="E1047" s="264" t="s">
        <v>29</v>
      </c>
      <c r="F1047" s="265">
        <f>VLOOKUP(A1045,'zoznam zapasov'!$A$6:$K$77,11,0)</f>
        <v>5</v>
      </c>
      <c r="G1047" s="508"/>
      <c r="H1047" s="495"/>
      <c r="I1047" s="487" t="str">
        <f>IF(ISERROR(VLOOKUP(A1047,vylosovanie!$A$8:$J$68,6,0))=TRUE,"",VLOOKUP(A1047,vylosovanie!$A$8:$J$68,6,0))</f>
        <v>SLOBODNÍKOVÁ Hana</v>
      </c>
      <c r="J1047" s="487"/>
      <c r="K1047" s="487"/>
      <c r="L1047" s="487"/>
      <c r="M1047" s="263"/>
      <c r="N1047" s="489">
        <v>11</v>
      </c>
      <c r="O1047" s="489">
        <v>11</v>
      </c>
      <c r="P1047" s="489">
        <v>11</v>
      </c>
      <c r="Q1047" s="489"/>
      <c r="R1047" s="489"/>
      <c r="S1047" s="489"/>
      <c r="T1047" s="489"/>
      <c r="U1047" s="263"/>
      <c r="V1047" s="493">
        <f>IF(SUM(AF1047:AL1048)=0,"",SUM(AF1047:AL1047))</f>
        <v>3</v>
      </c>
      <c r="W1047" s="267"/>
      <c r="X1047" s="263"/>
      <c r="AE1047" s="253" t="str">
        <f>VLOOKUP(I1047,vylosovanie!$F$8:$L$190,7,0)</f>
        <v>D52</v>
      </c>
      <c r="AF1047" s="268">
        <f>IF(N1047&gt;N1050,1,0)</f>
        <v>1</v>
      </c>
      <c r="AG1047" s="268">
        <f t="shared" ref="AG1047" si="718">IF(O1047&gt;O1050,1,0)</f>
        <v>1</v>
      </c>
      <c r="AH1047" s="268">
        <f t="shared" ref="AH1047" si="719">IF(P1047&gt;P1050,1,0)</f>
        <v>1</v>
      </c>
      <c r="AI1047" s="268">
        <f t="shared" ref="AI1047" si="720">IF(Q1047&gt;Q1050,1,0)</f>
        <v>0</v>
      </c>
      <c r="AJ1047" s="268">
        <f t="shared" ref="AJ1047" si="721">IF(R1047&gt;R1050,1,0)</f>
        <v>0</v>
      </c>
      <c r="AK1047" s="268">
        <f t="shared" ref="AK1047" si="722">IF(S1047&gt;S1050,1,0)</f>
        <v>0</v>
      </c>
      <c r="AL1047" s="268">
        <f t="shared" ref="AL1047" si="723">IF(T1047&gt;T1050,1,0)</f>
        <v>0</v>
      </c>
      <c r="AN1047" s="268">
        <f t="shared" ref="AN1047:AT1047" si="724">IF(ISBLANK(N1047)=TRUE,"",IF(AF1047=1,N1050,-N1047))</f>
        <v>5</v>
      </c>
      <c r="AO1047" s="268">
        <f t="shared" si="724"/>
        <v>4</v>
      </c>
      <c r="AP1047" s="268">
        <f t="shared" si="724"/>
        <v>1</v>
      </c>
      <c r="AQ1047" s="268" t="str">
        <f t="shared" si="724"/>
        <v/>
      </c>
      <c r="AR1047" s="268" t="str">
        <f t="shared" si="724"/>
        <v/>
      </c>
      <c r="AS1047" s="268" t="str">
        <f t="shared" si="724"/>
        <v/>
      </c>
      <c r="AT1047" s="268" t="str">
        <f t="shared" si="724"/>
        <v/>
      </c>
      <c r="AZ1047" s="269" t="s">
        <v>12</v>
      </c>
      <c r="BA1047" s="269">
        <v>1</v>
      </c>
    </row>
    <row r="1048" spans="1:53" ht="39.950000000000003" customHeight="1">
      <c r="E1048" s="264"/>
      <c r="F1048" s="265"/>
      <c r="G1048" s="509"/>
      <c r="H1048" s="495"/>
      <c r="I1048" s="487"/>
      <c r="J1048" s="487"/>
      <c r="K1048" s="487"/>
      <c r="L1048" s="487"/>
      <c r="M1048" s="263"/>
      <c r="N1048" s="490"/>
      <c r="O1048" s="490"/>
      <c r="P1048" s="490"/>
      <c r="Q1048" s="490"/>
      <c r="R1048" s="490"/>
      <c r="S1048" s="490"/>
      <c r="T1048" s="490"/>
      <c r="U1048" s="263"/>
      <c r="V1048" s="493"/>
      <c r="W1048" s="267"/>
      <c r="X1048" s="263"/>
      <c r="AE1048" s="253" t="str">
        <f>VLOOKUP(I1050,vylosovanie!$F$8:$L$190,7,0)</f>
        <v>D53</v>
      </c>
      <c r="AF1048" s="268">
        <f>IF(N1050&gt;N1047,1,0)</f>
        <v>0</v>
      </c>
      <c r="AG1048" s="268">
        <f t="shared" ref="AG1048" si="725">IF(O1050&gt;O1047,1,0)</f>
        <v>0</v>
      </c>
      <c r="AH1048" s="268">
        <f t="shared" ref="AH1048" si="726">IF(P1050&gt;P1047,1,0)</f>
        <v>0</v>
      </c>
      <c r="AI1048" s="268">
        <f t="shared" ref="AI1048" si="727">IF(Q1050&gt;Q1047,1,0)</f>
        <v>0</v>
      </c>
      <c r="AJ1048" s="268">
        <f t="shared" ref="AJ1048" si="728">IF(R1050&gt;R1047,1,0)</f>
        <v>0</v>
      </c>
      <c r="AK1048" s="268">
        <f t="shared" ref="AK1048" si="729">IF(S1050&gt;S1047,1,0)</f>
        <v>0</v>
      </c>
      <c r="AL1048" s="268">
        <f t="shared" ref="AL1048" si="730">IF(T1050&gt;T1047,1,0)</f>
        <v>0</v>
      </c>
      <c r="AN1048" s="268">
        <f t="shared" ref="AN1048:AT1048" si="731">IF(ISBLANK(N1050)=TRUE,"",IF(AF1048=1,N1047,-N1050))</f>
        <v>-5</v>
      </c>
      <c r="AO1048" s="268">
        <f t="shared" si="731"/>
        <v>-4</v>
      </c>
      <c r="AP1048" s="268">
        <f t="shared" si="731"/>
        <v>-1</v>
      </c>
      <c r="AQ1048" s="268" t="str">
        <f t="shared" si="731"/>
        <v/>
      </c>
      <c r="AR1048" s="268" t="str">
        <f t="shared" si="731"/>
        <v/>
      </c>
      <c r="AS1048" s="268" t="str">
        <f t="shared" si="731"/>
        <v/>
      </c>
      <c r="AT1048" s="268" t="str">
        <f t="shared" si="731"/>
        <v/>
      </c>
      <c r="AZ1048" s="269" t="s">
        <v>18</v>
      </c>
      <c r="BA1048" s="269">
        <v>2</v>
      </c>
    </row>
    <row r="1049" spans="1:53" ht="39.950000000000003" customHeight="1">
      <c r="E1049" s="264" t="s">
        <v>35</v>
      </c>
      <c r="F1049" s="265" t="str">
        <f>VLOOKUP(A1045,'zoznam zapasov'!$A$6:$K$77,9,0)</f>
        <v>So</v>
      </c>
      <c r="G1049" s="263"/>
      <c r="H1049" s="263"/>
      <c r="I1049" s="263"/>
      <c r="J1049" s="263"/>
      <c r="K1049" s="263"/>
      <c r="L1049" s="263"/>
      <c r="M1049" s="263"/>
      <c r="N1049" s="263"/>
      <c r="O1049" s="263"/>
      <c r="P1049" s="263"/>
      <c r="Q1049" s="263"/>
      <c r="R1049" s="263"/>
      <c r="S1049" s="263"/>
      <c r="T1049" s="263"/>
      <c r="U1049" s="263"/>
      <c r="V1049" s="263"/>
      <c r="W1049" s="267"/>
      <c r="X1049" s="263"/>
      <c r="AZ1049" s="269" t="s">
        <v>38</v>
      </c>
      <c r="BA1049" s="269">
        <v>3</v>
      </c>
    </row>
    <row r="1050" spans="1:53" ht="39.950000000000003" customHeight="1">
      <c r="A1050" s="252" t="str">
        <f>CONCATENATE(F1052,VLOOKUP(F1054,$AZ$7:$BA$14,2,0),RIGHT(F1056,1))</f>
        <v>D53</v>
      </c>
      <c r="E1050" s="264" t="s">
        <v>28</v>
      </c>
      <c r="F1050" s="270" t="str">
        <f>VLOOKUP(A1045,'zoznam zapasov'!$A$6:$K$77,10,0)</f>
        <v>12.00</v>
      </c>
      <c r="G1050" s="508"/>
      <c r="H1050" s="486"/>
      <c r="I1050" s="487" t="str">
        <f>IF(ISERROR(VLOOKUP(A1050,vylosovanie!$A$8:$J$68,6,0))=TRUE,"",VLOOKUP(A1050,vylosovanie!$A$8:$J$68,6,0))</f>
        <v>HURBANOVÁ Isabella</v>
      </c>
      <c r="J1050" s="487"/>
      <c r="K1050" s="487"/>
      <c r="L1050" s="487"/>
      <c r="M1050" s="263"/>
      <c r="N1050" s="489">
        <v>5</v>
      </c>
      <c r="O1050" s="489">
        <v>4</v>
      </c>
      <c r="P1050" s="489">
        <v>1</v>
      </c>
      <c r="Q1050" s="489"/>
      <c r="R1050" s="489"/>
      <c r="S1050" s="489"/>
      <c r="T1050" s="489"/>
      <c r="U1050" s="263"/>
      <c r="V1050" s="493">
        <f>IF(SUM(AF1047:AL1048)=0,"",SUM(AF1048:AL1048))</f>
        <v>0</v>
      </c>
      <c r="W1050" s="267"/>
      <c r="X1050" s="263"/>
      <c r="AZ1050" s="269" t="s">
        <v>39</v>
      </c>
      <c r="BA1050" s="269">
        <v>4</v>
      </c>
    </row>
    <row r="1051" spans="1:53" ht="39.950000000000003" customHeight="1">
      <c r="E1051" s="271"/>
      <c r="F1051" s="272"/>
      <c r="G1051" s="509"/>
      <c r="H1051" s="486"/>
      <c r="I1051" s="487"/>
      <c r="J1051" s="487"/>
      <c r="K1051" s="487"/>
      <c r="L1051" s="487"/>
      <c r="M1051" s="263"/>
      <c r="N1051" s="490"/>
      <c r="O1051" s="490"/>
      <c r="P1051" s="490"/>
      <c r="Q1051" s="490"/>
      <c r="R1051" s="490"/>
      <c r="S1051" s="490"/>
      <c r="T1051" s="490"/>
      <c r="U1051" s="263"/>
      <c r="V1051" s="493"/>
      <c r="W1051" s="267"/>
      <c r="X1051" s="263"/>
      <c r="AZ1051" s="269" t="s">
        <v>40</v>
      </c>
      <c r="BA1051" s="269">
        <v>5</v>
      </c>
    </row>
    <row r="1052" spans="1:53" ht="39.950000000000003" customHeight="1">
      <c r="E1052" s="264" t="s">
        <v>66</v>
      </c>
      <c r="F1052" s="265" t="s">
        <v>39</v>
      </c>
      <c r="G1052" s="263"/>
      <c r="H1052" s="263"/>
      <c r="I1052" s="263"/>
      <c r="J1052" s="263"/>
      <c r="K1052" s="263"/>
      <c r="L1052" s="263"/>
      <c r="M1052" s="263"/>
      <c r="N1052" s="263"/>
      <c r="O1052" s="263"/>
      <c r="P1052" s="263"/>
      <c r="Q1052" s="263"/>
      <c r="R1052" s="263"/>
      <c r="S1052" s="263"/>
      <c r="T1052" s="263"/>
      <c r="U1052" s="263"/>
      <c r="V1052" s="263"/>
      <c r="W1052" s="267"/>
      <c r="X1052" s="263"/>
      <c r="AZ1052" s="269" t="s">
        <v>41</v>
      </c>
      <c r="BA1052" s="269">
        <v>6</v>
      </c>
    </row>
    <row r="1053" spans="1:53" ht="39.950000000000003" customHeight="1">
      <c r="E1053" s="271"/>
      <c r="F1053" s="272"/>
      <c r="G1053" s="263"/>
      <c r="H1053" s="263"/>
      <c r="I1053" s="263" t="s">
        <v>32</v>
      </c>
      <c r="J1053" s="263"/>
      <c r="K1053" s="263"/>
      <c r="L1053" s="263"/>
      <c r="M1053" s="263"/>
      <c r="N1053" s="273"/>
      <c r="O1053" s="266"/>
      <c r="P1053" s="266" t="s">
        <v>34</v>
      </c>
      <c r="Q1053" s="266"/>
      <c r="R1053" s="266"/>
      <c r="S1053" s="266"/>
      <c r="T1053" s="266"/>
      <c r="U1053" s="263"/>
      <c r="V1053" s="263"/>
      <c r="W1053" s="267"/>
      <c r="X1053" s="263"/>
      <c r="AZ1053" s="269" t="s">
        <v>42</v>
      </c>
      <c r="BA1053" s="269">
        <v>7</v>
      </c>
    </row>
    <row r="1054" spans="1:53" ht="39.950000000000003" customHeight="1">
      <c r="E1054" s="264" t="s">
        <v>26</v>
      </c>
      <c r="F1054" s="265" t="s">
        <v>40</v>
      </c>
      <c r="G1054" s="263"/>
      <c r="H1054" s="263"/>
      <c r="I1054" s="486"/>
      <c r="J1054" s="486"/>
      <c r="K1054" s="486"/>
      <c r="L1054" s="486"/>
      <c r="M1054" s="263"/>
      <c r="N1054" s="486" t="str">
        <f>IF(V1047&gt;V1050,I1047,IF(V1050&gt;V1047,I1050,""))</f>
        <v>SLOBODNÍKOVÁ Hana</v>
      </c>
      <c r="O1054" s="486"/>
      <c r="P1054" s="486"/>
      <c r="Q1054" s="486"/>
      <c r="R1054" s="486"/>
      <c r="S1054" s="486"/>
      <c r="T1054" s="263"/>
      <c r="U1054" s="263"/>
      <c r="V1054" s="263"/>
      <c r="W1054" s="267"/>
      <c r="X1054" s="263"/>
      <c r="AZ1054" s="269" t="s">
        <v>43</v>
      </c>
      <c r="BA1054" s="269">
        <v>8</v>
      </c>
    </row>
    <row r="1055" spans="1:53" ht="39.950000000000003" customHeight="1">
      <c r="E1055" s="271"/>
      <c r="F1055" s="272"/>
      <c r="G1055" s="263"/>
      <c r="H1055" s="263"/>
      <c r="I1055" s="486"/>
      <c r="J1055" s="486"/>
      <c r="K1055" s="486"/>
      <c r="L1055" s="486"/>
      <c r="M1055" s="263"/>
      <c r="N1055" s="486"/>
      <c r="O1055" s="486"/>
      <c r="P1055" s="486"/>
      <c r="Q1055" s="486"/>
      <c r="R1055" s="486"/>
      <c r="S1055" s="486"/>
      <c r="T1055" s="263"/>
      <c r="U1055" s="263"/>
      <c r="V1055" s="263"/>
      <c r="W1055" s="267"/>
      <c r="X1055" s="263"/>
    </row>
    <row r="1056" spans="1:53" ht="39.950000000000003" customHeight="1">
      <c r="E1056" s="264" t="s">
        <v>27</v>
      </c>
      <c r="F1056" s="274" t="s">
        <v>25</v>
      </c>
      <c r="G1056" s="263"/>
      <c r="H1056" s="263"/>
      <c r="I1056" s="263"/>
      <c r="J1056" s="263"/>
      <c r="K1056" s="263"/>
      <c r="L1056" s="263"/>
      <c r="M1056" s="263"/>
      <c r="N1056" s="263"/>
      <c r="O1056" s="263"/>
      <c r="P1056" s="263"/>
      <c r="Q1056" s="263"/>
      <c r="R1056" s="263"/>
      <c r="S1056" s="263"/>
      <c r="T1056" s="263"/>
      <c r="U1056" s="263"/>
      <c r="V1056" s="263"/>
      <c r="W1056" s="267"/>
      <c r="X1056" s="263"/>
    </row>
    <row r="1057" spans="1:53" ht="39.950000000000003" customHeight="1">
      <c r="E1057" s="271"/>
      <c r="F1057" s="272"/>
      <c r="G1057" s="263"/>
      <c r="H1057" s="263" t="s">
        <v>33</v>
      </c>
      <c r="I1057" s="263"/>
      <c r="J1057" s="263"/>
      <c r="K1057" s="263"/>
      <c r="L1057" s="263"/>
      <c r="M1057" s="263"/>
      <c r="N1057" s="263"/>
      <c r="O1057" s="263"/>
      <c r="P1057" s="263"/>
      <c r="Q1057" s="263"/>
      <c r="R1057" s="263"/>
      <c r="S1057" s="263"/>
      <c r="T1057" s="263"/>
      <c r="U1057" s="263"/>
      <c r="V1057" s="263"/>
      <c r="W1057" s="267"/>
      <c r="X1057" s="263"/>
    </row>
    <row r="1058" spans="1:53" ht="39.950000000000003" customHeight="1">
      <c r="E1058" s="271"/>
      <c r="F1058" s="272"/>
      <c r="G1058" s="263"/>
      <c r="H1058" s="263"/>
      <c r="I1058" s="263"/>
      <c r="J1058" s="263"/>
      <c r="K1058" s="263"/>
      <c r="L1058" s="263"/>
      <c r="M1058" s="263"/>
      <c r="N1058" s="263"/>
      <c r="O1058" s="263"/>
      <c r="P1058" s="263"/>
      <c r="Q1058" s="263"/>
      <c r="R1058" s="263"/>
      <c r="S1058" s="263"/>
      <c r="T1058" s="263"/>
      <c r="U1058" s="263"/>
      <c r="V1058" s="263"/>
      <c r="W1058" s="267"/>
      <c r="X1058" s="263"/>
    </row>
    <row r="1059" spans="1:53" ht="39.950000000000003" customHeight="1">
      <c r="E1059" s="271"/>
      <c r="F1059" s="272"/>
      <c r="G1059" s="263"/>
      <c r="H1059" s="263"/>
      <c r="I1059" s="496" t="str">
        <f>I1047</f>
        <v>SLOBODNÍKOVÁ Hana</v>
      </c>
      <c r="J1059" s="496"/>
      <c r="K1059" s="496"/>
      <c r="L1059" s="496"/>
      <c r="M1059" s="263"/>
      <c r="N1059" s="263"/>
      <c r="O1059" s="263"/>
      <c r="P1059" s="496" t="str">
        <f>I1050</f>
        <v>HURBANOVÁ Isabella</v>
      </c>
      <c r="Q1059" s="496"/>
      <c r="R1059" s="496"/>
      <c r="S1059" s="496"/>
      <c r="T1059" s="497"/>
      <c r="U1059" s="497"/>
      <c r="V1059" s="263"/>
      <c r="W1059" s="267"/>
      <c r="X1059" s="263"/>
    </row>
    <row r="1060" spans="1:53" ht="69.95" customHeight="1">
      <c r="E1060" s="264"/>
      <c r="F1060" s="265"/>
      <c r="G1060" s="263"/>
      <c r="H1060" s="275" t="s">
        <v>36</v>
      </c>
      <c r="I1060" s="483"/>
      <c r="J1060" s="494"/>
      <c r="K1060" s="494"/>
      <c r="L1060" s="495"/>
      <c r="M1060" s="263"/>
      <c r="N1060" s="263"/>
      <c r="O1060" s="275" t="s">
        <v>36</v>
      </c>
      <c r="P1060" s="486"/>
      <c r="Q1060" s="486"/>
      <c r="R1060" s="486"/>
      <c r="S1060" s="486"/>
      <c r="T1060" s="486"/>
      <c r="U1060" s="486"/>
      <c r="V1060" s="263"/>
      <c r="W1060" s="267"/>
      <c r="X1060" s="263"/>
    </row>
    <row r="1061" spans="1:53" ht="69.95" customHeight="1">
      <c r="E1061" s="264"/>
      <c r="F1061" s="265"/>
      <c r="G1061" s="263"/>
      <c r="H1061" s="275" t="s">
        <v>37</v>
      </c>
      <c r="I1061" s="486"/>
      <c r="J1061" s="486"/>
      <c r="K1061" s="486"/>
      <c r="L1061" s="486"/>
      <c r="M1061" s="263"/>
      <c r="N1061" s="263"/>
      <c r="O1061" s="275" t="s">
        <v>37</v>
      </c>
      <c r="P1061" s="486"/>
      <c r="Q1061" s="486"/>
      <c r="R1061" s="486"/>
      <c r="S1061" s="486"/>
      <c r="T1061" s="486"/>
      <c r="U1061" s="486"/>
      <c r="V1061" s="263"/>
      <c r="W1061" s="267"/>
      <c r="X1061" s="263"/>
    </row>
    <row r="1062" spans="1:53" ht="69.95" customHeight="1">
      <c r="E1062" s="264"/>
      <c r="F1062" s="265"/>
      <c r="G1062" s="263"/>
      <c r="H1062" s="275" t="s">
        <v>37</v>
      </c>
      <c r="I1062" s="486"/>
      <c r="J1062" s="486"/>
      <c r="K1062" s="486"/>
      <c r="L1062" s="486"/>
      <c r="M1062" s="263"/>
      <c r="N1062" s="263"/>
      <c r="O1062" s="275" t="s">
        <v>37</v>
      </c>
      <c r="P1062" s="486"/>
      <c r="Q1062" s="486"/>
      <c r="R1062" s="486"/>
      <c r="S1062" s="486"/>
      <c r="T1062" s="486"/>
      <c r="U1062" s="486"/>
      <c r="V1062" s="263"/>
      <c r="W1062" s="267"/>
      <c r="X1062" s="263"/>
    </row>
    <row r="1063" spans="1:53" ht="39.950000000000003" customHeight="1" thickBot="1">
      <c r="E1063" s="276"/>
      <c r="F1063" s="277"/>
      <c r="G1063" s="278"/>
      <c r="H1063" s="278"/>
      <c r="I1063" s="278"/>
      <c r="J1063" s="278"/>
      <c r="K1063" s="278"/>
      <c r="L1063" s="278"/>
      <c r="M1063" s="278"/>
      <c r="N1063" s="278"/>
      <c r="O1063" s="278"/>
      <c r="P1063" s="278"/>
      <c r="Q1063" s="278"/>
      <c r="R1063" s="278"/>
      <c r="S1063" s="278"/>
      <c r="T1063" s="279"/>
      <c r="U1063" s="279"/>
      <c r="V1063" s="279"/>
      <c r="W1063" s="280"/>
      <c r="X1063" s="263"/>
    </row>
    <row r="1064" spans="1:53" ht="62.25" thickBot="1"/>
    <row r="1065" spans="1:53" ht="39.950000000000003" customHeight="1">
      <c r="A1065" s="252" t="str">
        <f>CONCATENATE(F1072,F1074,F1076)</f>
        <v>DF2-3</v>
      </c>
      <c r="E1065" s="259" t="s">
        <v>70</v>
      </c>
      <c r="F1065" s="260">
        <f>VLOOKUP(A1065,'zoznam zapasov'!$A$6:$K$77,3,0)</f>
        <v>54</v>
      </c>
      <c r="G1065" s="261"/>
      <c r="H1065" s="322" t="s">
        <v>501</v>
      </c>
      <c r="I1065" s="261"/>
      <c r="J1065" s="261"/>
      <c r="K1065" s="261"/>
      <c r="L1065" s="261"/>
      <c r="M1065" s="261"/>
      <c r="N1065" s="261"/>
      <c r="O1065" s="261"/>
      <c r="P1065" s="261"/>
      <c r="Q1065" s="261"/>
      <c r="R1065" s="261"/>
      <c r="S1065" s="261"/>
      <c r="T1065" s="261"/>
      <c r="U1065" s="261"/>
      <c r="V1065" s="261" t="s">
        <v>30</v>
      </c>
      <c r="W1065" s="262"/>
      <c r="X1065" s="263"/>
      <c r="Z1065" s="258" t="str">
        <f>CONCATENATE(V1067,":",V1070)</f>
        <v>3:2</v>
      </c>
      <c r="AE1065" s="253" t="s">
        <v>11</v>
      </c>
      <c r="AV1065" s="256" t="str">
        <f>CONCATENATE(AN1067,",",AO1067,",",AP1067,",",AQ1067,",",AR1067,",",AS1067,",",AT1067)</f>
        <v>-10,8,-8,4,8,,</v>
      </c>
    </row>
    <row r="1066" spans="1:53" ht="39.950000000000003" customHeight="1">
      <c r="E1066" s="264"/>
      <c r="F1066" s="265"/>
      <c r="G1066" s="321" t="s">
        <v>500</v>
      </c>
      <c r="H1066" s="323" t="s">
        <v>502</v>
      </c>
      <c r="I1066" s="263"/>
      <c r="J1066" s="263"/>
      <c r="K1066" s="263"/>
      <c r="L1066" s="263"/>
      <c r="M1066" s="263"/>
      <c r="N1066" s="266">
        <v>1</v>
      </c>
      <c r="O1066" s="266">
        <v>2</v>
      </c>
      <c r="P1066" s="266">
        <v>3</v>
      </c>
      <c r="Q1066" s="266">
        <v>4</v>
      </c>
      <c r="R1066" s="266">
        <v>5</v>
      </c>
      <c r="S1066" s="266">
        <v>6</v>
      </c>
      <c r="T1066" s="266">
        <v>7</v>
      </c>
      <c r="U1066" s="263"/>
      <c r="V1066" s="266" t="s">
        <v>31</v>
      </c>
      <c r="W1066" s="267"/>
      <c r="X1066" s="263"/>
      <c r="AE1066" s="253" t="s">
        <v>68</v>
      </c>
      <c r="AV1066" s="256" t="str">
        <f>CONCATENATE(AN1068,",",AO1068,",",AP1068,",",AQ1068,",",AR1068,",",AS1068,",",AT1068)</f>
        <v>10,-8,8,-4,-8,,</v>
      </c>
    </row>
    <row r="1067" spans="1:53" ht="39.950000000000003" customHeight="1">
      <c r="A1067" s="252" t="str">
        <f>CONCATENATE(F1072,VLOOKUP(F1074,$AZ$7:$BA$14,2,0),LEFT(F1076,1))</f>
        <v>D62</v>
      </c>
      <c r="E1067" s="264" t="s">
        <v>29</v>
      </c>
      <c r="F1067" s="265">
        <f>VLOOKUP(A1065,'zoznam zapasov'!$A$6:$K$77,11,0)</f>
        <v>6</v>
      </c>
      <c r="G1067" s="508"/>
      <c r="H1067" s="495"/>
      <c r="I1067" s="487" t="str">
        <f>IF(ISERROR(VLOOKUP(A1067,vylosovanie!$A$8:$J$68,6,0))=TRUE,"",VLOOKUP(A1067,vylosovanie!$A$8:$J$68,6,0))</f>
        <v>PAPCUNOVÁ Viktória</v>
      </c>
      <c r="J1067" s="487"/>
      <c r="K1067" s="487"/>
      <c r="L1067" s="487"/>
      <c r="M1067" s="263"/>
      <c r="N1067" s="489">
        <v>10</v>
      </c>
      <c r="O1067" s="489">
        <v>11</v>
      </c>
      <c r="P1067" s="489">
        <v>8</v>
      </c>
      <c r="Q1067" s="489">
        <v>11</v>
      </c>
      <c r="R1067" s="489">
        <v>11</v>
      </c>
      <c r="S1067" s="489"/>
      <c r="T1067" s="489"/>
      <c r="U1067" s="263"/>
      <c r="V1067" s="493">
        <f>IF(SUM(AF1067:AL1068)=0,"",SUM(AF1067:AL1067))</f>
        <v>3</v>
      </c>
      <c r="W1067" s="267"/>
      <c r="X1067" s="263"/>
      <c r="AE1067" s="253" t="str">
        <f>VLOOKUP(I1067,vylosovanie!$F$8:$L$190,7,0)</f>
        <v>D62</v>
      </c>
      <c r="AF1067" s="268">
        <f>IF(N1067&gt;N1070,1,0)</f>
        <v>0</v>
      </c>
      <c r="AG1067" s="268">
        <f t="shared" ref="AG1067" si="732">IF(O1067&gt;O1070,1,0)</f>
        <v>1</v>
      </c>
      <c r="AH1067" s="268">
        <f t="shared" ref="AH1067" si="733">IF(P1067&gt;P1070,1,0)</f>
        <v>0</v>
      </c>
      <c r="AI1067" s="268">
        <f t="shared" ref="AI1067" si="734">IF(Q1067&gt;Q1070,1,0)</f>
        <v>1</v>
      </c>
      <c r="AJ1067" s="268">
        <f t="shared" ref="AJ1067" si="735">IF(R1067&gt;R1070,1,0)</f>
        <v>1</v>
      </c>
      <c r="AK1067" s="268">
        <f t="shared" ref="AK1067" si="736">IF(S1067&gt;S1070,1,0)</f>
        <v>0</v>
      </c>
      <c r="AL1067" s="268">
        <f t="shared" ref="AL1067" si="737">IF(T1067&gt;T1070,1,0)</f>
        <v>0</v>
      </c>
      <c r="AN1067" s="268">
        <f t="shared" ref="AN1067:AT1067" si="738">IF(ISBLANK(N1067)=TRUE,"",IF(AF1067=1,N1070,-N1067))</f>
        <v>-10</v>
      </c>
      <c r="AO1067" s="268">
        <f t="shared" si="738"/>
        <v>8</v>
      </c>
      <c r="AP1067" s="268">
        <f t="shared" si="738"/>
        <v>-8</v>
      </c>
      <c r="AQ1067" s="268">
        <f t="shared" si="738"/>
        <v>4</v>
      </c>
      <c r="AR1067" s="268">
        <f t="shared" si="738"/>
        <v>8</v>
      </c>
      <c r="AS1067" s="268" t="str">
        <f t="shared" si="738"/>
        <v/>
      </c>
      <c r="AT1067" s="268" t="str">
        <f t="shared" si="738"/>
        <v/>
      </c>
      <c r="AZ1067" s="269" t="s">
        <v>12</v>
      </c>
      <c r="BA1067" s="269">
        <v>1</v>
      </c>
    </row>
    <row r="1068" spans="1:53" ht="39.950000000000003" customHeight="1">
      <c r="E1068" s="264"/>
      <c r="F1068" s="265"/>
      <c r="G1068" s="509"/>
      <c r="H1068" s="495"/>
      <c r="I1068" s="487"/>
      <c r="J1068" s="487"/>
      <c r="K1068" s="487"/>
      <c r="L1068" s="487"/>
      <c r="M1068" s="263"/>
      <c r="N1068" s="490"/>
      <c r="O1068" s="490"/>
      <c r="P1068" s="490"/>
      <c r="Q1068" s="490"/>
      <c r="R1068" s="490"/>
      <c r="S1068" s="490"/>
      <c r="T1068" s="490"/>
      <c r="U1068" s="263"/>
      <c r="V1068" s="493"/>
      <c r="W1068" s="267"/>
      <c r="X1068" s="263"/>
      <c r="AE1068" s="253" t="str">
        <f>VLOOKUP(I1070,vylosovanie!$F$8:$L$190,7,0)</f>
        <v>D63</v>
      </c>
      <c r="AF1068" s="268">
        <f>IF(N1070&gt;N1067,1,0)</f>
        <v>1</v>
      </c>
      <c r="AG1068" s="268">
        <f t="shared" ref="AG1068" si="739">IF(O1070&gt;O1067,1,0)</f>
        <v>0</v>
      </c>
      <c r="AH1068" s="268">
        <f t="shared" ref="AH1068" si="740">IF(P1070&gt;P1067,1,0)</f>
        <v>1</v>
      </c>
      <c r="AI1068" s="268">
        <f t="shared" ref="AI1068" si="741">IF(Q1070&gt;Q1067,1,0)</f>
        <v>0</v>
      </c>
      <c r="AJ1068" s="268">
        <f t="shared" ref="AJ1068" si="742">IF(R1070&gt;R1067,1,0)</f>
        <v>0</v>
      </c>
      <c r="AK1068" s="268">
        <f t="shared" ref="AK1068" si="743">IF(S1070&gt;S1067,1,0)</f>
        <v>0</v>
      </c>
      <c r="AL1068" s="268">
        <f t="shared" ref="AL1068" si="744">IF(T1070&gt;T1067,1,0)</f>
        <v>0</v>
      </c>
      <c r="AN1068" s="268">
        <f t="shared" ref="AN1068:AT1068" si="745">IF(ISBLANK(N1070)=TRUE,"",IF(AF1068=1,N1067,-N1070))</f>
        <v>10</v>
      </c>
      <c r="AO1068" s="268">
        <f t="shared" si="745"/>
        <v>-8</v>
      </c>
      <c r="AP1068" s="268">
        <f t="shared" si="745"/>
        <v>8</v>
      </c>
      <c r="AQ1068" s="268">
        <f t="shared" si="745"/>
        <v>-4</v>
      </c>
      <c r="AR1068" s="268">
        <f t="shared" si="745"/>
        <v>-8</v>
      </c>
      <c r="AS1068" s="268" t="str">
        <f t="shared" si="745"/>
        <v/>
      </c>
      <c r="AT1068" s="268" t="str">
        <f t="shared" si="745"/>
        <v/>
      </c>
      <c r="AZ1068" s="269" t="s">
        <v>18</v>
      </c>
      <c r="BA1068" s="269">
        <v>2</v>
      </c>
    </row>
    <row r="1069" spans="1:53" ht="39.950000000000003" customHeight="1">
      <c r="E1069" s="264" t="s">
        <v>35</v>
      </c>
      <c r="F1069" s="265" t="str">
        <f>VLOOKUP(A1065,'zoznam zapasov'!$A$6:$K$77,9,0)</f>
        <v>So</v>
      </c>
      <c r="G1069" s="263"/>
      <c r="H1069" s="263"/>
      <c r="I1069" s="263"/>
      <c r="J1069" s="263"/>
      <c r="K1069" s="263"/>
      <c r="L1069" s="263"/>
      <c r="M1069" s="263"/>
      <c r="N1069" s="263"/>
      <c r="O1069" s="263"/>
      <c r="P1069" s="263"/>
      <c r="Q1069" s="263"/>
      <c r="R1069" s="263"/>
      <c r="S1069" s="263"/>
      <c r="T1069" s="263"/>
      <c r="U1069" s="263"/>
      <c r="V1069" s="263"/>
      <c r="W1069" s="267"/>
      <c r="X1069" s="263"/>
      <c r="AZ1069" s="269" t="s">
        <v>38</v>
      </c>
      <c r="BA1069" s="269">
        <v>3</v>
      </c>
    </row>
    <row r="1070" spans="1:53" ht="39.950000000000003" customHeight="1">
      <c r="A1070" s="252" t="str">
        <f>CONCATENATE(F1072,VLOOKUP(F1074,$AZ$7:$BA$14,2,0),RIGHT(F1076,1))</f>
        <v>D63</v>
      </c>
      <c r="E1070" s="264" t="s">
        <v>28</v>
      </c>
      <c r="F1070" s="270" t="str">
        <f>VLOOKUP(A1065,'zoznam zapasov'!$A$6:$K$77,10,0)</f>
        <v>12.00</v>
      </c>
      <c r="G1070" s="508"/>
      <c r="H1070" s="486"/>
      <c r="I1070" s="487" t="str">
        <f>IF(ISERROR(VLOOKUP(A1070,vylosovanie!$A$8:$J$68,6,0))=TRUE,"",VLOOKUP(A1070,vylosovanie!$A$8:$J$68,6,0))</f>
        <v>LACENOVÁ Renáta</v>
      </c>
      <c r="J1070" s="487"/>
      <c r="K1070" s="487"/>
      <c r="L1070" s="487"/>
      <c r="M1070" s="263"/>
      <c r="N1070" s="489">
        <v>12</v>
      </c>
      <c r="O1070" s="489">
        <v>8</v>
      </c>
      <c r="P1070" s="489">
        <v>11</v>
      </c>
      <c r="Q1070" s="489">
        <v>4</v>
      </c>
      <c r="R1070" s="489">
        <v>8</v>
      </c>
      <c r="S1070" s="489"/>
      <c r="T1070" s="489"/>
      <c r="U1070" s="263"/>
      <c r="V1070" s="493">
        <f>IF(SUM(AF1067:AL1068)=0,"",SUM(AF1068:AL1068))</f>
        <v>2</v>
      </c>
      <c r="W1070" s="267"/>
      <c r="X1070" s="263"/>
      <c r="AZ1070" s="269" t="s">
        <v>39</v>
      </c>
      <c r="BA1070" s="269">
        <v>4</v>
      </c>
    </row>
    <row r="1071" spans="1:53" ht="39.950000000000003" customHeight="1">
      <c r="E1071" s="271"/>
      <c r="F1071" s="272"/>
      <c r="G1071" s="509"/>
      <c r="H1071" s="486"/>
      <c r="I1071" s="487"/>
      <c r="J1071" s="487"/>
      <c r="K1071" s="487"/>
      <c r="L1071" s="487"/>
      <c r="M1071" s="263"/>
      <c r="N1071" s="490"/>
      <c r="O1071" s="490"/>
      <c r="P1071" s="490"/>
      <c r="Q1071" s="490"/>
      <c r="R1071" s="490"/>
      <c r="S1071" s="490"/>
      <c r="T1071" s="490"/>
      <c r="U1071" s="263"/>
      <c r="V1071" s="493"/>
      <c r="W1071" s="267"/>
      <c r="X1071" s="263"/>
      <c r="AZ1071" s="269" t="s">
        <v>40</v>
      </c>
      <c r="BA1071" s="269">
        <v>5</v>
      </c>
    </row>
    <row r="1072" spans="1:53" ht="39.950000000000003" customHeight="1">
      <c r="E1072" s="264" t="s">
        <v>66</v>
      </c>
      <c r="F1072" s="265" t="s">
        <v>39</v>
      </c>
      <c r="G1072" s="263"/>
      <c r="H1072" s="263"/>
      <c r="I1072" s="263"/>
      <c r="J1072" s="263"/>
      <c r="K1072" s="263"/>
      <c r="L1072" s="263"/>
      <c r="M1072" s="263"/>
      <c r="N1072" s="263"/>
      <c r="O1072" s="263"/>
      <c r="P1072" s="263"/>
      <c r="Q1072" s="263"/>
      <c r="R1072" s="263"/>
      <c r="S1072" s="263"/>
      <c r="T1072" s="263"/>
      <c r="U1072" s="263"/>
      <c r="V1072" s="263"/>
      <c r="W1072" s="267"/>
      <c r="X1072" s="263"/>
      <c r="AZ1072" s="269" t="s">
        <v>41</v>
      </c>
      <c r="BA1072" s="269">
        <v>6</v>
      </c>
    </row>
    <row r="1073" spans="1:53" ht="39.950000000000003" customHeight="1">
      <c r="E1073" s="271"/>
      <c r="F1073" s="272"/>
      <c r="G1073" s="263"/>
      <c r="H1073" s="263"/>
      <c r="I1073" s="263" t="s">
        <v>32</v>
      </c>
      <c r="J1073" s="263"/>
      <c r="K1073" s="263"/>
      <c r="L1073" s="263"/>
      <c r="M1073" s="263"/>
      <c r="N1073" s="273"/>
      <c r="O1073" s="266"/>
      <c r="P1073" s="266" t="s">
        <v>34</v>
      </c>
      <c r="Q1073" s="266"/>
      <c r="R1073" s="266"/>
      <c r="S1073" s="266"/>
      <c r="T1073" s="266"/>
      <c r="U1073" s="263"/>
      <c r="V1073" s="263"/>
      <c r="W1073" s="267"/>
      <c r="X1073" s="263"/>
      <c r="AZ1073" s="269" t="s">
        <v>42</v>
      </c>
      <c r="BA1073" s="269">
        <v>7</v>
      </c>
    </row>
    <row r="1074" spans="1:53" ht="39.950000000000003" customHeight="1">
      <c r="E1074" s="264" t="s">
        <v>26</v>
      </c>
      <c r="F1074" s="265" t="s">
        <v>41</v>
      </c>
      <c r="G1074" s="263"/>
      <c r="H1074" s="263"/>
      <c r="I1074" s="486"/>
      <c r="J1074" s="486"/>
      <c r="K1074" s="486"/>
      <c r="L1074" s="486"/>
      <c r="M1074" s="263"/>
      <c r="N1074" s="486" t="str">
        <f>IF(V1067&gt;V1070,I1067,IF(V1070&gt;V1067,I1070,""))</f>
        <v>PAPCUNOVÁ Viktória</v>
      </c>
      <c r="O1074" s="486"/>
      <c r="P1074" s="486"/>
      <c r="Q1074" s="486"/>
      <c r="R1074" s="486"/>
      <c r="S1074" s="486"/>
      <c r="T1074" s="263"/>
      <c r="U1074" s="263"/>
      <c r="V1074" s="263"/>
      <c r="W1074" s="267"/>
      <c r="X1074" s="263"/>
      <c r="AZ1074" s="269" t="s">
        <v>43</v>
      </c>
      <c r="BA1074" s="269">
        <v>8</v>
      </c>
    </row>
    <row r="1075" spans="1:53" ht="39.950000000000003" customHeight="1">
      <c r="E1075" s="271"/>
      <c r="F1075" s="272"/>
      <c r="G1075" s="263"/>
      <c r="H1075" s="263"/>
      <c r="I1075" s="486"/>
      <c r="J1075" s="486"/>
      <c r="K1075" s="486"/>
      <c r="L1075" s="486"/>
      <c r="M1075" s="263"/>
      <c r="N1075" s="486"/>
      <c r="O1075" s="486"/>
      <c r="P1075" s="486"/>
      <c r="Q1075" s="486"/>
      <c r="R1075" s="486"/>
      <c r="S1075" s="486"/>
      <c r="T1075" s="263"/>
      <c r="U1075" s="263"/>
      <c r="V1075" s="263"/>
      <c r="W1075" s="267"/>
      <c r="X1075" s="263"/>
    </row>
    <row r="1076" spans="1:53" ht="39.950000000000003" customHeight="1">
      <c r="E1076" s="264" t="s">
        <v>27</v>
      </c>
      <c r="F1076" s="274" t="s">
        <v>25</v>
      </c>
      <c r="G1076" s="263"/>
      <c r="H1076" s="263"/>
      <c r="I1076" s="263"/>
      <c r="J1076" s="263"/>
      <c r="K1076" s="263"/>
      <c r="L1076" s="263"/>
      <c r="M1076" s="263"/>
      <c r="N1076" s="263"/>
      <c r="O1076" s="263"/>
      <c r="P1076" s="263"/>
      <c r="Q1076" s="263"/>
      <c r="R1076" s="263"/>
      <c r="S1076" s="263"/>
      <c r="T1076" s="263"/>
      <c r="U1076" s="263"/>
      <c r="V1076" s="263"/>
      <c r="W1076" s="267"/>
      <c r="X1076" s="263"/>
    </row>
    <row r="1077" spans="1:53" ht="39.950000000000003" customHeight="1">
      <c r="E1077" s="271"/>
      <c r="F1077" s="272"/>
      <c r="G1077" s="263"/>
      <c r="H1077" s="263" t="s">
        <v>33</v>
      </c>
      <c r="I1077" s="263"/>
      <c r="J1077" s="263"/>
      <c r="K1077" s="263"/>
      <c r="L1077" s="263"/>
      <c r="M1077" s="263"/>
      <c r="N1077" s="263"/>
      <c r="O1077" s="263"/>
      <c r="P1077" s="263"/>
      <c r="Q1077" s="263"/>
      <c r="R1077" s="263"/>
      <c r="S1077" s="263"/>
      <c r="T1077" s="263"/>
      <c r="U1077" s="263"/>
      <c r="V1077" s="263"/>
      <c r="W1077" s="267"/>
      <c r="X1077" s="263"/>
    </row>
    <row r="1078" spans="1:53" ht="39.950000000000003" customHeight="1">
      <c r="E1078" s="271"/>
      <c r="F1078" s="272"/>
      <c r="G1078" s="263"/>
      <c r="H1078" s="263"/>
      <c r="I1078" s="263"/>
      <c r="J1078" s="263"/>
      <c r="K1078" s="263"/>
      <c r="L1078" s="263"/>
      <c r="M1078" s="263"/>
      <c r="N1078" s="263"/>
      <c r="O1078" s="263"/>
      <c r="P1078" s="263"/>
      <c r="Q1078" s="263"/>
      <c r="R1078" s="263"/>
      <c r="S1078" s="263"/>
      <c r="T1078" s="263"/>
      <c r="U1078" s="263"/>
      <c r="V1078" s="263"/>
      <c r="W1078" s="267"/>
      <c r="X1078" s="263"/>
    </row>
    <row r="1079" spans="1:53" ht="39.950000000000003" customHeight="1">
      <c r="E1079" s="271"/>
      <c r="F1079" s="272"/>
      <c r="G1079" s="263"/>
      <c r="H1079" s="263"/>
      <c r="I1079" s="496" t="str">
        <f>I1067</f>
        <v>PAPCUNOVÁ Viktória</v>
      </c>
      <c r="J1079" s="496"/>
      <c r="K1079" s="496"/>
      <c r="L1079" s="496"/>
      <c r="M1079" s="263"/>
      <c r="N1079" s="263"/>
      <c r="O1079" s="263"/>
      <c r="P1079" s="496" t="str">
        <f>I1070</f>
        <v>LACENOVÁ Renáta</v>
      </c>
      <c r="Q1079" s="496"/>
      <c r="R1079" s="496"/>
      <c r="S1079" s="496"/>
      <c r="T1079" s="497"/>
      <c r="U1079" s="497"/>
      <c r="V1079" s="263"/>
      <c r="W1079" s="267"/>
      <c r="X1079" s="263"/>
    </row>
    <row r="1080" spans="1:53" ht="69.95" customHeight="1">
      <c r="E1080" s="264"/>
      <c r="F1080" s="265"/>
      <c r="G1080" s="263"/>
      <c r="H1080" s="275" t="s">
        <v>36</v>
      </c>
      <c r="I1080" s="483"/>
      <c r="J1080" s="494"/>
      <c r="K1080" s="494"/>
      <c r="L1080" s="495"/>
      <c r="M1080" s="263"/>
      <c r="N1080" s="263"/>
      <c r="O1080" s="275" t="s">
        <v>36</v>
      </c>
      <c r="P1080" s="486"/>
      <c r="Q1080" s="486"/>
      <c r="R1080" s="486"/>
      <c r="S1080" s="486"/>
      <c r="T1080" s="486"/>
      <c r="U1080" s="486"/>
      <c r="V1080" s="263"/>
      <c r="W1080" s="267"/>
      <c r="X1080" s="263"/>
    </row>
    <row r="1081" spans="1:53" ht="69.95" customHeight="1">
      <c r="E1081" s="264"/>
      <c r="F1081" s="265"/>
      <c r="G1081" s="263"/>
      <c r="H1081" s="275" t="s">
        <v>37</v>
      </c>
      <c r="I1081" s="486"/>
      <c r="J1081" s="486"/>
      <c r="K1081" s="486"/>
      <c r="L1081" s="486"/>
      <c r="M1081" s="263"/>
      <c r="N1081" s="263"/>
      <c r="O1081" s="275" t="s">
        <v>37</v>
      </c>
      <c r="P1081" s="486"/>
      <c r="Q1081" s="486"/>
      <c r="R1081" s="486"/>
      <c r="S1081" s="486"/>
      <c r="T1081" s="486"/>
      <c r="U1081" s="486"/>
      <c r="V1081" s="263"/>
      <c r="W1081" s="267"/>
      <c r="X1081" s="263"/>
    </row>
    <row r="1082" spans="1:53" ht="69.95" customHeight="1">
      <c r="E1082" s="264"/>
      <c r="F1082" s="265"/>
      <c r="G1082" s="263"/>
      <c r="H1082" s="275" t="s">
        <v>37</v>
      </c>
      <c r="I1082" s="486"/>
      <c r="J1082" s="486"/>
      <c r="K1082" s="486"/>
      <c r="L1082" s="486"/>
      <c r="M1082" s="263"/>
      <c r="N1082" s="263"/>
      <c r="O1082" s="275" t="s">
        <v>37</v>
      </c>
      <c r="P1082" s="486"/>
      <c r="Q1082" s="486"/>
      <c r="R1082" s="486"/>
      <c r="S1082" s="486"/>
      <c r="T1082" s="486"/>
      <c r="U1082" s="486"/>
      <c r="V1082" s="263"/>
      <c r="W1082" s="267"/>
      <c r="X1082" s="263"/>
    </row>
    <row r="1083" spans="1:53" ht="39.950000000000003" customHeight="1" thickBot="1">
      <c r="E1083" s="276"/>
      <c r="F1083" s="277"/>
      <c r="G1083" s="278"/>
      <c r="H1083" s="278"/>
      <c r="I1083" s="278"/>
      <c r="J1083" s="278"/>
      <c r="K1083" s="278"/>
      <c r="L1083" s="278"/>
      <c r="M1083" s="278"/>
      <c r="N1083" s="278"/>
      <c r="O1083" s="278"/>
      <c r="P1083" s="278"/>
      <c r="Q1083" s="278"/>
      <c r="R1083" s="278"/>
      <c r="S1083" s="278"/>
      <c r="T1083" s="279"/>
      <c r="U1083" s="279"/>
      <c r="V1083" s="279"/>
      <c r="W1083" s="280"/>
      <c r="X1083" s="263"/>
    </row>
    <row r="1084" spans="1:53" ht="62.25" thickBot="1"/>
    <row r="1085" spans="1:53" ht="39.950000000000003" customHeight="1">
      <c r="A1085" s="252" t="str">
        <f>CONCATENATE(F1092,F1094,F1096)</f>
        <v>DG2-3</v>
      </c>
      <c r="E1085" s="259" t="s">
        <v>70</v>
      </c>
      <c r="F1085" s="260">
        <f>VLOOKUP(A1085,'zoznam zapasov'!$A$6:$K$77,3,0)</f>
        <v>55</v>
      </c>
      <c r="G1085" s="261"/>
      <c r="H1085" s="322" t="s">
        <v>501</v>
      </c>
      <c r="I1085" s="261"/>
      <c r="J1085" s="261"/>
      <c r="K1085" s="261"/>
      <c r="L1085" s="261"/>
      <c r="M1085" s="261"/>
      <c r="N1085" s="261"/>
      <c r="O1085" s="261"/>
      <c r="P1085" s="261"/>
      <c r="Q1085" s="261"/>
      <c r="R1085" s="261"/>
      <c r="S1085" s="261"/>
      <c r="T1085" s="261"/>
      <c r="U1085" s="261"/>
      <c r="V1085" s="261" t="s">
        <v>30</v>
      </c>
      <c r="W1085" s="262"/>
      <c r="X1085" s="263"/>
      <c r="Z1085" s="258" t="str">
        <f>CONCATENATE(V1087,":",V1090)</f>
        <v>1:3</v>
      </c>
      <c r="AE1085" s="253" t="s">
        <v>11</v>
      </c>
      <c r="AV1085" s="256" t="str">
        <f>CONCATENATE(AN1087,",",AO1087,",",AP1087,",",AQ1087,",",AR1087,",",AS1087,",",AT1087)</f>
        <v>-4,6,-6,-3,,,</v>
      </c>
    </row>
    <row r="1086" spans="1:53" ht="39.950000000000003" customHeight="1">
      <c r="E1086" s="264"/>
      <c r="F1086" s="265"/>
      <c r="G1086" s="321" t="s">
        <v>500</v>
      </c>
      <c r="H1086" s="323" t="s">
        <v>502</v>
      </c>
      <c r="I1086" s="263"/>
      <c r="J1086" s="263"/>
      <c r="K1086" s="263"/>
      <c r="L1086" s="263"/>
      <c r="M1086" s="263"/>
      <c r="N1086" s="266">
        <v>1</v>
      </c>
      <c r="O1086" s="266">
        <v>2</v>
      </c>
      <c r="P1086" s="266">
        <v>3</v>
      </c>
      <c r="Q1086" s="266">
        <v>4</v>
      </c>
      <c r="R1086" s="266">
        <v>5</v>
      </c>
      <c r="S1086" s="266">
        <v>6</v>
      </c>
      <c r="T1086" s="266">
        <v>7</v>
      </c>
      <c r="U1086" s="263"/>
      <c r="V1086" s="266" t="s">
        <v>31</v>
      </c>
      <c r="W1086" s="267"/>
      <c r="X1086" s="263"/>
      <c r="AE1086" s="253" t="s">
        <v>68</v>
      </c>
      <c r="AV1086" s="256" t="str">
        <f>CONCATENATE(AN1088,",",AO1088,",",AP1088,",",AQ1088,",",AR1088,",",AS1088,",",AT1088)</f>
        <v>4,-6,6,3,,,</v>
      </c>
    </row>
    <row r="1087" spans="1:53" ht="39.950000000000003" customHeight="1">
      <c r="A1087" s="252" t="str">
        <f>CONCATENATE(F1092,VLOOKUP(F1094,$AZ$7:$BA$14,2,0),LEFT(F1096,1))</f>
        <v>D72</v>
      </c>
      <c r="E1087" s="264" t="s">
        <v>29</v>
      </c>
      <c r="F1087" s="265">
        <f>VLOOKUP(A1085,'zoznam zapasov'!$A$6:$K$77,11,0)</f>
        <v>7</v>
      </c>
      <c r="G1087" s="508"/>
      <c r="H1087" s="495"/>
      <c r="I1087" s="487" t="str">
        <f>IF(ISERROR(VLOOKUP(A1087,vylosovanie!$A$8:$J$68,6,0))=TRUE,"",VLOOKUP(A1087,vylosovanie!$A$8:$J$68,6,0))</f>
        <v>VIŠŇOVSKÁ Nina</v>
      </c>
      <c r="J1087" s="487"/>
      <c r="K1087" s="487"/>
      <c r="L1087" s="487"/>
      <c r="M1087" s="263"/>
      <c r="N1087" s="489">
        <v>4</v>
      </c>
      <c r="O1087" s="489">
        <v>11</v>
      </c>
      <c r="P1087" s="489">
        <v>6</v>
      </c>
      <c r="Q1087" s="489">
        <v>3</v>
      </c>
      <c r="R1087" s="489"/>
      <c r="S1087" s="489"/>
      <c r="T1087" s="489"/>
      <c r="U1087" s="263"/>
      <c r="V1087" s="493">
        <f>IF(SUM(AF1087:AL1088)=0,"",SUM(AF1087:AL1087))</f>
        <v>1</v>
      </c>
      <c r="W1087" s="267"/>
      <c r="X1087" s="263"/>
      <c r="AE1087" s="253" t="str">
        <f>VLOOKUP(I1087,vylosovanie!$F$8:$L$190,7,0)</f>
        <v>D72</v>
      </c>
      <c r="AF1087" s="268">
        <f>IF(N1087&gt;N1090,1,0)</f>
        <v>0</v>
      </c>
      <c r="AG1087" s="268">
        <f t="shared" ref="AG1087" si="746">IF(O1087&gt;O1090,1,0)</f>
        <v>1</v>
      </c>
      <c r="AH1087" s="268">
        <f t="shared" ref="AH1087" si="747">IF(P1087&gt;P1090,1,0)</f>
        <v>0</v>
      </c>
      <c r="AI1087" s="268">
        <f t="shared" ref="AI1087" si="748">IF(Q1087&gt;Q1090,1,0)</f>
        <v>0</v>
      </c>
      <c r="AJ1087" s="268">
        <f t="shared" ref="AJ1087" si="749">IF(R1087&gt;R1090,1,0)</f>
        <v>0</v>
      </c>
      <c r="AK1087" s="268">
        <f t="shared" ref="AK1087" si="750">IF(S1087&gt;S1090,1,0)</f>
        <v>0</v>
      </c>
      <c r="AL1087" s="268">
        <f t="shared" ref="AL1087" si="751">IF(T1087&gt;T1090,1,0)</f>
        <v>0</v>
      </c>
      <c r="AN1087" s="268">
        <f t="shared" ref="AN1087:AT1087" si="752">IF(ISBLANK(N1087)=TRUE,"",IF(AF1087=1,N1090,-N1087))</f>
        <v>-4</v>
      </c>
      <c r="AO1087" s="268">
        <f t="shared" si="752"/>
        <v>6</v>
      </c>
      <c r="AP1087" s="268">
        <f t="shared" si="752"/>
        <v>-6</v>
      </c>
      <c r="AQ1087" s="268">
        <f t="shared" si="752"/>
        <v>-3</v>
      </c>
      <c r="AR1087" s="268" t="str">
        <f t="shared" si="752"/>
        <v/>
      </c>
      <c r="AS1087" s="268" t="str">
        <f t="shared" si="752"/>
        <v/>
      </c>
      <c r="AT1087" s="268" t="str">
        <f t="shared" si="752"/>
        <v/>
      </c>
      <c r="AZ1087" s="269" t="s">
        <v>12</v>
      </c>
      <c r="BA1087" s="269">
        <v>1</v>
      </c>
    </row>
    <row r="1088" spans="1:53" ht="39.950000000000003" customHeight="1">
      <c r="E1088" s="264"/>
      <c r="F1088" s="265"/>
      <c r="G1088" s="509"/>
      <c r="H1088" s="495"/>
      <c r="I1088" s="487"/>
      <c r="J1088" s="487"/>
      <c r="K1088" s="487"/>
      <c r="L1088" s="487"/>
      <c r="M1088" s="263"/>
      <c r="N1088" s="490"/>
      <c r="O1088" s="490"/>
      <c r="P1088" s="490"/>
      <c r="Q1088" s="490"/>
      <c r="R1088" s="490"/>
      <c r="S1088" s="490"/>
      <c r="T1088" s="490"/>
      <c r="U1088" s="263"/>
      <c r="V1088" s="493"/>
      <c r="W1088" s="267"/>
      <c r="X1088" s="263"/>
      <c r="AE1088" s="253" t="str">
        <f>VLOOKUP(I1090,vylosovanie!$F$8:$L$190,7,0)</f>
        <v>D73</v>
      </c>
      <c r="AF1088" s="268">
        <f>IF(N1090&gt;N1087,1,0)</f>
        <v>1</v>
      </c>
      <c r="AG1088" s="268">
        <f t="shared" ref="AG1088" si="753">IF(O1090&gt;O1087,1,0)</f>
        <v>0</v>
      </c>
      <c r="AH1088" s="268">
        <f t="shared" ref="AH1088" si="754">IF(P1090&gt;P1087,1,0)</f>
        <v>1</v>
      </c>
      <c r="AI1088" s="268">
        <f t="shared" ref="AI1088" si="755">IF(Q1090&gt;Q1087,1,0)</f>
        <v>1</v>
      </c>
      <c r="AJ1088" s="268">
        <f t="shared" ref="AJ1088" si="756">IF(R1090&gt;R1087,1,0)</f>
        <v>0</v>
      </c>
      <c r="AK1088" s="268">
        <f t="shared" ref="AK1088" si="757">IF(S1090&gt;S1087,1,0)</f>
        <v>0</v>
      </c>
      <c r="AL1088" s="268">
        <f t="shared" ref="AL1088" si="758">IF(T1090&gt;T1087,1,0)</f>
        <v>0</v>
      </c>
      <c r="AN1088" s="268">
        <f t="shared" ref="AN1088:AT1088" si="759">IF(ISBLANK(N1090)=TRUE,"",IF(AF1088=1,N1087,-N1090))</f>
        <v>4</v>
      </c>
      <c r="AO1088" s="268">
        <f t="shared" si="759"/>
        <v>-6</v>
      </c>
      <c r="AP1088" s="268">
        <f t="shared" si="759"/>
        <v>6</v>
      </c>
      <c r="AQ1088" s="268">
        <f t="shared" si="759"/>
        <v>3</v>
      </c>
      <c r="AR1088" s="268" t="str">
        <f t="shared" si="759"/>
        <v/>
      </c>
      <c r="AS1088" s="268" t="str">
        <f t="shared" si="759"/>
        <v/>
      </c>
      <c r="AT1088" s="268" t="str">
        <f t="shared" si="759"/>
        <v/>
      </c>
      <c r="AZ1088" s="269" t="s">
        <v>18</v>
      </c>
      <c r="BA1088" s="269">
        <v>2</v>
      </c>
    </row>
    <row r="1089" spans="1:53" ht="39.950000000000003" customHeight="1">
      <c r="E1089" s="264" t="s">
        <v>35</v>
      </c>
      <c r="F1089" s="265" t="str">
        <f>VLOOKUP(A1085,'zoznam zapasov'!$A$6:$K$77,9,0)</f>
        <v>So</v>
      </c>
      <c r="G1089" s="263"/>
      <c r="H1089" s="263"/>
      <c r="I1089" s="263"/>
      <c r="J1089" s="263"/>
      <c r="K1089" s="263"/>
      <c r="L1089" s="263"/>
      <c r="M1089" s="263"/>
      <c r="N1089" s="263"/>
      <c r="O1089" s="263"/>
      <c r="P1089" s="263"/>
      <c r="Q1089" s="263"/>
      <c r="R1089" s="263"/>
      <c r="S1089" s="263"/>
      <c r="T1089" s="263"/>
      <c r="U1089" s="263"/>
      <c r="V1089" s="263"/>
      <c r="W1089" s="267"/>
      <c r="X1089" s="263"/>
      <c r="AZ1089" s="269" t="s">
        <v>38</v>
      </c>
      <c r="BA1089" s="269">
        <v>3</v>
      </c>
    </row>
    <row r="1090" spans="1:53" ht="39.950000000000003" customHeight="1">
      <c r="A1090" s="252" t="str">
        <f>CONCATENATE(F1092,VLOOKUP(F1094,$AZ$7:$BA$14,2,0),RIGHT(F1096,1))</f>
        <v>D73</v>
      </c>
      <c r="E1090" s="264" t="s">
        <v>28</v>
      </c>
      <c r="F1090" s="270" t="str">
        <f>VLOOKUP(A1085,'zoznam zapasov'!$A$6:$K$77,10,0)</f>
        <v>12.00</v>
      </c>
      <c r="G1090" s="508"/>
      <c r="H1090" s="486"/>
      <c r="I1090" s="487" t="str">
        <f>IF(ISERROR(VLOOKUP(A1090,vylosovanie!$A$8:$J$68,6,0))=TRUE,"",VLOOKUP(A1090,vylosovanie!$A$8:$J$68,6,0))</f>
        <v>GORFOLOVÁ Viktória</v>
      </c>
      <c r="J1090" s="487"/>
      <c r="K1090" s="487"/>
      <c r="L1090" s="487"/>
      <c r="M1090" s="263"/>
      <c r="N1090" s="489">
        <v>11</v>
      </c>
      <c r="O1090" s="489">
        <v>6</v>
      </c>
      <c r="P1090" s="489">
        <v>11</v>
      </c>
      <c r="Q1090" s="489">
        <v>11</v>
      </c>
      <c r="R1090" s="489"/>
      <c r="S1090" s="489"/>
      <c r="T1090" s="489"/>
      <c r="U1090" s="263"/>
      <c r="V1090" s="493">
        <f>IF(SUM(AF1087:AL1088)=0,"",SUM(AF1088:AL1088))</f>
        <v>3</v>
      </c>
      <c r="W1090" s="267"/>
      <c r="X1090" s="263"/>
      <c r="AZ1090" s="269" t="s">
        <v>39</v>
      </c>
      <c r="BA1090" s="269">
        <v>4</v>
      </c>
    </row>
    <row r="1091" spans="1:53" ht="39.950000000000003" customHeight="1">
      <c r="E1091" s="271"/>
      <c r="F1091" s="272"/>
      <c r="G1091" s="509"/>
      <c r="H1091" s="486"/>
      <c r="I1091" s="487"/>
      <c r="J1091" s="487"/>
      <c r="K1091" s="487"/>
      <c r="L1091" s="487"/>
      <c r="M1091" s="263"/>
      <c r="N1091" s="490"/>
      <c r="O1091" s="490"/>
      <c r="P1091" s="490"/>
      <c r="Q1091" s="490"/>
      <c r="R1091" s="490"/>
      <c r="S1091" s="490"/>
      <c r="T1091" s="490"/>
      <c r="U1091" s="263"/>
      <c r="V1091" s="493"/>
      <c r="W1091" s="267"/>
      <c r="X1091" s="263"/>
      <c r="AZ1091" s="269" t="s">
        <v>40</v>
      </c>
      <c r="BA1091" s="269">
        <v>5</v>
      </c>
    </row>
    <row r="1092" spans="1:53" ht="39.950000000000003" customHeight="1">
      <c r="E1092" s="264" t="s">
        <v>66</v>
      </c>
      <c r="F1092" s="265" t="s">
        <v>39</v>
      </c>
      <c r="G1092" s="263"/>
      <c r="H1092" s="263"/>
      <c r="I1092" s="263"/>
      <c r="J1092" s="263"/>
      <c r="K1092" s="263"/>
      <c r="L1092" s="263"/>
      <c r="M1092" s="263"/>
      <c r="N1092" s="263"/>
      <c r="O1092" s="263"/>
      <c r="P1092" s="263"/>
      <c r="Q1092" s="263"/>
      <c r="R1092" s="263"/>
      <c r="S1092" s="263"/>
      <c r="T1092" s="263"/>
      <c r="U1092" s="263"/>
      <c r="V1092" s="263"/>
      <c r="W1092" s="267"/>
      <c r="X1092" s="263"/>
      <c r="AZ1092" s="269" t="s">
        <v>41</v>
      </c>
      <c r="BA1092" s="269">
        <v>6</v>
      </c>
    </row>
    <row r="1093" spans="1:53" ht="39.950000000000003" customHeight="1">
      <c r="E1093" s="271"/>
      <c r="F1093" s="272"/>
      <c r="G1093" s="263"/>
      <c r="H1093" s="263"/>
      <c r="I1093" s="263" t="s">
        <v>32</v>
      </c>
      <c r="J1093" s="263"/>
      <c r="K1093" s="263"/>
      <c r="L1093" s="263"/>
      <c r="M1093" s="263"/>
      <c r="N1093" s="273"/>
      <c r="O1093" s="266"/>
      <c r="P1093" s="266" t="s">
        <v>34</v>
      </c>
      <c r="Q1093" s="266"/>
      <c r="R1093" s="266"/>
      <c r="S1093" s="266"/>
      <c r="T1093" s="266"/>
      <c r="U1093" s="263"/>
      <c r="V1093" s="263"/>
      <c r="W1093" s="267"/>
      <c r="X1093" s="263"/>
      <c r="AZ1093" s="269" t="s">
        <v>42</v>
      </c>
      <c r="BA1093" s="269">
        <v>7</v>
      </c>
    </row>
    <row r="1094" spans="1:53" ht="39.950000000000003" customHeight="1">
      <c r="E1094" s="264" t="s">
        <v>26</v>
      </c>
      <c r="F1094" s="265" t="s">
        <v>42</v>
      </c>
      <c r="G1094" s="263"/>
      <c r="H1094" s="263"/>
      <c r="I1094" s="486"/>
      <c r="J1094" s="486"/>
      <c r="K1094" s="486"/>
      <c r="L1094" s="486"/>
      <c r="M1094" s="263"/>
      <c r="N1094" s="486" t="str">
        <f>IF(V1087&gt;V1090,I1087,IF(V1090&gt;V1087,I1090,""))</f>
        <v>GORFOLOVÁ Viktória</v>
      </c>
      <c r="O1094" s="486"/>
      <c r="P1094" s="486"/>
      <c r="Q1094" s="486"/>
      <c r="R1094" s="486"/>
      <c r="S1094" s="486"/>
      <c r="T1094" s="263"/>
      <c r="U1094" s="263"/>
      <c r="V1094" s="263"/>
      <c r="W1094" s="267"/>
      <c r="X1094" s="263"/>
      <c r="AZ1094" s="269" t="s">
        <v>43</v>
      </c>
      <c r="BA1094" s="269">
        <v>8</v>
      </c>
    </row>
    <row r="1095" spans="1:53" ht="39.950000000000003" customHeight="1">
      <c r="E1095" s="271"/>
      <c r="F1095" s="272"/>
      <c r="G1095" s="263"/>
      <c r="H1095" s="263"/>
      <c r="I1095" s="486"/>
      <c r="J1095" s="486"/>
      <c r="K1095" s="486"/>
      <c r="L1095" s="486"/>
      <c r="M1095" s="263"/>
      <c r="N1095" s="486"/>
      <c r="O1095" s="486"/>
      <c r="P1095" s="486"/>
      <c r="Q1095" s="486"/>
      <c r="R1095" s="486"/>
      <c r="S1095" s="486"/>
      <c r="T1095" s="263"/>
      <c r="U1095" s="263"/>
      <c r="V1095" s="263"/>
      <c r="W1095" s="267"/>
      <c r="X1095" s="263"/>
    </row>
    <row r="1096" spans="1:53" ht="39.950000000000003" customHeight="1">
      <c r="E1096" s="264" t="s">
        <v>27</v>
      </c>
      <c r="F1096" s="274" t="s">
        <v>25</v>
      </c>
      <c r="G1096" s="263"/>
      <c r="H1096" s="263"/>
      <c r="I1096" s="263"/>
      <c r="J1096" s="263"/>
      <c r="K1096" s="263"/>
      <c r="L1096" s="263"/>
      <c r="M1096" s="263"/>
      <c r="N1096" s="263"/>
      <c r="O1096" s="263"/>
      <c r="P1096" s="263"/>
      <c r="Q1096" s="263"/>
      <c r="R1096" s="263"/>
      <c r="S1096" s="263"/>
      <c r="T1096" s="263"/>
      <c r="U1096" s="263"/>
      <c r="V1096" s="263"/>
      <c r="W1096" s="267"/>
      <c r="X1096" s="263"/>
    </row>
    <row r="1097" spans="1:53" ht="39.950000000000003" customHeight="1">
      <c r="E1097" s="271"/>
      <c r="F1097" s="272"/>
      <c r="G1097" s="263"/>
      <c r="H1097" s="263" t="s">
        <v>33</v>
      </c>
      <c r="I1097" s="263"/>
      <c r="J1097" s="263"/>
      <c r="K1097" s="263"/>
      <c r="L1097" s="263"/>
      <c r="M1097" s="263"/>
      <c r="N1097" s="263"/>
      <c r="O1097" s="263"/>
      <c r="P1097" s="263"/>
      <c r="Q1097" s="263"/>
      <c r="R1097" s="263"/>
      <c r="S1097" s="263"/>
      <c r="T1097" s="263"/>
      <c r="U1097" s="263"/>
      <c r="V1097" s="263"/>
      <c r="W1097" s="267"/>
      <c r="X1097" s="263"/>
    </row>
    <row r="1098" spans="1:53" ht="39.950000000000003" customHeight="1">
      <c r="E1098" s="271"/>
      <c r="F1098" s="272"/>
      <c r="G1098" s="263"/>
      <c r="H1098" s="263"/>
      <c r="I1098" s="263"/>
      <c r="J1098" s="263"/>
      <c r="K1098" s="263"/>
      <c r="L1098" s="263"/>
      <c r="M1098" s="263"/>
      <c r="N1098" s="263"/>
      <c r="O1098" s="263"/>
      <c r="P1098" s="263"/>
      <c r="Q1098" s="263"/>
      <c r="R1098" s="263"/>
      <c r="S1098" s="263"/>
      <c r="T1098" s="263"/>
      <c r="U1098" s="263"/>
      <c r="V1098" s="263"/>
      <c r="W1098" s="267"/>
      <c r="X1098" s="263"/>
    </row>
    <row r="1099" spans="1:53" ht="39.950000000000003" customHeight="1">
      <c r="E1099" s="271"/>
      <c r="F1099" s="272"/>
      <c r="G1099" s="263"/>
      <c r="H1099" s="263"/>
      <c r="I1099" s="496" t="str">
        <f>I1087</f>
        <v>VIŠŇOVSKÁ Nina</v>
      </c>
      <c r="J1099" s="496"/>
      <c r="K1099" s="496"/>
      <c r="L1099" s="496"/>
      <c r="M1099" s="263"/>
      <c r="N1099" s="263"/>
      <c r="O1099" s="263"/>
      <c r="P1099" s="496" t="str">
        <f>I1090</f>
        <v>GORFOLOVÁ Viktória</v>
      </c>
      <c r="Q1099" s="496"/>
      <c r="R1099" s="496"/>
      <c r="S1099" s="496"/>
      <c r="T1099" s="497"/>
      <c r="U1099" s="497"/>
      <c r="V1099" s="263"/>
      <c r="W1099" s="267"/>
      <c r="X1099" s="263"/>
    </row>
    <row r="1100" spans="1:53" ht="69.95" customHeight="1">
      <c r="E1100" s="264"/>
      <c r="F1100" s="265"/>
      <c r="G1100" s="263"/>
      <c r="H1100" s="275" t="s">
        <v>36</v>
      </c>
      <c r="I1100" s="483"/>
      <c r="J1100" s="494"/>
      <c r="K1100" s="494"/>
      <c r="L1100" s="495"/>
      <c r="M1100" s="263"/>
      <c r="N1100" s="263"/>
      <c r="O1100" s="275" t="s">
        <v>36</v>
      </c>
      <c r="P1100" s="486"/>
      <c r="Q1100" s="486"/>
      <c r="R1100" s="486"/>
      <c r="S1100" s="486"/>
      <c r="T1100" s="486"/>
      <c r="U1100" s="486"/>
      <c r="V1100" s="263"/>
      <c r="W1100" s="267"/>
      <c r="X1100" s="263"/>
    </row>
    <row r="1101" spans="1:53" ht="69.95" customHeight="1">
      <c r="E1101" s="264"/>
      <c r="F1101" s="265"/>
      <c r="G1101" s="263"/>
      <c r="H1101" s="275" t="s">
        <v>37</v>
      </c>
      <c r="I1101" s="486"/>
      <c r="J1101" s="486"/>
      <c r="K1101" s="486"/>
      <c r="L1101" s="486"/>
      <c r="M1101" s="263"/>
      <c r="N1101" s="263"/>
      <c r="O1101" s="275" t="s">
        <v>37</v>
      </c>
      <c r="P1101" s="486"/>
      <c r="Q1101" s="486"/>
      <c r="R1101" s="486"/>
      <c r="S1101" s="486"/>
      <c r="T1101" s="486"/>
      <c r="U1101" s="486"/>
      <c r="V1101" s="263"/>
      <c r="W1101" s="267"/>
      <c r="X1101" s="263"/>
    </row>
    <row r="1102" spans="1:53" ht="69.95" customHeight="1">
      <c r="E1102" s="264"/>
      <c r="F1102" s="265"/>
      <c r="G1102" s="263"/>
      <c r="H1102" s="275" t="s">
        <v>37</v>
      </c>
      <c r="I1102" s="486"/>
      <c r="J1102" s="486"/>
      <c r="K1102" s="486"/>
      <c r="L1102" s="486"/>
      <c r="M1102" s="263"/>
      <c r="N1102" s="263"/>
      <c r="O1102" s="275" t="s">
        <v>37</v>
      </c>
      <c r="P1102" s="486"/>
      <c r="Q1102" s="486"/>
      <c r="R1102" s="486"/>
      <c r="S1102" s="486"/>
      <c r="T1102" s="486"/>
      <c r="U1102" s="486"/>
      <c r="V1102" s="263"/>
      <c r="W1102" s="267"/>
      <c r="X1102" s="263"/>
    </row>
    <row r="1103" spans="1:53" ht="39.950000000000003" customHeight="1" thickBot="1">
      <c r="E1103" s="276"/>
      <c r="F1103" s="277"/>
      <c r="G1103" s="278"/>
      <c r="H1103" s="278"/>
      <c r="I1103" s="278"/>
      <c r="J1103" s="278"/>
      <c r="K1103" s="278"/>
      <c r="L1103" s="278"/>
      <c r="M1103" s="278"/>
      <c r="N1103" s="278"/>
      <c r="O1103" s="278"/>
      <c r="P1103" s="278"/>
      <c r="Q1103" s="278"/>
      <c r="R1103" s="278"/>
      <c r="S1103" s="278"/>
      <c r="T1103" s="279"/>
      <c r="U1103" s="279"/>
      <c r="V1103" s="279"/>
      <c r="W1103" s="280"/>
      <c r="X1103" s="263"/>
    </row>
    <row r="1104" spans="1:53" ht="62.25" thickBot="1"/>
    <row r="1105" spans="1:53" ht="39.950000000000003" customHeight="1">
      <c r="A1105" s="252" t="str">
        <f>CONCATENATE(F1112,F1114,F1116)</f>
        <v>DH2-3</v>
      </c>
      <c r="E1105" s="259" t="s">
        <v>70</v>
      </c>
      <c r="F1105" s="260">
        <f>VLOOKUP(A1105,'zoznam zapasov'!$A$6:$K$77,3,0)</f>
        <v>56</v>
      </c>
      <c r="G1105" s="261"/>
      <c r="H1105" s="322" t="s">
        <v>501</v>
      </c>
      <c r="I1105" s="261"/>
      <c r="J1105" s="261"/>
      <c r="K1105" s="261"/>
      <c r="L1105" s="261"/>
      <c r="M1105" s="261"/>
      <c r="N1105" s="261"/>
      <c r="O1105" s="261"/>
      <c r="P1105" s="261"/>
      <c r="Q1105" s="261"/>
      <c r="R1105" s="261"/>
      <c r="S1105" s="261"/>
      <c r="T1105" s="261"/>
      <c r="U1105" s="261"/>
      <c r="V1105" s="261" t="s">
        <v>30</v>
      </c>
      <c r="W1105" s="262"/>
      <c r="X1105" s="263"/>
      <c r="Z1105" s="258" t="str">
        <f>CONCATENATE(V1107,":",V1110)</f>
        <v>3:2</v>
      </c>
      <c r="AE1105" s="253" t="s">
        <v>11</v>
      </c>
      <c r="AV1105" s="256" t="str">
        <f>CONCATENATE(AN1107,",",AO1107,",",AP1107,",",AQ1107,",",AR1107,",",AS1107,",",AT1107)</f>
        <v>7,6,-5,-10,7,,</v>
      </c>
    </row>
    <row r="1106" spans="1:53" ht="39.950000000000003" customHeight="1">
      <c r="E1106" s="264"/>
      <c r="F1106" s="265"/>
      <c r="G1106" s="321" t="s">
        <v>500</v>
      </c>
      <c r="H1106" s="323" t="s">
        <v>502</v>
      </c>
      <c r="I1106" s="263"/>
      <c r="J1106" s="263"/>
      <c r="K1106" s="263"/>
      <c r="L1106" s="263"/>
      <c r="M1106" s="263"/>
      <c r="N1106" s="266">
        <v>1</v>
      </c>
      <c r="O1106" s="266">
        <v>2</v>
      </c>
      <c r="P1106" s="266">
        <v>3</v>
      </c>
      <c r="Q1106" s="266">
        <v>4</v>
      </c>
      <c r="R1106" s="266">
        <v>5</v>
      </c>
      <c r="S1106" s="266">
        <v>6</v>
      </c>
      <c r="T1106" s="266">
        <v>7</v>
      </c>
      <c r="U1106" s="263"/>
      <c r="V1106" s="266" t="s">
        <v>31</v>
      </c>
      <c r="W1106" s="267"/>
      <c r="X1106" s="263"/>
      <c r="AE1106" s="253" t="s">
        <v>68</v>
      </c>
      <c r="AV1106" s="256" t="str">
        <f>CONCATENATE(AN1108,",",AO1108,",",AP1108,",",AQ1108,",",AR1108,",",AS1108,",",AT1108)</f>
        <v>-7,-6,5,10,-7,,</v>
      </c>
    </row>
    <row r="1107" spans="1:53" ht="39.950000000000003" customHeight="1">
      <c r="A1107" s="252" t="str">
        <f>CONCATENATE(F1112,VLOOKUP(F1114,$AZ$7:$BA$14,2,0),LEFT(F1116,1))</f>
        <v>D82</v>
      </c>
      <c r="E1107" s="264" t="s">
        <v>29</v>
      </c>
      <c r="F1107" s="265">
        <f>VLOOKUP(A1105,'zoznam zapasov'!$A$6:$K$77,11,0)</f>
        <v>8</v>
      </c>
      <c r="G1107" s="508"/>
      <c r="H1107" s="495"/>
      <c r="I1107" s="487" t="str">
        <f>IF(ISERROR(VLOOKUP(A1107,vylosovanie!$A$8:$J$68,6,0))=TRUE,"",VLOOKUP(A1107,vylosovanie!$A$8:$J$68,6,0))</f>
        <v>VOJTASOVA Patrícia</v>
      </c>
      <c r="J1107" s="487"/>
      <c r="K1107" s="487"/>
      <c r="L1107" s="487"/>
      <c r="M1107" s="263"/>
      <c r="N1107" s="489">
        <v>11</v>
      </c>
      <c r="O1107" s="489">
        <v>11</v>
      </c>
      <c r="P1107" s="489">
        <v>5</v>
      </c>
      <c r="Q1107" s="489">
        <v>10</v>
      </c>
      <c r="R1107" s="489">
        <v>11</v>
      </c>
      <c r="S1107" s="489"/>
      <c r="T1107" s="489"/>
      <c r="U1107" s="263"/>
      <c r="V1107" s="493">
        <f>IF(SUM(AF1107:AL1108)=0,"",SUM(AF1107:AL1107))</f>
        <v>3</v>
      </c>
      <c r="W1107" s="267"/>
      <c r="X1107" s="263"/>
      <c r="AE1107" s="253" t="str">
        <f>VLOOKUP(I1107,vylosovanie!$F$8:$L$190,7,0)</f>
        <v>D82</v>
      </c>
      <c r="AF1107" s="268">
        <f>IF(N1107&gt;N1110,1,0)</f>
        <v>1</v>
      </c>
      <c r="AG1107" s="268">
        <f t="shared" ref="AG1107" si="760">IF(O1107&gt;O1110,1,0)</f>
        <v>1</v>
      </c>
      <c r="AH1107" s="268">
        <f t="shared" ref="AH1107" si="761">IF(P1107&gt;P1110,1,0)</f>
        <v>0</v>
      </c>
      <c r="AI1107" s="268">
        <f t="shared" ref="AI1107" si="762">IF(Q1107&gt;Q1110,1,0)</f>
        <v>0</v>
      </c>
      <c r="AJ1107" s="268">
        <f t="shared" ref="AJ1107" si="763">IF(R1107&gt;R1110,1,0)</f>
        <v>1</v>
      </c>
      <c r="AK1107" s="268">
        <f t="shared" ref="AK1107" si="764">IF(S1107&gt;S1110,1,0)</f>
        <v>0</v>
      </c>
      <c r="AL1107" s="268">
        <f t="shared" ref="AL1107" si="765">IF(T1107&gt;T1110,1,0)</f>
        <v>0</v>
      </c>
      <c r="AN1107" s="268">
        <f t="shared" ref="AN1107:AT1107" si="766">IF(ISBLANK(N1107)=TRUE,"",IF(AF1107=1,N1110,-N1107))</f>
        <v>7</v>
      </c>
      <c r="AO1107" s="268">
        <f t="shared" si="766"/>
        <v>6</v>
      </c>
      <c r="AP1107" s="268">
        <f t="shared" si="766"/>
        <v>-5</v>
      </c>
      <c r="AQ1107" s="268">
        <f t="shared" si="766"/>
        <v>-10</v>
      </c>
      <c r="AR1107" s="268">
        <f t="shared" si="766"/>
        <v>7</v>
      </c>
      <c r="AS1107" s="268" t="str">
        <f t="shared" si="766"/>
        <v/>
      </c>
      <c r="AT1107" s="268" t="str">
        <f t="shared" si="766"/>
        <v/>
      </c>
      <c r="AZ1107" s="269" t="s">
        <v>12</v>
      </c>
      <c r="BA1107" s="269">
        <v>1</v>
      </c>
    </row>
    <row r="1108" spans="1:53" ht="39.950000000000003" customHeight="1">
      <c r="E1108" s="264"/>
      <c r="F1108" s="265"/>
      <c r="G1108" s="509"/>
      <c r="H1108" s="495"/>
      <c r="I1108" s="487"/>
      <c r="J1108" s="487"/>
      <c r="K1108" s="487"/>
      <c r="L1108" s="487"/>
      <c r="M1108" s="263"/>
      <c r="N1108" s="490"/>
      <c r="O1108" s="490"/>
      <c r="P1108" s="490"/>
      <c r="Q1108" s="490"/>
      <c r="R1108" s="490"/>
      <c r="S1108" s="490"/>
      <c r="T1108" s="490"/>
      <c r="U1108" s="263"/>
      <c r="V1108" s="493"/>
      <c r="W1108" s="267"/>
      <c r="X1108" s="263"/>
      <c r="AE1108" s="253" t="str">
        <f>VLOOKUP(I1110,vylosovanie!$F$8:$L$190,7,0)</f>
        <v>D83</v>
      </c>
      <c r="AF1108" s="268">
        <f>IF(N1110&gt;N1107,1,0)</f>
        <v>0</v>
      </c>
      <c r="AG1108" s="268">
        <f t="shared" ref="AG1108" si="767">IF(O1110&gt;O1107,1,0)</f>
        <v>0</v>
      </c>
      <c r="AH1108" s="268">
        <f t="shared" ref="AH1108" si="768">IF(P1110&gt;P1107,1,0)</f>
        <v>1</v>
      </c>
      <c r="AI1108" s="268">
        <f t="shared" ref="AI1108" si="769">IF(Q1110&gt;Q1107,1,0)</f>
        <v>1</v>
      </c>
      <c r="AJ1108" s="268">
        <f t="shared" ref="AJ1108" si="770">IF(R1110&gt;R1107,1,0)</f>
        <v>0</v>
      </c>
      <c r="AK1108" s="268">
        <f t="shared" ref="AK1108" si="771">IF(S1110&gt;S1107,1,0)</f>
        <v>0</v>
      </c>
      <c r="AL1108" s="268">
        <f t="shared" ref="AL1108" si="772">IF(T1110&gt;T1107,1,0)</f>
        <v>0</v>
      </c>
      <c r="AN1108" s="268">
        <f t="shared" ref="AN1108:AT1108" si="773">IF(ISBLANK(N1110)=TRUE,"",IF(AF1108=1,N1107,-N1110))</f>
        <v>-7</v>
      </c>
      <c r="AO1108" s="268">
        <f t="shared" si="773"/>
        <v>-6</v>
      </c>
      <c r="AP1108" s="268">
        <f t="shared" si="773"/>
        <v>5</v>
      </c>
      <c r="AQ1108" s="268">
        <f t="shared" si="773"/>
        <v>10</v>
      </c>
      <c r="AR1108" s="268">
        <f t="shared" si="773"/>
        <v>-7</v>
      </c>
      <c r="AS1108" s="268" t="str">
        <f t="shared" si="773"/>
        <v/>
      </c>
      <c r="AT1108" s="268" t="str">
        <f t="shared" si="773"/>
        <v/>
      </c>
      <c r="AZ1108" s="269" t="s">
        <v>18</v>
      </c>
      <c r="BA1108" s="269">
        <v>2</v>
      </c>
    </row>
    <row r="1109" spans="1:53" ht="39.950000000000003" customHeight="1">
      <c r="E1109" s="264" t="s">
        <v>35</v>
      </c>
      <c r="F1109" s="265" t="str">
        <f>VLOOKUP(A1105,'zoznam zapasov'!$A$6:$K$77,9,0)</f>
        <v>So</v>
      </c>
      <c r="G1109" s="263"/>
      <c r="H1109" s="263"/>
      <c r="I1109" s="263"/>
      <c r="J1109" s="263"/>
      <c r="K1109" s="263"/>
      <c r="L1109" s="263"/>
      <c r="M1109" s="263"/>
      <c r="N1109" s="263"/>
      <c r="O1109" s="263"/>
      <c r="P1109" s="263"/>
      <c r="Q1109" s="263"/>
      <c r="R1109" s="263"/>
      <c r="S1109" s="263"/>
      <c r="T1109" s="263"/>
      <c r="U1109" s="263"/>
      <c r="V1109" s="263"/>
      <c r="W1109" s="267"/>
      <c r="X1109" s="263"/>
      <c r="AZ1109" s="269" t="s">
        <v>38</v>
      </c>
      <c r="BA1109" s="269">
        <v>3</v>
      </c>
    </row>
    <row r="1110" spans="1:53" ht="39.950000000000003" customHeight="1">
      <c r="A1110" s="252" t="str">
        <f>CONCATENATE(F1112,VLOOKUP(F1114,$AZ$7:$BA$14,2,0),RIGHT(F1116,1))</f>
        <v>D83</v>
      </c>
      <c r="E1110" s="264" t="s">
        <v>28</v>
      </c>
      <c r="F1110" s="270" t="str">
        <f>VLOOKUP(A1105,'zoznam zapasov'!$A$6:$K$77,10,0)</f>
        <v>12.00</v>
      </c>
      <c r="G1110" s="508"/>
      <c r="H1110" s="486"/>
      <c r="I1110" s="487" t="str">
        <f>IF(ISERROR(VLOOKUP(A1110,vylosovanie!$A$8:$J$68,6,0))=TRUE,"",VLOOKUP(A1110,vylosovanie!$A$8:$J$68,6,0))</f>
        <v>PISARČIKOVÁ Frederika</v>
      </c>
      <c r="J1110" s="487"/>
      <c r="K1110" s="487"/>
      <c r="L1110" s="487"/>
      <c r="M1110" s="263"/>
      <c r="N1110" s="489">
        <v>7</v>
      </c>
      <c r="O1110" s="489">
        <v>6</v>
      </c>
      <c r="P1110" s="489">
        <v>11</v>
      </c>
      <c r="Q1110" s="489">
        <v>12</v>
      </c>
      <c r="R1110" s="489">
        <v>7</v>
      </c>
      <c r="S1110" s="489"/>
      <c r="T1110" s="489"/>
      <c r="U1110" s="263"/>
      <c r="V1110" s="493">
        <f>IF(SUM(AF1107:AL1108)=0,"",SUM(AF1108:AL1108))</f>
        <v>2</v>
      </c>
      <c r="W1110" s="267"/>
      <c r="X1110" s="263"/>
      <c r="AZ1110" s="269" t="s">
        <v>39</v>
      </c>
      <c r="BA1110" s="269">
        <v>4</v>
      </c>
    </row>
    <row r="1111" spans="1:53" ht="39.950000000000003" customHeight="1">
      <c r="E1111" s="271"/>
      <c r="F1111" s="272"/>
      <c r="G1111" s="509"/>
      <c r="H1111" s="486"/>
      <c r="I1111" s="487"/>
      <c r="J1111" s="487"/>
      <c r="K1111" s="487"/>
      <c r="L1111" s="487"/>
      <c r="M1111" s="263"/>
      <c r="N1111" s="490"/>
      <c r="O1111" s="490"/>
      <c r="P1111" s="490"/>
      <c r="Q1111" s="490"/>
      <c r="R1111" s="490"/>
      <c r="S1111" s="490"/>
      <c r="T1111" s="490"/>
      <c r="U1111" s="263"/>
      <c r="V1111" s="493"/>
      <c r="W1111" s="267"/>
      <c r="X1111" s="263"/>
      <c r="AZ1111" s="269" t="s">
        <v>40</v>
      </c>
      <c r="BA1111" s="269">
        <v>5</v>
      </c>
    </row>
    <row r="1112" spans="1:53" ht="39.950000000000003" customHeight="1">
      <c r="E1112" s="264" t="s">
        <v>66</v>
      </c>
      <c r="F1112" s="265" t="s">
        <v>39</v>
      </c>
      <c r="G1112" s="263"/>
      <c r="H1112" s="263"/>
      <c r="I1112" s="263"/>
      <c r="J1112" s="263"/>
      <c r="K1112" s="263"/>
      <c r="L1112" s="263"/>
      <c r="M1112" s="263"/>
      <c r="N1112" s="263"/>
      <c r="O1112" s="263"/>
      <c r="P1112" s="263"/>
      <c r="Q1112" s="263"/>
      <c r="R1112" s="263"/>
      <c r="S1112" s="263"/>
      <c r="T1112" s="263"/>
      <c r="U1112" s="263"/>
      <c r="V1112" s="263"/>
      <c r="W1112" s="267"/>
      <c r="X1112" s="263"/>
      <c r="AZ1112" s="269" t="s">
        <v>41</v>
      </c>
      <c r="BA1112" s="269">
        <v>6</v>
      </c>
    </row>
    <row r="1113" spans="1:53" ht="39.950000000000003" customHeight="1">
      <c r="E1113" s="271"/>
      <c r="F1113" s="272"/>
      <c r="G1113" s="263"/>
      <c r="H1113" s="263"/>
      <c r="I1113" s="263" t="s">
        <v>32</v>
      </c>
      <c r="J1113" s="263"/>
      <c r="K1113" s="263"/>
      <c r="L1113" s="263"/>
      <c r="M1113" s="263"/>
      <c r="N1113" s="273"/>
      <c r="O1113" s="266"/>
      <c r="P1113" s="266" t="s">
        <v>34</v>
      </c>
      <c r="Q1113" s="266"/>
      <c r="R1113" s="266"/>
      <c r="S1113" s="266"/>
      <c r="T1113" s="266"/>
      <c r="U1113" s="263"/>
      <c r="V1113" s="263"/>
      <c r="W1113" s="267"/>
      <c r="X1113" s="263"/>
      <c r="AZ1113" s="269" t="s">
        <v>42</v>
      </c>
      <c r="BA1113" s="269">
        <v>7</v>
      </c>
    </row>
    <row r="1114" spans="1:53" ht="39.950000000000003" customHeight="1">
      <c r="E1114" s="264" t="s">
        <v>26</v>
      </c>
      <c r="F1114" s="265" t="s">
        <v>43</v>
      </c>
      <c r="G1114" s="263"/>
      <c r="H1114" s="263"/>
      <c r="I1114" s="486"/>
      <c r="J1114" s="486"/>
      <c r="K1114" s="486"/>
      <c r="L1114" s="486"/>
      <c r="M1114" s="263"/>
      <c r="N1114" s="486" t="str">
        <f>IF(V1107&gt;V1110,I1107,IF(V1110&gt;V1107,I1110,""))</f>
        <v>VOJTASOVA Patrícia</v>
      </c>
      <c r="O1114" s="486"/>
      <c r="P1114" s="486"/>
      <c r="Q1114" s="486"/>
      <c r="R1114" s="486"/>
      <c r="S1114" s="486"/>
      <c r="T1114" s="263"/>
      <c r="U1114" s="263"/>
      <c r="V1114" s="263"/>
      <c r="W1114" s="267"/>
      <c r="X1114" s="263"/>
      <c r="AZ1114" s="269" t="s">
        <v>43</v>
      </c>
      <c r="BA1114" s="269">
        <v>8</v>
      </c>
    </row>
    <row r="1115" spans="1:53" ht="39.950000000000003" customHeight="1">
      <c r="E1115" s="271"/>
      <c r="F1115" s="272"/>
      <c r="G1115" s="263"/>
      <c r="H1115" s="263"/>
      <c r="I1115" s="486"/>
      <c r="J1115" s="486"/>
      <c r="K1115" s="486"/>
      <c r="L1115" s="486"/>
      <c r="M1115" s="263"/>
      <c r="N1115" s="486"/>
      <c r="O1115" s="486"/>
      <c r="P1115" s="486"/>
      <c r="Q1115" s="486"/>
      <c r="R1115" s="486"/>
      <c r="S1115" s="486"/>
      <c r="T1115" s="263"/>
      <c r="U1115" s="263"/>
      <c r="V1115" s="263"/>
      <c r="W1115" s="267"/>
      <c r="X1115" s="263"/>
    </row>
    <row r="1116" spans="1:53" ht="39.950000000000003" customHeight="1">
      <c r="E1116" s="264" t="s">
        <v>27</v>
      </c>
      <c r="F1116" s="274" t="s">
        <v>25</v>
      </c>
      <c r="G1116" s="263"/>
      <c r="H1116" s="263"/>
      <c r="I1116" s="263"/>
      <c r="J1116" s="263"/>
      <c r="K1116" s="263"/>
      <c r="L1116" s="263"/>
      <c r="M1116" s="263"/>
      <c r="N1116" s="263"/>
      <c r="O1116" s="263"/>
      <c r="P1116" s="263"/>
      <c r="Q1116" s="263"/>
      <c r="R1116" s="263"/>
      <c r="S1116" s="263"/>
      <c r="T1116" s="263"/>
      <c r="U1116" s="263"/>
      <c r="V1116" s="263"/>
      <c r="W1116" s="267"/>
      <c r="X1116" s="263"/>
    </row>
    <row r="1117" spans="1:53" ht="39.950000000000003" customHeight="1">
      <c r="E1117" s="271"/>
      <c r="F1117" s="272"/>
      <c r="G1117" s="263"/>
      <c r="H1117" s="263" t="s">
        <v>33</v>
      </c>
      <c r="I1117" s="263"/>
      <c r="J1117" s="263"/>
      <c r="K1117" s="263"/>
      <c r="L1117" s="263"/>
      <c r="M1117" s="263"/>
      <c r="N1117" s="263"/>
      <c r="O1117" s="263"/>
      <c r="P1117" s="263"/>
      <c r="Q1117" s="263"/>
      <c r="R1117" s="263"/>
      <c r="S1117" s="263"/>
      <c r="T1117" s="263"/>
      <c r="U1117" s="263"/>
      <c r="V1117" s="263"/>
      <c r="W1117" s="267"/>
      <c r="X1117" s="263"/>
    </row>
    <row r="1118" spans="1:53" ht="39.950000000000003" customHeight="1">
      <c r="E1118" s="271"/>
      <c r="F1118" s="272"/>
      <c r="G1118" s="263"/>
      <c r="H1118" s="263"/>
      <c r="I1118" s="263"/>
      <c r="J1118" s="263"/>
      <c r="K1118" s="263"/>
      <c r="L1118" s="263"/>
      <c r="M1118" s="263"/>
      <c r="N1118" s="263"/>
      <c r="O1118" s="263"/>
      <c r="P1118" s="263"/>
      <c r="Q1118" s="263"/>
      <c r="R1118" s="263"/>
      <c r="S1118" s="263"/>
      <c r="T1118" s="263"/>
      <c r="U1118" s="263"/>
      <c r="V1118" s="263"/>
      <c r="W1118" s="267"/>
      <c r="X1118" s="263"/>
    </row>
    <row r="1119" spans="1:53" ht="39.950000000000003" customHeight="1">
      <c r="E1119" s="271"/>
      <c r="F1119" s="272"/>
      <c r="G1119" s="263"/>
      <c r="H1119" s="263"/>
      <c r="I1119" s="496" t="str">
        <f>I1107</f>
        <v>VOJTASOVA Patrícia</v>
      </c>
      <c r="J1119" s="496"/>
      <c r="K1119" s="496"/>
      <c r="L1119" s="496"/>
      <c r="M1119" s="263"/>
      <c r="N1119" s="263"/>
      <c r="O1119" s="263"/>
      <c r="P1119" s="496" t="str">
        <f>I1110</f>
        <v>PISARČIKOVÁ Frederika</v>
      </c>
      <c r="Q1119" s="496"/>
      <c r="R1119" s="496"/>
      <c r="S1119" s="496"/>
      <c r="T1119" s="497"/>
      <c r="U1119" s="497"/>
      <c r="V1119" s="263"/>
      <c r="W1119" s="267"/>
      <c r="X1119" s="263"/>
    </row>
    <row r="1120" spans="1:53" ht="69.95" customHeight="1">
      <c r="E1120" s="264"/>
      <c r="F1120" s="265"/>
      <c r="G1120" s="263"/>
      <c r="H1120" s="275" t="s">
        <v>36</v>
      </c>
      <c r="I1120" s="483"/>
      <c r="J1120" s="494"/>
      <c r="K1120" s="494"/>
      <c r="L1120" s="495"/>
      <c r="M1120" s="263"/>
      <c r="N1120" s="263"/>
      <c r="O1120" s="275" t="s">
        <v>36</v>
      </c>
      <c r="P1120" s="486"/>
      <c r="Q1120" s="486"/>
      <c r="R1120" s="486"/>
      <c r="S1120" s="486"/>
      <c r="T1120" s="486"/>
      <c r="U1120" s="486"/>
      <c r="V1120" s="263"/>
      <c r="W1120" s="267"/>
      <c r="X1120" s="263"/>
    </row>
    <row r="1121" spans="1:53" ht="69.95" customHeight="1">
      <c r="E1121" s="264"/>
      <c r="F1121" s="265"/>
      <c r="G1121" s="263"/>
      <c r="H1121" s="275" t="s">
        <v>37</v>
      </c>
      <c r="I1121" s="486"/>
      <c r="J1121" s="486"/>
      <c r="K1121" s="486"/>
      <c r="L1121" s="486"/>
      <c r="M1121" s="263"/>
      <c r="N1121" s="263"/>
      <c r="O1121" s="275" t="s">
        <v>37</v>
      </c>
      <c r="P1121" s="486"/>
      <c r="Q1121" s="486"/>
      <c r="R1121" s="486"/>
      <c r="S1121" s="486"/>
      <c r="T1121" s="486"/>
      <c r="U1121" s="486"/>
      <c r="V1121" s="263"/>
      <c r="W1121" s="267"/>
      <c r="X1121" s="263"/>
    </row>
    <row r="1122" spans="1:53" ht="69.95" customHeight="1">
      <c r="E1122" s="264"/>
      <c r="F1122" s="265"/>
      <c r="G1122" s="263"/>
      <c r="H1122" s="275" t="s">
        <v>37</v>
      </c>
      <c r="I1122" s="486"/>
      <c r="J1122" s="486"/>
      <c r="K1122" s="486"/>
      <c r="L1122" s="486"/>
      <c r="M1122" s="263"/>
      <c r="N1122" s="263"/>
      <c r="O1122" s="275" t="s">
        <v>37</v>
      </c>
      <c r="P1122" s="486"/>
      <c r="Q1122" s="486"/>
      <c r="R1122" s="486"/>
      <c r="S1122" s="486"/>
      <c r="T1122" s="486"/>
      <c r="U1122" s="486"/>
      <c r="V1122" s="263"/>
      <c r="W1122" s="267"/>
      <c r="X1122" s="263"/>
    </row>
    <row r="1123" spans="1:53" ht="39.950000000000003" customHeight="1" thickBot="1">
      <c r="E1123" s="276"/>
      <c r="F1123" s="277"/>
      <c r="G1123" s="278"/>
      <c r="H1123" s="278"/>
      <c r="I1123" s="278"/>
      <c r="J1123" s="278"/>
      <c r="K1123" s="278"/>
      <c r="L1123" s="278"/>
      <c r="M1123" s="278"/>
      <c r="N1123" s="278"/>
      <c r="O1123" s="278"/>
      <c r="P1123" s="278"/>
      <c r="Q1123" s="278"/>
      <c r="R1123" s="278"/>
      <c r="S1123" s="278"/>
      <c r="T1123" s="279"/>
      <c r="U1123" s="279"/>
      <c r="V1123" s="279"/>
      <c r="W1123" s="280"/>
      <c r="X1123" s="263"/>
    </row>
    <row r="1124" spans="1:53" ht="62.25" thickBot="1"/>
    <row r="1125" spans="1:53" ht="39.950000000000003" customHeight="1">
      <c r="A1125" s="252" t="str">
        <f>CONCATENATE(F1132,F1134,F1136)</f>
        <v>CHA1-4</v>
      </c>
      <c r="E1125" s="259" t="s">
        <v>70</v>
      </c>
      <c r="F1125" s="260">
        <f>VLOOKUP(A1125,'zoznam zapasov'!$A$6:$K$77,3,0)</f>
        <v>57</v>
      </c>
      <c r="G1125" s="261"/>
      <c r="H1125" s="322" t="s">
        <v>501</v>
      </c>
      <c r="I1125" s="261"/>
      <c r="J1125" s="261"/>
      <c r="K1125" s="261"/>
      <c r="L1125" s="261"/>
      <c r="M1125" s="261"/>
      <c r="N1125" s="261"/>
      <c r="O1125" s="261"/>
      <c r="P1125" s="261"/>
      <c r="Q1125" s="261"/>
      <c r="R1125" s="261"/>
      <c r="S1125" s="261"/>
      <c r="T1125" s="261"/>
      <c r="U1125" s="261"/>
      <c r="V1125" s="261" t="s">
        <v>30</v>
      </c>
      <c r="W1125" s="262"/>
      <c r="X1125" s="263"/>
      <c r="Z1125" s="258" t="str">
        <f>CONCATENATE(V1127,":",V1130)</f>
        <v>3:0</v>
      </c>
      <c r="AE1125" s="253" t="s">
        <v>11</v>
      </c>
      <c r="AV1125" s="256" t="str">
        <f>CONCATENATE(AN1127,",",AO1127,",",AP1127,",",AQ1127,",",AR1127,",",AS1127,",",AT1127)</f>
        <v>1,1,3,,,,</v>
      </c>
    </row>
    <row r="1126" spans="1:53" ht="39.950000000000003" customHeight="1">
      <c r="E1126" s="264"/>
      <c r="F1126" s="265"/>
      <c r="G1126" s="321" t="s">
        <v>500</v>
      </c>
      <c r="H1126" s="323" t="s">
        <v>502</v>
      </c>
      <c r="I1126" s="263"/>
      <c r="J1126" s="263"/>
      <c r="K1126" s="263"/>
      <c r="L1126" s="263"/>
      <c r="M1126" s="263"/>
      <c r="N1126" s="266">
        <v>1</v>
      </c>
      <c r="O1126" s="266">
        <v>2</v>
      </c>
      <c r="P1126" s="266">
        <v>3</v>
      </c>
      <c r="Q1126" s="266">
        <v>4</v>
      </c>
      <c r="R1126" s="266">
        <v>5</v>
      </c>
      <c r="S1126" s="266">
        <v>6</v>
      </c>
      <c r="T1126" s="266">
        <v>7</v>
      </c>
      <c r="U1126" s="263"/>
      <c r="V1126" s="266" t="s">
        <v>31</v>
      </c>
      <c r="W1126" s="267"/>
      <c r="X1126" s="263"/>
      <c r="AE1126" s="253" t="s">
        <v>68</v>
      </c>
      <c r="AV1126" s="256" t="str">
        <f>CONCATENATE(AN1128,",",AO1128,",",AP1128,",",AQ1128,",",AR1128,",",AS1128,",",AT1128)</f>
        <v>-1,-1,-3,,,,</v>
      </c>
    </row>
    <row r="1127" spans="1:53" ht="39.950000000000003" customHeight="1">
      <c r="A1127" s="252" t="str">
        <f>CONCATENATE(F1132,VLOOKUP(F1134,$AZ$7:$BA$14,2,0),LEFT(F1136,1))</f>
        <v>CH11</v>
      </c>
      <c r="E1127" s="264" t="s">
        <v>29</v>
      </c>
      <c r="F1127" s="265">
        <f>VLOOKUP(A1125,'zoznam zapasov'!$A$6:$K$77,11,0)</f>
        <v>1</v>
      </c>
      <c r="G1127" s="508"/>
      <c r="H1127" s="495"/>
      <c r="I1127" s="487" t="str">
        <f>IF(ISERROR(VLOOKUP(A1127,vylosovanie!$A$8:$J$68,6,0))=TRUE,"",VLOOKUP(A1127,vylosovanie!$A$8:$J$68,6,0))</f>
        <v>DIKO Dalibor</v>
      </c>
      <c r="J1127" s="487"/>
      <c r="K1127" s="487"/>
      <c r="L1127" s="487"/>
      <c r="M1127" s="263"/>
      <c r="N1127" s="489">
        <v>11</v>
      </c>
      <c r="O1127" s="489">
        <v>11</v>
      </c>
      <c r="P1127" s="489">
        <v>11</v>
      </c>
      <c r="Q1127" s="489"/>
      <c r="R1127" s="489"/>
      <c r="S1127" s="489"/>
      <c r="T1127" s="489"/>
      <c r="U1127" s="263"/>
      <c r="V1127" s="493">
        <f>IF(SUM(AF1127:AL1128)=0,"",SUM(AF1127:AL1127))</f>
        <v>3</v>
      </c>
      <c r="W1127" s="267"/>
      <c r="X1127" s="263"/>
      <c r="AE1127" s="253" t="str">
        <f>VLOOKUP(I1127,vylosovanie!$F$8:$L$190,7,0)</f>
        <v>CH11</v>
      </c>
      <c r="AF1127" s="268">
        <f>IF(N1127&gt;N1130,1,0)</f>
        <v>1</v>
      </c>
      <c r="AG1127" s="268">
        <f t="shared" ref="AG1127" si="774">IF(O1127&gt;O1130,1,0)</f>
        <v>1</v>
      </c>
      <c r="AH1127" s="268">
        <f t="shared" ref="AH1127" si="775">IF(P1127&gt;P1130,1,0)</f>
        <v>1</v>
      </c>
      <c r="AI1127" s="268">
        <f t="shared" ref="AI1127" si="776">IF(Q1127&gt;Q1130,1,0)</f>
        <v>0</v>
      </c>
      <c r="AJ1127" s="268">
        <f t="shared" ref="AJ1127" si="777">IF(R1127&gt;R1130,1,0)</f>
        <v>0</v>
      </c>
      <c r="AK1127" s="268">
        <f t="shared" ref="AK1127" si="778">IF(S1127&gt;S1130,1,0)</f>
        <v>0</v>
      </c>
      <c r="AL1127" s="268">
        <f t="shared" ref="AL1127" si="779">IF(T1127&gt;T1130,1,0)</f>
        <v>0</v>
      </c>
      <c r="AN1127" s="268">
        <f t="shared" ref="AN1127:AT1127" si="780">IF(ISBLANK(N1127)=TRUE,"",IF(AF1127=1,N1130,-N1127))</f>
        <v>1</v>
      </c>
      <c r="AO1127" s="268">
        <f t="shared" si="780"/>
        <v>1</v>
      </c>
      <c r="AP1127" s="268">
        <f t="shared" si="780"/>
        <v>3</v>
      </c>
      <c r="AQ1127" s="268" t="str">
        <f t="shared" si="780"/>
        <v/>
      </c>
      <c r="AR1127" s="268" t="str">
        <f t="shared" si="780"/>
        <v/>
      </c>
      <c r="AS1127" s="268" t="str">
        <f t="shared" si="780"/>
        <v/>
      </c>
      <c r="AT1127" s="268" t="str">
        <f t="shared" si="780"/>
        <v/>
      </c>
      <c r="AZ1127" s="269" t="s">
        <v>12</v>
      </c>
      <c r="BA1127" s="269">
        <v>1</v>
      </c>
    </row>
    <row r="1128" spans="1:53" ht="39.950000000000003" customHeight="1">
      <c r="E1128" s="264"/>
      <c r="F1128" s="265"/>
      <c r="G1128" s="509"/>
      <c r="H1128" s="495"/>
      <c r="I1128" s="487"/>
      <c r="J1128" s="487"/>
      <c r="K1128" s="487"/>
      <c r="L1128" s="487"/>
      <c r="M1128" s="263"/>
      <c r="N1128" s="490"/>
      <c r="O1128" s="490"/>
      <c r="P1128" s="490"/>
      <c r="Q1128" s="490"/>
      <c r="R1128" s="490"/>
      <c r="S1128" s="490"/>
      <c r="T1128" s="490"/>
      <c r="U1128" s="263"/>
      <c r="V1128" s="493"/>
      <c r="W1128" s="267"/>
      <c r="X1128" s="263"/>
      <c r="AE1128" s="253" t="str">
        <f>VLOOKUP(I1130,vylosovanie!$F$8:$L$190,7,0)</f>
        <v>CH14</v>
      </c>
      <c r="AF1128" s="268">
        <f>IF(N1130&gt;N1127,1,0)</f>
        <v>0</v>
      </c>
      <c r="AG1128" s="268">
        <f t="shared" ref="AG1128" si="781">IF(O1130&gt;O1127,1,0)</f>
        <v>0</v>
      </c>
      <c r="AH1128" s="268">
        <f t="shared" ref="AH1128" si="782">IF(P1130&gt;P1127,1,0)</f>
        <v>0</v>
      </c>
      <c r="AI1128" s="268">
        <f t="shared" ref="AI1128" si="783">IF(Q1130&gt;Q1127,1,0)</f>
        <v>0</v>
      </c>
      <c r="AJ1128" s="268">
        <f t="shared" ref="AJ1128" si="784">IF(R1130&gt;R1127,1,0)</f>
        <v>0</v>
      </c>
      <c r="AK1128" s="268">
        <f t="shared" ref="AK1128" si="785">IF(S1130&gt;S1127,1,0)</f>
        <v>0</v>
      </c>
      <c r="AL1128" s="268">
        <f t="shared" ref="AL1128" si="786">IF(T1130&gt;T1127,1,0)</f>
        <v>0</v>
      </c>
      <c r="AN1128" s="268">
        <f t="shared" ref="AN1128:AT1128" si="787">IF(ISBLANK(N1130)=TRUE,"",IF(AF1128=1,N1127,-N1130))</f>
        <v>-1</v>
      </c>
      <c r="AO1128" s="268">
        <f t="shared" si="787"/>
        <v>-1</v>
      </c>
      <c r="AP1128" s="268">
        <f t="shared" si="787"/>
        <v>-3</v>
      </c>
      <c r="AQ1128" s="268" t="str">
        <f t="shared" si="787"/>
        <v/>
      </c>
      <c r="AR1128" s="268" t="str">
        <f t="shared" si="787"/>
        <v/>
      </c>
      <c r="AS1128" s="268" t="str">
        <f t="shared" si="787"/>
        <v/>
      </c>
      <c r="AT1128" s="268" t="str">
        <f t="shared" si="787"/>
        <v/>
      </c>
      <c r="AZ1128" s="269" t="s">
        <v>18</v>
      </c>
      <c r="BA1128" s="269">
        <v>2</v>
      </c>
    </row>
    <row r="1129" spans="1:53" ht="39.950000000000003" customHeight="1">
      <c r="E1129" s="264" t="s">
        <v>35</v>
      </c>
      <c r="F1129" s="265" t="str">
        <f>VLOOKUP(A1125,'zoznam zapasov'!$A$6:$K$77,9,0)</f>
        <v>So</v>
      </c>
      <c r="G1129" s="263"/>
      <c r="H1129" s="263"/>
      <c r="I1129" s="263"/>
      <c r="J1129" s="263"/>
      <c r="K1129" s="263"/>
      <c r="L1129" s="263"/>
      <c r="M1129" s="263"/>
      <c r="N1129" s="263"/>
      <c r="O1129" s="263"/>
      <c r="P1129" s="263"/>
      <c r="Q1129" s="263"/>
      <c r="R1129" s="263"/>
      <c r="S1129" s="263"/>
      <c r="T1129" s="263"/>
      <c r="U1129" s="263"/>
      <c r="V1129" s="263"/>
      <c r="W1129" s="267"/>
      <c r="X1129" s="263"/>
      <c r="AZ1129" s="269" t="s">
        <v>38</v>
      </c>
      <c r="BA1129" s="269">
        <v>3</v>
      </c>
    </row>
    <row r="1130" spans="1:53" ht="39.950000000000003" customHeight="1">
      <c r="A1130" s="252" t="str">
        <f>CONCATENATE(F1132,VLOOKUP(F1134,$AZ$7:$BA$14,2,0),RIGHT(F1136,1))</f>
        <v>CH14</v>
      </c>
      <c r="E1130" s="264" t="s">
        <v>28</v>
      </c>
      <c r="F1130" s="270" t="str">
        <f>VLOOKUP(A1125,'zoznam zapasov'!$A$6:$K$77,10,0)</f>
        <v>12.25</v>
      </c>
      <c r="G1130" s="508"/>
      <c r="H1130" s="486"/>
      <c r="I1130" s="487" t="str">
        <f>IF(ISERROR(VLOOKUP(A1130,vylosovanie!$A$8:$J$68,6,0))=TRUE,"",VLOOKUP(A1130,vylosovanie!$A$8:$J$68,6,0))</f>
        <v>MARUNIAK Martin</v>
      </c>
      <c r="J1130" s="487"/>
      <c r="K1130" s="487"/>
      <c r="L1130" s="487"/>
      <c r="M1130" s="263"/>
      <c r="N1130" s="489">
        <v>1</v>
      </c>
      <c r="O1130" s="489">
        <v>1</v>
      </c>
      <c r="P1130" s="489">
        <v>3</v>
      </c>
      <c r="Q1130" s="489"/>
      <c r="R1130" s="489"/>
      <c r="S1130" s="489"/>
      <c r="T1130" s="489"/>
      <c r="U1130" s="263"/>
      <c r="V1130" s="493">
        <f>IF(SUM(AF1127:AL1128)=0,"",SUM(AF1128:AL1128))</f>
        <v>0</v>
      </c>
      <c r="W1130" s="267"/>
      <c r="X1130" s="263"/>
      <c r="AZ1130" s="269" t="s">
        <v>39</v>
      </c>
      <c r="BA1130" s="269">
        <v>4</v>
      </c>
    </row>
    <row r="1131" spans="1:53" ht="39.950000000000003" customHeight="1">
      <c r="E1131" s="271"/>
      <c r="F1131" s="272"/>
      <c r="G1131" s="509"/>
      <c r="H1131" s="486"/>
      <c r="I1131" s="487"/>
      <c r="J1131" s="487"/>
      <c r="K1131" s="487"/>
      <c r="L1131" s="487"/>
      <c r="M1131" s="263"/>
      <c r="N1131" s="490"/>
      <c r="O1131" s="490"/>
      <c r="P1131" s="490"/>
      <c r="Q1131" s="490"/>
      <c r="R1131" s="490"/>
      <c r="S1131" s="490"/>
      <c r="T1131" s="490"/>
      <c r="U1131" s="263"/>
      <c r="V1131" s="493"/>
      <c r="W1131" s="267"/>
      <c r="X1131" s="263"/>
      <c r="AZ1131" s="269" t="s">
        <v>40</v>
      </c>
      <c r="BA1131" s="269">
        <v>5</v>
      </c>
    </row>
    <row r="1132" spans="1:53" ht="39.950000000000003" customHeight="1">
      <c r="E1132" s="264" t="s">
        <v>66</v>
      </c>
      <c r="F1132" s="265" t="s">
        <v>65</v>
      </c>
      <c r="G1132" s="263"/>
      <c r="H1132" s="263"/>
      <c r="I1132" s="263"/>
      <c r="J1132" s="263"/>
      <c r="K1132" s="263"/>
      <c r="L1132" s="263"/>
      <c r="M1132" s="263"/>
      <c r="N1132" s="263"/>
      <c r="O1132" s="263"/>
      <c r="P1132" s="263"/>
      <c r="Q1132" s="263"/>
      <c r="R1132" s="263"/>
      <c r="S1132" s="263"/>
      <c r="T1132" s="263"/>
      <c r="U1132" s="263"/>
      <c r="V1132" s="263"/>
      <c r="W1132" s="267"/>
      <c r="X1132" s="263"/>
      <c r="AZ1132" s="269" t="s">
        <v>41</v>
      </c>
      <c r="BA1132" s="269">
        <v>6</v>
      </c>
    </row>
    <row r="1133" spans="1:53" ht="39.950000000000003" customHeight="1">
      <c r="E1133" s="271"/>
      <c r="F1133" s="272"/>
      <c r="G1133" s="263"/>
      <c r="H1133" s="263"/>
      <c r="I1133" s="263" t="s">
        <v>32</v>
      </c>
      <c r="J1133" s="263"/>
      <c r="K1133" s="263"/>
      <c r="L1133" s="263"/>
      <c r="M1133" s="263"/>
      <c r="N1133" s="273"/>
      <c r="O1133" s="266"/>
      <c r="P1133" s="266" t="s">
        <v>34</v>
      </c>
      <c r="Q1133" s="266"/>
      <c r="R1133" s="266"/>
      <c r="S1133" s="266"/>
      <c r="T1133" s="266"/>
      <c r="U1133" s="263"/>
      <c r="V1133" s="263"/>
      <c r="W1133" s="267"/>
      <c r="X1133" s="263"/>
      <c r="AZ1133" s="269" t="s">
        <v>42</v>
      </c>
      <c r="BA1133" s="269">
        <v>7</v>
      </c>
    </row>
    <row r="1134" spans="1:53" ht="39.950000000000003" customHeight="1">
      <c r="E1134" s="264" t="s">
        <v>26</v>
      </c>
      <c r="F1134" s="265" t="s">
        <v>12</v>
      </c>
      <c r="G1134" s="263"/>
      <c r="H1134" s="263"/>
      <c r="I1134" s="486"/>
      <c r="J1134" s="486"/>
      <c r="K1134" s="486"/>
      <c r="L1134" s="486"/>
      <c r="M1134" s="263"/>
      <c r="N1134" s="486" t="str">
        <f>IF(V1127&gt;V1130,I1127,IF(V1130&gt;V1127,I1130,""))</f>
        <v>DIKO Dalibor</v>
      </c>
      <c r="O1134" s="486"/>
      <c r="P1134" s="486"/>
      <c r="Q1134" s="486"/>
      <c r="R1134" s="486"/>
      <c r="S1134" s="486"/>
      <c r="T1134" s="263"/>
      <c r="U1134" s="263"/>
      <c r="V1134" s="263"/>
      <c r="W1134" s="267"/>
      <c r="X1134" s="263"/>
      <c r="AZ1134" s="269" t="s">
        <v>43</v>
      </c>
      <c r="BA1134" s="269">
        <v>8</v>
      </c>
    </row>
    <row r="1135" spans="1:53" ht="39.950000000000003" customHeight="1">
      <c r="E1135" s="271"/>
      <c r="F1135" s="272"/>
      <c r="G1135" s="263"/>
      <c r="H1135" s="263"/>
      <c r="I1135" s="486"/>
      <c r="J1135" s="486"/>
      <c r="K1135" s="486"/>
      <c r="L1135" s="486"/>
      <c r="M1135" s="263"/>
      <c r="N1135" s="486"/>
      <c r="O1135" s="486"/>
      <c r="P1135" s="486"/>
      <c r="Q1135" s="486"/>
      <c r="R1135" s="486"/>
      <c r="S1135" s="486"/>
      <c r="T1135" s="263"/>
      <c r="U1135" s="263"/>
      <c r="V1135" s="263"/>
      <c r="W1135" s="267"/>
      <c r="X1135" s="263"/>
    </row>
    <row r="1136" spans="1:53" ht="39.950000000000003" customHeight="1">
      <c r="E1136" s="264" t="s">
        <v>27</v>
      </c>
      <c r="F1136" s="274" t="s">
        <v>24</v>
      </c>
      <c r="G1136" s="263"/>
      <c r="H1136" s="263"/>
      <c r="I1136" s="263"/>
      <c r="J1136" s="263"/>
      <c r="K1136" s="263"/>
      <c r="L1136" s="263"/>
      <c r="M1136" s="263"/>
      <c r="N1136" s="263"/>
      <c r="O1136" s="263"/>
      <c r="P1136" s="263"/>
      <c r="Q1136" s="263"/>
      <c r="R1136" s="263"/>
      <c r="S1136" s="263"/>
      <c r="T1136" s="263"/>
      <c r="U1136" s="263"/>
      <c r="V1136" s="263"/>
      <c r="W1136" s="267"/>
      <c r="X1136" s="263"/>
    </row>
    <row r="1137" spans="1:53" ht="39.950000000000003" customHeight="1">
      <c r="E1137" s="271"/>
      <c r="F1137" s="272"/>
      <c r="G1137" s="263"/>
      <c r="H1137" s="263" t="s">
        <v>33</v>
      </c>
      <c r="I1137" s="263"/>
      <c r="J1137" s="263"/>
      <c r="K1137" s="263"/>
      <c r="L1137" s="263"/>
      <c r="M1137" s="263"/>
      <c r="N1137" s="263"/>
      <c r="O1137" s="263"/>
      <c r="P1137" s="263"/>
      <c r="Q1137" s="263"/>
      <c r="R1137" s="263"/>
      <c r="S1137" s="263"/>
      <c r="T1137" s="263"/>
      <c r="U1137" s="263"/>
      <c r="V1137" s="263"/>
      <c r="W1137" s="267"/>
      <c r="X1137" s="263"/>
    </row>
    <row r="1138" spans="1:53" ht="39.950000000000003" customHeight="1">
      <c r="E1138" s="271"/>
      <c r="F1138" s="272"/>
      <c r="G1138" s="263"/>
      <c r="H1138" s="263"/>
      <c r="I1138" s="263"/>
      <c r="J1138" s="263"/>
      <c r="K1138" s="263"/>
      <c r="L1138" s="263"/>
      <c r="M1138" s="263"/>
      <c r="N1138" s="263"/>
      <c r="O1138" s="263"/>
      <c r="P1138" s="263"/>
      <c r="Q1138" s="263"/>
      <c r="R1138" s="263"/>
      <c r="S1138" s="263"/>
      <c r="T1138" s="263"/>
      <c r="U1138" s="263"/>
      <c r="V1138" s="263"/>
      <c r="W1138" s="267"/>
      <c r="X1138" s="263"/>
    </row>
    <row r="1139" spans="1:53" ht="39.950000000000003" customHeight="1">
      <c r="E1139" s="271"/>
      <c r="F1139" s="272"/>
      <c r="G1139" s="263"/>
      <c r="H1139" s="263"/>
      <c r="I1139" s="496" t="str">
        <f>I1127</f>
        <v>DIKO Dalibor</v>
      </c>
      <c r="J1139" s="496"/>
      <c r="K1139" s="496"/>
      <c r="L1139" s="496"/>
      <c r="M1139" s="263"/>
      <c r="N1139" s="263"/>
      <c r="O1139" s="263"/>
      <c r="P1139" s="496" t="str">
        <f>I1130</f>
        <v>MARUNIAK Martin</v>
      </c>
      <c r="Q1139" s="496"/>
      <c r="R1139" s="496"/>
      <c r="S1139" s="496"/>
      <c r="T1139" s="497"/>
      <c r="U1139" s="497"/>
      <c r="V1139" s="263"/>
      <c r="W1139" s="267"/>
      <c r="X1139" s="263"/>
    </row>
    <row r="1140" spans="1:53" ht="69.95" customHeight="1">
      <c r="E1140" s="264"/>
      <c r="F1140" s="265"/>
      <c r="G1140" s="263"/>
      <c r="H1140" s="275" t="s">
        <v>36</v>
      </c>
      <c r="I1140" s="483"/>
      <c r="J1140" s="494"/>
      <c r="K1140" s="494"/>
      <c r="L1140" s="495"/>
      <c r="M1140" s="263"/>
      <c r="N1140" s="263"/>
      <c r="O1140" s="275" t="s">
        <v>36</v>
      </c>
      <c r="P1140" s="486"/>
      <c r="Q1140" s="486"/>
      <c r="R1140" s="486"/>
      <c r="S1140" s="486"/>
      <c r="T1140" s="486"/>
      <c r="U1140" s="486"/>
      <c r="V1140" s="263"/>
      <c r="W1140" s="267"/>
      <c r="X1140" s="263"/>
    </row>
    <row r="1141" spans="1:53" ht="69.95" customHeight="1">
      <c r="E1141" s="264"/>
      <c r="F1141" s="265"/>
      <c r="G1141" s="263"/>
      <c r="H1141" s="275" t="s">
        <v>37</v>
      </c>
      <c r="I1141" s="486"/>
      <c r="J1141" s="486"/>
      <c r="K1141" s="486"/>
      <c r="L1141" s="486"/>
      <c r="M1141" s="263"/>
      <c r="N1141" s="263"/>
      <c r="O1141" s="275" t="s">
        <v>37</v>
      </c>
      <c r="P1141" s="486"/>
      <c r="Q1141" s="486"/>
      <c r="R1141" s="486"/>
      <c r="S1141" s="486"/>
      <c r="T1141" s="486"/>
      <c r="U1141" s="486"/>
      <c r="V1141" s="263"/>
      <c r="W1141" s="267"/>
      <c r="X1141" s="263"/>
    </row>
    <row r="1142" spans="1:53" ht="69.95" customHeight="1">
      <c r="E1142" s="264"/>
      <c r="F1142" s="265"/>
      <c r="G1142" s="263"/>
      <c r="H1142" s="275" t="s">
        <v>37</v>
      </c>
      <c r="I1142" s="486"/>
      <c r="J1142" s="486"/>
      <c r="K1142" s="486"/>
      <c r="L1142" s="486"/>
      <c r="M1142" s="263"/>
      <c r="N1142" s="263"/>
      <c r="O1142" s="275" t="s">
        <v>37</v>
      </c>
      <c r="P1142" s="486"/>
      <c r="Q1142" s="486"/>
      <c r="R1142" s="486"/>
      <c r="S1142" s="486"/>
      <c r="T1142" s="486"/>
      <c r="U1142" s="486"/>
      <c r="V1142" s="263"/>
      <c r="W1142" s="267"/>
      <c r="X1142" s="263"/>
    </row>
    <row r="1143" spans="1:53" ht="39.950000000000003" customHeight="1" thickBot="1">
      <c r="E1143" s="276"/>
      <c r="F1143" s="277"/>
      <c r="G1143" s="278"/>
      <c r="H1143" s="278"/>
      <c r="I1143" s="278"/>
      <c r="J1143" s="278"/>
      <c r="K1143" s="278"/>
      <c r="L1143" s="278"/>
      <c r="M1143" s="278"/>
      <c r="N1143" s="278"/>
      <c r="O1143" s="278"/>
      <c r="P1143" s="278"/>
      <c r="Q1143" s="278"/>
      <c r="R1143" s="278"/>
      <c r="S1143" s="278"/>
      <c r="T1143" s="279"/>
      <c r="U1143" s="279"/>
      <c r="V1143" s="279"/>
      <c r="W1143" s="280"/>
      <c r="X1143" s="263"/>
    </row>
    <row r="1144" spans="1:53" ht="62.25" thickBot="1">
      <c r="A1144" s="252" t="s">
        <v>62</v>
      </c>
    </row>
    <row r="1145" spans="1:53" ht="39.950000000000003" customHeight="1">
      <c r="A1145" s="252" t="str">
        <f>CONCATENATE(F1152,F1154,F1156)</f>
        <v>CHA2-3</v>
      </c>
      <c r="E1145" s="259" t="s">
        <v>70</v>
      </c>
      <c r="F1145" s="260">
        <f>VLOOKUP(A1145,'zoznam zapasov'!$A$6:$K$77,3,0)</f>
        <v>58</v>
      </c>
      <c r="G1145" s="261"/>
      <c r="H1145" s="322" t="s">
        <v>501</v>
      </c>
      <c r="I1145" s="261"/>
      <c r="J1145" s="261"/>
      <c r="K1145" s="261"/>
      <c r="L1145" s="261"/>
      <c r="M1145" s="261"/>
      <c r="N1145" s="261"/>
      <c r="O1145" s="261"/>
      <c r="P1145" s="261"/>
      <c r="Q1145" s="261"/>
      <c r="R1145" s="261"/>
      <c r="S1145" s="261"/>
      <c r="T1145" s="261"/>
      <c r="U1145" s="261"/>
      <c r="V1145" s="261" t="s">
        <v>30</v>
      </c>
      <c r="W1145" s="262"/>
      <c r="X1145" s="263"/>
      <c r="Z1145" s="258" t="str">
        <f>CONCATENATE(V1147,":",V1150)</f>
        <v>3:2</v>
      </c>
      <c r="AE1145" s="253" t="s">
        <v>11</v>
      </c>
      <c r="AV1145" s="256" t="str">
        <f>CONCATENATE(AN1147,",",AO1147,",",AP1147,",",AQ1147,",",AR1147,",",AS1147,",",AT1147)</f>
        <v>-7,7,-8,3,6,,</v>
      </c>
    </row>
    <row r="1146" spans="1:53" ht="39.950000000000003" customHeight="1">
      <c r="E1146" s="264"/>
      <c r="F1146" s="265"/>
      <c r="G1146" s="321" t="s">
        <v>500</v>
      </c>
      <c r="H1146" s="323" t="s">
        <v>502</v>
      </c>
      <c r="I1146" s="263"/>
      <c r="J1146" s="263"/>
      <c r="K1146" s="263"/>
      <c r="L1146" s="263"/>
      <c r="M1146" s="263"/>
      <c r="N1146" s="266">
        <v>1</v>
      </c>
      <c r="O1146" s="266">
        <v>2</v>
      </c>
      <c r="P1146" s="266">
        <v>3</v>
      </c>
      <c r="Q1146" s="266">
        <v>4</v>
      </c>
      <c r="R1146" s="266">
        <v>5</v>
      </c>
      <c r="S1146" s="266">
        <v>6</v>
      </c>
      <c r="T1146" s="266">
        <v>7</v>
      </c>
      <c r="U1146" s="263"/>
      <c r="V1146" s="266" t="s">
        <v>31</v>
      </c>
      <c r="W1146" s="267"/>
      <c r="X1146" s="263"/>
      <c r="AE1146" s="253" t="s">
        <v>68</v>
      </c>
      <c r="AV1146" s="256" t="str">
        <f>CONCATENATE(AN1148,",",AO1148,",",AP1148,",",AQ1148,",",AR1148,",",AS1148,",",AT1148)</f>
        <v>7,-7,8,-3,-6,,</v>
      </c>
    </row>
    <row r="1147" spans="1:53" ht="39.950000000000003" customHeight="1">
      <c r="A1147" s="252" t="str">
        <f>CONCATENATE(F1152,VLOOKUP(F1154,$AZ$7:$BA$14,2,0),LEFT(F1156,1))</f>
        <v>CH12</v>
      </c>
      <c r="E1147" s="264" t="s">
        <v>29</v>
      </c>
      <c r="F1147" s="265">
        <f>VLOOKUP(A1145,'zoznam zapasov'!$A$6:$K$77,11,0)</f>
        <v>2</v>
      </c>
      <c r="G1147" s="508"/>
      <c r="H1147" s="495"/>
      <c r="I1147" s="487" t="str">
        <f>IF(ISERROR(VLOOKUP(A1147,vylosovanie!$A$8:$J$68,6,0))=TRUE,"",VLOOKUP(A1147,vylosovanie!$A$8:$J$68,6,0))</f>
        <v>IVANČO Félix</v>
      </c>
      <c r="J1147" s="487"/>
      <c r="K1147" s="487"/>
      <c r="L1147" s="487"/>
      <c r="M1147" s="263"/>
      <c r="N1147" s="489">
        <v>7</v>
      </c>
      <c r="O1147" s="489">
        <v>11</v>
      </c>
      <c r="P1147" s="489">
        <v>8</v>
      </c>
      <c r="Q1147" s="489">
        <v>11</v>
      </c>
      <c r="R1147" s="489">
        <v>11</v>
      </c>
      <c r="S1147" s="489"/>
      <c r="T1147" s="489"/>
      <c r="U1147" s="263"/>
      <c r="V1147" s="493">
        <f>IF(SUM(AF1147:AL1148)=0,"",SUM(AF1147:AL1147))</f>
        <v>3</v>
      </c>
      <c r="W1147" s="267"/>
      <c r="X1147" s="263"/>
      <c r="AE1147" s="253" t="str">
        <f>VLOOKUP(I1147,vylosovanie!$F$8:$L$190,7,0)</f>
        <v>CH12</v>
      </c>
      <c r="AF1147" s="268">
        <f>IF(N1147&gt;N1150,1,0)</f>
        <v>0</v>
      </c>
      <c r="AG1147" s="268">
        <f t="shared" ref="AG1147" si="788">IF(O1147&gt;O1150,1,0)</f>
        <v>1</v>
      </c>
      <c r="AH1147" s="268">
        <f t="shared" ref="AH1147" si="789">IF(P1147&gt;P1150,1,0)</f>
        <v>0</v>
      </c>
      <c r="AI1147" s="268">
        <f t="shared" ref="AI1147" si="790">IF(Q1147&gt;Q1150,1,0)</f>
        <v>1</v>
      </c>
      <c r="AJ1147" s="268">
        <f t="shared" ref="AJ1147" si="791">IF(R1147&gt;R1150,1,0)</f>
        <v>1</v>
      </c>
      <c r="AK1147" s="268">
        <f t="shared" ref="AK1147" si="792">IF(S1147&gt;S1150,1,0)</f>
        <v>0</v>
      </c>
      <c r="AL1147" s="268">
        <f t="shared" ref="AL1147" si="793">IF(T1147&gt;T1150,1,0)</f>
        <v>0</v>
      </c>
      <c r="AN1147" s="268">
        <f t="shared" ref="AN1147:AT1147" si="794">IF(ISBLANK(N1147)=TRUE,"",IF(AF1147=1,N1150,-N1147))</f>
        <v>-7</v>
      </c>
      <c r="AO1147" s="268">
        <f t="shared" si="794"/>
        <v>7</v>
      </c>
      <c r="AP1147" s="268">
        <f t="shared" si="794"/>
        <v>-8</v>
      </c>
      <c r="AQ1147" s="268">
        <f t="shared" si="794"/>
        <v>3</v>
      </c>
      <c r="AR1147" s="268">
        <f t="shared" si="794"/>
        <v>6</v>
      </c>
      <c r="AS1147" s="268" t="str">
        <f t="shared" si="794"/>
        <v/>
      </c>
      <c r="AT1147" s="268" t="str">
        <f t="shared" si="794"/>
        <v/>
      </c>
      <c r="AZ1147" s="269" t="s">
        <v>12</v>
      </c>
      <c r="BA1147" s="269">
        <v>1</v>
      </c>
    </row>
    <row r="1148" spans="1:53" ht="39.950000000000003" customHeight="1">
      <c r="E1148" s="264"/>
      <c r="F1148" s="265"/>
      <c r="G1148" s="509"/>
      <c r="H1148" s="495"/>
      <c r="I1148" s="487"/>
      <c r="J1148" s="487"/>
      <c r="K1148" s="487"/>
      <c r="L1148" s="487"/>
      <c r="M1148" s="263"/>
      <c r="N1148" s="490"/>
      <c r="O1148" s="490"/>
      <c r="P1148" s="490"/>
      <c r="Q1148" s="490"/>
      <c r="R1148" s="490"/>
      <c r="S1148" s="490"/>
      <c r="T1148" s="490"/>
      <c r="U1148" s="263"/>
      <c r="V1148" s="493"/>
      <c r="W1148" s="267"/>
      <c r="X1148" s="263"/>
      <c r="AE1148" s="253" t="str">
        <f>VLOOKUP(I1150,vylosovanie!$F$8:$L$190,7,0)</f>
        <v>CH13</v>
      </c>
      <c r="AF1148" s="268">
        <f>IF(N1150&gt;N1147,1,0)</f>
        <v>1</v>
      </c>
      <c r="AG1148" s="268">
        <f t="shared" ref="AG1148" si="795">IF(O1150&gt;O1147,1,0)</f>
        <v>0</v>
      </c>
      <c r="AH1148" s="268">
        <f t="shared" ref="AH1148" si="796">IF(P1150&gt;P1147,1,0)</f>
        <v>1</v>
      </c>
      <c r="AI1148" s="268">
        <f t="shared" ref="AI1148" si="797">IF(Q1150&gt;Q1147,1,0)</f>
        <v>0</v>
      </c>
      <c r="AJ1148" s="268">
        <f t="shared" ref="AJ1148" si="798">IF(R1150&gt;R1147,1,0)</f>
        <v>0</v>
      </c>
      <c r="AK1148" s="268">
        <f t="shared" ref="AK1148" si="799">IF(S1150&gt;S1147,1,0)</f>
        <v>0</v>
      </c>
      <c r="AL1148" s="268">
        <f t="shared" ref="AL1148" si="800">IF(T1150&gt;T1147,1,0)</f>
        <v>0</v>
      </c>
      <c r="AN1148" s="268">
        <f t="shared" ref="AN1148:AT1148" si="801">IF(ISBLANK(N1150)=TRUE,"",IF(AF1148=1,N1147,-N1150))</f>
        <v>7</v>
      </c>
      <c r="AO1148" s="268">
        <f t="shared" si="801"/>
        <v>-7</v>
      </c>
      <c r="AP1148" s="268">
        <f t="shared" si="801"/>
        <v>8</v>
      </c>
      <c r="AQ1148" s="268">
        <f t="shared" si="801"/>
        <v>-3</v>
      </c>
      <c r="AR1148" s="268">
        <f t="shared" si="801"/>
        <v>-6</v>
      </c>
      <c r="AS1148" s="268" t="str">
        <f t="shared" si="801"/>
        <v/>
      </c>
      <c r="AT1148" s="268" t="str">
        <f t="shared" si="801"/>
        <v/>
      </c>
      <c r="AZ1148" s="269" t="s">
        <v>18</v>
      </c>
      <c r="BA1148" s="269">
        <v>2</v>
      </c>
    </row>
    <row r="1149" spans="1:53" ht="39.950000000000003" customHeight="1">
      <c r="E1149" s="264" t="s">
        <v>35</v>
      </c>
      <c r="F1149" s="265" t="str">
        <f>VLOOKUP(A1145,'zoznam zapasov'!$A$6:$K$77,9,0)</f>
        <v>So</v>
      </c>
      <c r="G1149" s="263"/>
      <c r="H1149" s="263"/>
      <c r="I1149" s="263"/>
      <c r="J1149" s="263"/>
      <c r="K1149" s="263"/>
      <c r="L1149" s="263"/>
      <c r="M1149" s="263"/>
      <c r="N1149" s="263"/>
      <c r="O1149" s="263"/>
      <c r="P1149" s="263"/>
      <c r="Q1149" s="263"/>
      <c r="R1149" s="263"/>
      <c r="S1149" s="263"/>
      <c r="T1149" s="263"/>
      <c r="U1149" s="263"/>
      <c r="V1149" s="263"/>
      <c r="W1149" s="267"/>
      <c r="X1149" s="263"/>
      <c r="AZ1149" s="269" t="s">
        <v>38</v>
      </c>
      <c r="BA1149" s="269">
        <v>3</v>
      </c>
    </row>
    <row r="1150" spans="1:53" ht="39.950000000000003" customHeight="1">
      <c r="A1150" s="252" t="str">
        <f>CONCATENATE(F1152,VLOOKUP(F1154,$AZ$7:$BA$14,2,0),RIGHT(F1156,1))</f>
        <v>CH13</v>
      </c>
      <c r="E1150" s="264" t="s">
        <v>28</v>
      </c>
      <c r="F1150" s="270" t="str">
        <f>VLOOKUP(A1145,'zoznam zapasov'!$A$6:$K$77,10,0)</f>
        <v>12.25</v>
      </c>
      <c r="G1150" s="508"/>
      <c r="H1150" s="486"/>
      <c r="I1150" s="487" t="str">
        <f>IF(ISERROR(VLOOKUP(A1150,vylosovanie!$A$8:$J$68,6,0))=TRUE,"",VLOOKUP(A1150,vylosovanie!$A$8:$J$68,6,0))</f>
        <v>MIKLUŠČÁK Benjamín</v>
      </c>
      <c r="J1150" s="487"/>
      <c r="K1150" s="487"/>
      <c r="L1150" s="487"/>
      <c r="M1150" s="263"/>
      <c r="N1150" s="489">
        <v>11</v>
      </c>
      <c r="O1150" s="489">
        <v>7</v>
      </c>
      <c r="P1150" s="489">
        <v>11</v>
      </c>
      <c r="Q1150" s="489">
        <v>3</v>
      </c>
      <c r="R1150" s="489">
        <v>6</v>
      </c>
      <c r="S1150" s="489"/>
      <c r="T1150" s="489"/>
      <c r="U1150" s="263"/>
      <c r="V1150" s="493">
        <f>IF(SUM(AF1147:AL1148)=0,"",SUM(AF1148:AL1148))</f>
        <v>2</v>
      </c>
      <c r="W1150" s="267"/>
      <c r="X1150" s="263"/>
      <c r="AZ1150" s="269" t="s">
        <v>39</v>
      </c>
      <c r="BA1150" s="269">
        <v>4</v>
      </c>
    </row>
    <row r="1151" spans="1:53" ht="39.950000000000003" customHeight="1">
      <c r="E1151" s="271"/>
      <c r="F1151" s="272"/>
      <c r="G1151" s="509"/>
      <c r="H1151" s="486"/>
      <c r="I1151" s="487"/>
      <c r="J1151" s="487"/>
      <c r="K1151" s="487"/>
      <c r="L1151" s="487"/>
      <c r="M1151" s="263"/>
      <c r="N1151" s="490"/>
      <c r="O1151" s="490"/>
      <c r="P1151" s="490"/>
      <c r="Q1151" s="490"/>
      <c r="R1151" s="490"/>
      <c r="S1151" s="490"/>
      <c r="T1151" s="490"/>
      <c r="U1151" s="263"/>
      <c r="V1151" s="493"/>
      <c r="W1151" s="267"/>
      <c r="X1151" s="263"/>
      <c r="AZ1151" s="269" t="s">
        <v>40</v>
      </c>
      <c r="BA1151" s="269">
        <v>5</v>
      </c>
    </row>
    <row r="1152" spans="1:53" ht="39.950000000000003" customHeight="1">
      <c r="E1152" s="264" t="s">
        <v>66</v>
      </c>
      <c r="F1152" s="265" t="s">
        <v>65</v>
      </c>
      <c r="G1152" s="263"/>
      <c r="H1152" s="263"/>
      <c r="I1152" s="263"/>
      <c r="J1152" s="263"/>
      <c r="K1152" s="263"/>
      <c r="L1152" s="263"/>
      <c r="M1152" s="263"/>
      <c r="N1152" s="263"/>
      <c r="O1152" s="263"/>
      <c r="P1152" s="263"/>
      <c r="Q1152" s="263"/>
      <c r="R1152" s="263"/>
      <c r="S1152" s="263"/>
      <c r="T1152" s="263"/>
      <c r="U1152" s="263"/>
      <c r="V1152" s="263"/>
      <c r="W1152" s="267"/>
      <c r="X1152" s="263"/>
      <c r="AZ1152" s="269" t="s">
        <v>41</v>
      </c>
      <c r="BA1152" s="269">
        <v>6</v>
      </c>
    </row>
    <row r="1153" spans="1:53" ht="39.950000000000003" customHeight="1">
      <c r="E1153" s="271"/>
      <c r="F1153" s="272"/>
      <c r="G1153" s="263"/>
      <c r="H1153" s="263"/>
      <c r="I1153" s="263" t="s">
        <v>32</v>
      </c>
      <c r="J1153" s="263"/>
      <c r="K1153" s="263"/>
      <c r="L1153" s="263"/>
      <c r="M1153" s="263"/>
      <c r="N1153" s="273"/>
      <c r="O1153" s="266"/>
      <c r="P1153" s="266" t="s">
        <v>34</v>
      </c>
      <c r="Q1153" s="266"/>
      <c r="R1153" s="266"/>
      <c r="S1153" s="266"/>
      <c r="T1153" s="266"/>
      <c r="U1153" s="263"/>
      <c r="V1153" s="263"/>
      <c r="W1153" s="267"/>
      <c r="X1153" s="263"/>
      <c r="AZ1153" s="269" t="s">
        <v>42</v>
      </c>
      <c r="BA1153" s="269">
        <v>7</v>
      </c>
    </row>
    <row r="1154" spans="1:53" ht="39.950000000000003" customHeight="1">
      <c r="E1154" s="264" t="s">
        <v>26</v>
      </c>
      <c r="F1154" s="265" t="s">
        <v>12</v>
      </c>
      <c r="G1154" s="263"/>
      <c r="H1154" s="263"/>
      <c r="I1154" s="486"/>
      <c r="J1154" s="486"/>
      <c r="K1154" s="486"/>
      <c r="L1154" s="486"/>
      <c r="M1154" s="263"/>
      <c r="N1154" s="486" t="str">
        <f>IF(V1147&gt;V1150,I1147,IF(V1150&gt;V1147,I1150,""))</f>
        <v>IVANČO Félix</v>
      </c>
      <c r="O1154" s="486"/>
      <c r="P1154" s="486"/>
      <c r="Q1154" s="486"/>
      <c r="R1154" s="486"/>
      <c r="S1154" s="486"/>
      <c r="T1154" s="263"/>
      <c r="U1154" s="263"/>
      <c r="V1154" s="263"/>
      <c r="W1154" s="267"/>
      <c r="X1154" s="263"/>
      <c r="AZ1154" s="269" t="s">
        <v>43</v>
      </c>
      <c r="BA1154" s="269">
        <v>8</v>
      </c>
    </row>
    <row r="1155" spans="1:53" ht="39.950000000000003" customHeight="1">
      <c r="E1155" s="271"/>
      <c r="F1155" s="272"/>
      <c r="G1155" s="263"/>
      <c r="H1155" s="263"/>
      <c r="I1155" s="486"/>
      <c r="J1155" s="486"/>
      <c r="K1155" s="486"/>
      <c r="L1155" s="486"/>
      <c r="M1155" s="263"/>
      <c r="N1155" s="486"/>
      <c r="O1155" s="486"/>
      <c r="P1155" s="486"/>
      <c r="Q1155" s="486"/>
      <c r="R1155" s="486"/>
      <c r="S1155" s="486"/>
      <c r="T1155" s="263"/>
      <c r="U1155" s="263"/>
      <c r="V1155" s="263"/>
      <c r="W1155" s="267"/>
      <c r="X1155" s="263"/>
    </row>
    <row r="1156" spans="1:53" ht="39.950000000000003" customHeight="1">
      <c r="E1156" s="264" t="s">
        <v>27</v>
      </c>
      <c r="F1156" s="274" t="s">
        <v>25</v>
      </c>
      <c r="G1156" s="263"/>
      <c r="H1156" s="263"/>
      <c r="I1156" s="263"/>
      <c r="J1156" s="263"/>
      <c r="K1156" s="263"/>
      <c r="L1156" s="263"/>
      <c r="M1156" s="263"/>
      <c r="N1156" s="263"/>
      <c r="O1156" s="263"/>
      <c r="P1156" s="263"/>
      <c r="Q1156" s="263"/>
      <c r="R1156" s="263"/>
      <c r="S1156" s="263"/>
      <c r="T1156" s="263"/>
      <c r="U1156" s="263"/>
      <c r="V1156" s="263"/>
      <c r="W1156" s="267"/>
      <c r="X1156" s="263"/>
    </row>
    <row r="1157" spans="1:53" ht="39.950000000000003" customHeight="1">
      <c r="E1157" s="271"/>
      <c r="F1157" s="272"/>
      <c r="G1157" s="263"/>
      <c r="H1157" s="263" t="s">
        <v>33</v>
      </c>
      <c r="I1157" s="263"/>
      <c r="J1157" s="263"/>
      <c r="K1157" s="263"/>
      <c r="L1157" s="263"/>
      <c r="M1157" s="263"/>
      <c r="N1157" s="263"/>
      <c r="O1157" s="263"/>
      <c r="P1157" s="263"/>
      <c r="Q1157" s="263"/>
      <c r="R1157" s="263"/>
      <c r="S1157" s="263"/>
      <c r="T1157" s="263"/>
      <c r="U1157" s="263"/>
      <c r="V1157" s="263"/>
      <c r="W1157" s="267"/>
      <c r="X1157" s="263"/>
    </row>
    <row r="1158" spans="1:53" ht="39.950000000000003" customHeight="1">
      <c r="E1158" s="271"/>
      <c r="F1158" s="272"/>
      <c r="G1158" s="263"/>
      <c r="H1158" s="263"/>
      <c r="I1158" s="263"/>
      <c r="J1158" s="263"/>
      <c r="K1158" s="263"/>
      <c r="L1158" s="263"/>
      <c r="M1158" s="263"/>
      <c r="N1158" s="263"/>
      <c r="O1158" s="263"/>
      <c r="P1158" s="263"/>
      <c r="Q1158" s="263"/>
      <c r="R1158" s="263"/>
      <c r="S1158" s="263"/>
      <c r="T1158" s="263"/>
      <c r="U1158" s="263"/>
      <c r="V1158" s="263"/>
      <c r="W1158" s="267"/>
      <c r="X1158" s="263"/>
    </row>
    <row r="1159" spans="1:53" ht="39.950000000000003" customHeight="1">
      <c r="E1159" s="271"/>
      <c r="F1159" s="272"/>
      <c r="G1159" s="263"/>
      <c r="H1159" s="263"/>
      <c r="I1159" s="496" t="str">
        <f>I1147</f>
        <v>IVANČO Félix</v>
      </c>
      <c r="J1159" s="496"/>
      <c r="K1159" s="496"/>
      <c r="L1159" s="496"/>
      <c r="M1159" s="263"/>
      <c r="N1159" s="263"/>
      <c r="O1159" s="263"/>
      <c r="P1159" s="496" t="str">
        <f>I1150</f>
        <v>MIKLUŠČÁK Benjamín</v>
      </c>
      <c r="Q1159" s="496"/>
      <c r="R1159" s="496"/>
      <c r="S1159" s="496"/>
      <c r="T1159" s="497"/>
      <c r="U1159" s="497"/>
      <c r="V1159" s="263"/>
      <c r="W1159" s="267"/>
      <c r="X1159" s="263"/>
    </row>
    <row r="1160" spans="1:53" ht="69.95" customHeight="1">
      <c r="E1160" s="264"/>
      <c r="F1160" s="265"/>
      <c r="G1160" s="263"/>
      <c r="H1160" s="275" t="s">
        <v>36</v>
      </c>
      <c r="I1160" s="483"/>
      <c r="J1160" s="494"/>
      <c r="K1160" s="494"/>
      <c r="L1160" s="495"/>
      <c r="M1160" s="263"/>
      <c r="N1160" s="263"/>
      <c r="O1160" s="275" t="s">
        <v>36</v>
      </c>
      <c r="P1160" s="486"/>
      <c r="Q1160" s="486"/>
      <c r="R1160" s="486"/>
      <c r="S1160" s="486"/>
      <c r="T1160" s="486"/>
      <c r="U1160" s="486"/>
      <c r="V1160" s="263"/>
      <c r="W1160" s="267"/>
      <c r="X1160" s="263"/>
    </row>
    <row r="1161" spans="1:53" ht="69.95" customHeight="1">
      <c r="E1161" s="264"/>
      <c r="F1161" s="265"/>
      <c r="G1161" s="263"/>
      <c r="H1161" s="275" t="s">
        <v>37</v>
      </c>
      <c r="I1161" s="486"/>
      <c r="J1161" s="486"/>
      <c r="K1161" s="486"/>
      <c r="L1161" s="486"/>
      <c r="M1161" s="263"/>
      <c r="N1161" s="263"/>
      <c r="O1161" s="275" t="s">
        <v>37</v>
      </c>
      <c r="P1161" s="486"/>
      <c r="Q1161" s="486"/>
      <c r="R1161" s="486"/>
      <c r="S1161" s="486"/>
      <c r="T1161" s="486"/>
      <c r="U1161" s="486"/>
      <c r="V1161" s="263"/>
      <c r="W1161" s="267"/>
      <c r="X1161" s="263"/>
    </row>
    <row r="1162" spans="1:53" ht="69.95" customHeight="1">
      <c r="E1162" s="264"/>
      <c r="F1162" s="265"/>
      <c r="G1162" s="263"/>
      <c r="H1162" s="275" t="s">
        <v>37</v>
      </c>
      <c r="I1162" s="486"/>
      <c r="J1162" s="486"/>
      <c r="K1162" s="486"/>
      <c r="L1162" s="486"/>
      <c r="M1162" s="263"/>
      <c r="N1162" s="263"/>
      <c r="O1162" s="275" t="s">
        <v>37</v>
      </c>
      <c r="P1162" s="486"/>
      <c r="Q1162" s="486"/>
      <c r="R1162" s="486"/>
      <c r="S1162" s="486"/>
      <c r="T1162" s="486"/>
      <c r="U1162" s="486"/>
      <c r="V1162" s="263"/>
      <c r="W1162" s="267"/>
      <c r="X1162" s="263"/>
    </row>
    <row r="1163" spans="1:53" ht="39.950000000000003" customHeight="1" thickBot="1">
      <c r="E1163" s="276"/>
      <c r="F1163" s="277"/>
      <c r="G1163" s="278"/>
      <c r="H1163" s="278"/>
      <c r="I1163" s="278"/>
      <c r="J1163" s="278"/>
      <c r="K1163" s="278"/>
      <c r="L1163" s="278"/>
      <c r="M1163" s="278"/>
      <c r="N1163" s="278"/>
      <c r="O1163" s="278"/>
      <c r="P1163" s="278"/>
      <c r="Q1163" s="278"/>
      <c r="R1163" s="278"/>
      <c r="S1163" s="278"/>
      <c r="T1163" s="279"/>
      <c r="U1163" s="279"/>
      <c r="V1163" s="279"/>
      <c r="W1163" s="280"/>
      <c r="X1163" s="263"/>
    </row>
    <row r="1164" spans="1:53" ht="62.25" thickBot="1">
      <c r="A1164" s="252" t="s">
        <v>62</v>
      </c>
    </row>
    <row r="1165" spans="1:53" ht="39.950000000000003" customHeight="1">
      <c r="A1165" s="252" t="str">
        <f>CONCATENATE(F1172,F1174,F1176)</f>
        <v>CHB1-4</v>
      </c>
      <c r="E1165" s="259" t="s">
        <v>70</v>
      </c>
      <c r="F1165" s="260">
        <f>VLOOKUP(A1165,'zoznam zapasov'!$A$6:$K$77,3,0)</f>
        <v>59</v>
      </c>
      <c r="G1165" s="261"/>
      <c r="H1165" s="322" t="s">
        <v>501</v>
      </c>
      <c r="I1165" s="261"/>
      <c r="J1165" s="261"/>
      <c r="K1165" s="261"/>
      <c r="L1165" s="261"/>
      <c r="M1165" s="261"/>
      <c r="N1165" s="261"/>
      <c r="O1165" s="261"/>
      <c r="P1165" s="261"/>
      <c r="Q1165" s="261"/>
      <c r="R1165" s="261"/>
      <c r="S1165" s="261"/>
      <c r="T1165" s="261"/>
      <c r="U1165" s="261"/>
      <c r="V1165" s="261" t="s">
        <v>30</v>
      </c>
      <c r="W1165" s="262"/>
      <c r="X1165" s="263"/>
      <c r="Z1165" s="258" t="str">
        <f>CONCATENATE(V1167,":",V1170)</f>
        <v>3:0</v>
      </c>
      <c r="AE1165" s="253" t="s">
        <v>11</v>
      </c>
      <c r="AV1165" s="256" t="str">
        <f>CONCATENATE(AN1167,",",AO1167,",",AP1167,",",AQ1167,",",AR1167,",",AS1167,",",AT1167)</f>
        <v>8,7,5,,,,</v>
      </c>
    </row>
    <row r="1166" spans="1:53" ht="39.950000000000003" customHeight="1">
      <c r="E1166" s="264"/>
      <c r="F1166" s="265"/>
      <c r="G1166" s="321" t="s">
        <v>500</v>
      </c>
      <c r="H1166" s="323" t="s">
        <v>502</v>
      </c>
      <c r="I1166" s="263"/>
      <c r="J1166" s="263"/>
      <c r="K1166" s="263"/>
      <c r="L1166" s="263"/>
      <c r="M1166" s="263"/>
      <c r="N1166" s="266">
        <v>1</v>
      </c>
      <c r="O1166" s="266">
        <v>2</v>
      </c>
      <c r="P1166" s="266">
        <v>3</v>
      </c>
      <c r="Q1166" s="266">
        <v>4</v>
      </c>
      <c r="R1166" s="266">
        <v>5</v>
      </c>
      <c r="S1166" s="266">
        <v>6</v>
      </c>
      <c r="T1166" s="266">
        <v>7</v>
      </c>
      <c r="U1166" s="263"/>
      <c r="V1166" s="266" t="s">
        <v>31</v>
      </c>
      <c r="W1166" s="267"/>
      <c r="X1166" s="263"/>
      <c r="AE1166" s="253" t="s">
        <v>68</v>
      </c>
      <c r="AV1166" s="256" t="str">
        <f>CONCATENATE(AN1168,",",AO1168,",",AP1168,",",AQ1168,",",AR1168,",",AS1168,",",AT1168)</f>
        <v>-8,-7,-5,,,,</v>
      </c>
    </row>
    <row r="1167" spans="1:53" ht="39.950000000000003" customHeight="1">
      <c r="A1167" s="252" t="str">
        <f>CONCATENATE(F1172,VLOOKUP(F1174,$AZ$7:$BA$14,2,0),LEFT(F1176,1))</f>
        <v>CH21</v>
      </c>
      <c r="E1167" s="264" t="s">
        <v>29</v>
      </c>
      <c r="F1167" s="265">
        <f>VLOOKUP(A1165,'zoznam zapasov'!$A$6:$K$77,11,0)</f>
        <v>3</v>
      </c>
      <c r="G1167" s="508"/>
      <c r="H1167" s="495"/>
      <c r="I1167" s="487" t="str">
        <f>IF(ISERROR(VLOOKUP(A1167,vylosovanie!$A$8:$J$68,6,0))=TRUE,"",VLOOKUP(A1167,vylosovanie!$A$8:$J$68,6,0))</f>
        <v>KYSEL Martin</v>
      </c>
      <c r="J1167" s="487"/>
      <c r="K1167" s="487"/>
      <c r="L1167" s="487"/>
      <c r="M1167" s="263"/>
      <c r="N1167" s="489">
        <v>11</v>
      </c>
      <c r="O1167" s="489">
        <v>11</v>
      </c>
      <c r="P1167" s="489">
        <v>11</v>
      </c>
      <c r="Q1167" s="489"/>
      <c r="R1167" s="489"/>
      <c r="S1167" s="489"/>
      <c r="T1167" s="489"/>
      <c r="U1167" s="263"/>
      <c r="V1167" s="493">
        <f>IF(SUM(AF1167:AL1168)=0,"",SUM(AF1167:AL1167))</f>
        <v>3</v>
      </c>
      <c r="W1167" s="267"/>
      <c r="X1167" s="263"/>
      <c r="AE1167" s="253" t="str">
        <f>VLOOKUP(I1167,vylosovanie!$F$8:$L$190,7,0)</f>
        <v>CH21</v>
      </c>
      <c r="AF1167" s="268">
        <f>IF(N1167&gt;N1170,1,0)</f>
        <v>1</v>
      </c>
      <c r="AG1167" s="268">
        <f t="shared" ref="AG1167" si="802">IF(O1167&gt;O1170,1,0)</f>
        <v>1</v>
      </c>
      <c r="AH1167" s="268">
        <f t="shared" ref="AH1167" si="803">IF(P1167&gt;P1170,1,0)</f>
        <v>1</v>
      </c>
      <c r="AI1167" s="268">
        <f t="shared" ref="AI1167" si="804">IF(Q1167&gt;Q1170,1,0)</f>
        <v>0</v>
      </c>
      <c r="AJ1167" s="268">
        <f t="shared" ref="AJ1167" si="805">IF(R1167&gt;R1170,1,0)</f>
        <v>0</v>
      </c>
      <c r="AK1167" s="268">
        <f t="shared" ref="AK1167" si="806">IF(S1167&gt;S1170,1,0)</f>
        <v>0</v>
      </c>
      <c r="AL1167" s="268">
        <f t="shared" ref="AL1167" si="807">IF(T1167&gt;T1170,1,0)</f>
        <v>0</v>
      </c>
      <c r="AN1167" s="268">
        <f t="shared" ref="AN1167:AT1167" si="808">IF(ISBLANK(N1167)=TRUE,"",IF(AF1167=1,N1170,-N1167))</f>
        <v>8</v>
      </c>
      <c r="AO1167" s="268">
        <f t="shared" si="808"/>
        <v>7</v>
      </c>
      <c r="AP1167" s="268">
        <f t="shared" si="808"/>
        <v>5</v>
      </c>
      <c r="AQ1167" s="268" t="str">
        <f t="shared" si="808"/>
        <v/>
      </c>
      <c r="AR1167" s="268" t="str">
        <f t="shared" si="808"/>
        <v/>
      </c>
      <c r="AS1167" s="268" t="str">
        <f t="shared" si="808"/>
        <v/>
      </c>
      <c r="AT1167" s="268" t="str">
        <f t="shared" si="808"/>
        <v/>
      </c>
      <c r="AZ1167" s="269" t="s">
        <v>12</v>
      </c>
      <c r="BA1167" s="269">
        <v>1</v>
      </c>
    </row>
    <row r="1168" spans="1:53" ht="39.950000000000003" customHeight="1">
      <c r="E1168" s="264"/>
      <c r="F1168" s="265"/>
      <c r="G1168" s="509"/>
      <c r="H1168" s="495"/>
      <c r="I1168" s="487"/>
      <c r="J1168" s="487"/>
      <c r="K1168" s="487"/>
      <c r="L1168" s="487"/>
      <c r="M1168" s="263"/>
      <c r="N1168" s="490"/>
      <c r="O1168" s="490"/>
      <c r="P1168" s="490"/>
      <c r="Q1168" s="490"/>
      <c r="R1168" s="490"/>
      <c r="S1168" s="490"/>
      <c r="T1168" s="490"/>
      <c r="U1168" s="263"/>
      <c r="V1168" s="493"/>
      <c r="W1168" s="267"/>
      <c r="X1168" s="263"/>
      <c r="AE1168" s="253" t="str">
        <f>VLOOKUP(I1170,vylosovanie!$F$8:$L$190,7,0)</f>
        <v>CH24</v>
      </c>
      <c r="AF1168" s="268">
        <f>IF(N1170&gt;N1167,1,0)</f>
        <v>0</v>
      </c>
      <c r="AG1168" s="268">
        <f t="shared" ref="AG1168" si="809">IF(O1170&gt;O1167,1,0)</f>
        <v>0</v>
      </c>
      <c r="AH1168" s="268">
        <f t="shared" ref="AH1168" si="810">IF(P1170&gt;P1167,1,0)</f>
        <v>0</v>
      </c>
      <c r="AI1168" s="268">
        <f t="shared" ref="AI1168" si="811">IF(Q1170&gt;Q1167,1,0)</f>
        <v>0</v>
      </c>
      <c r="AJ1168" s="268">
        <f t="shared" ref="AJ1168" si="812">IF(R1170&gt;R1167,1,0)</f>
        <v>0</v>
      </c>
      <c r="AK1168" s="268">
        <f t="shared" ref="AK1168" si="813">IF(S1170&gt;S1167,1,0)</f>
        <v>0</v>
      </c>
      <c r="AL1168" s="268">
        <f t="shared" ref="AL1168" si="814">IF(T1170&gt;T1167,1,0)</f>
        <v>0</v>
      </c>
      <c r="AN1168" s="268">
        <f t="shared" ref="AN1168:AT1168" si="815">IF(ISBLANK(N1170)=TRUE,"",IF(AF1168=1,N1167,-N1170))</f>
        <v>-8</v>
      </c>
      <c r="AO1168" s="268">
        <f t="shared" si="815"/>
        <v>-7</v>
      </c>
      <c r="AP1168" s="268">
        <f t="shared" si="815"/>
        <v>-5</v>
      </c>
      <c r="AQ1168" s="268" t="str">
        <f t="shared" si="815"/>
        <v/>
      </c>
      <c r="AR1168" s="268" t="str">
        <f t="shared" si="815"/>
        <v/>
      </c>
      <c r="AS1168" s="268" t="str">
        <f t="shared" si="815"/>
        <v/>
      </c>
      <c r="AT1168" s="268" t="str">
        <f t="shared" si="815"/>
        <v/>
      </c>
      <c r="AZ1168" s="269" t="s">
        <v>18</v>
      </c>
      <c r="BA1168" s="269">
        <v>2</v>
      </c>
    </row>
    <row r="1169" spans="1:53" ht="39.950000000000003" customHeight="1">
      <c r="E1169" s="264" t="s">
        <v>35</v>
      </c>
      <c r="F1169" s="265" t="str">
        <f>VLOOKUP(A1165,'zoznam zapasov'!$A$6:$K$77,9,0)</f>
        <v>So</v>
      </c>
      <c r="G1169" s="263"/>
      <c r="H1169" s="263"/>
      <c r="I1169" s="263"/>
      <c r="J1169" s="263"/>
      <c r="K1169" s="263"/>
      <c r="L1169" s="263"/>
      <c r="M1169" s="263"/>
      <c r="N1169" s="263"/>
      <c r="O1169" s="263"/>
      <c r="P1169" s="263"/>
      <c r="Q1169" s="263"/>
      <c r="R1169" s="263"/>
      <c r="S1169" s="263"/>
      <c r="T1169" s="263"/>
      <c r="U1169" s="263"/>
      <c r="V1169" s="263"/>
      <c r="W1169" s="267"/>
      <c r="X1169" s="263"/>
      <c r="AZ1169" s="269" t="s">
        <v>38</v>
      </c>
      <c r="BA1169" s="269">
        <v>3</v>
      </c>
    </row>
    <row r="1170" spans="1:53" ht="39.950000000000003" customHeight="1">
      <c r="A1170" s="252" t="str">
        <f>CONCATENATE(F1172,VLOOKUP(F1174,$AZ$7:$BA$14,2,0),RIGHT(F1176,1))</f>
        <v>CH24</v>
      </c>
      <c r="E1170" s="264" t="s">
        <v>28</v>
      </c>
      <c r="F1170" s="270" t="str">
        <f>VLOOKUP(A1165,'zoznam zapasov'!$A$6:$K$77,10,0)</f>
        <v>12.25</v>
      </c>
      <c r="G1170" s="508"/>
      <c r="H1170" s="486"/>
      <c r="I1170" s="487" t="str">
        <f>IF(ISERROR(VLOOKUP(A1170,vylosovanie!$A$8:$J$68,6,0))=TRUE,"",VLOOKUP(A1170,vylosovanie!$A$8:$J$68,6,0))</f>
        <v>ZAJAC Jakub</v>
      </c>
      <c r="J1170" s="487"/>
      <c r="K1170" s="487"/>
      <c r="L1170" s="487"/>
      <c r="M1170" s="263"/>
      <c r="N1170" s="489">
        <v>8</v>
      </c>
      <c r="O1170" s="489">
        <v>7</v>
      </c>
      <c r="P1170" s="489">
        <v>5</v>
      </c>
      <c r="Q1170" s="489"/>
      <c r="R1170" s="489"/>
      <c r="S1170" s="489"/>
      <c r="T1170" s="489"/>
      <c r="U1170" s="263"/>
      <c r="V1170" s="493">
        <f>IF(SUM(AF1167:AL1168)=0,"",SUM(AF1168:AL1168))</f>
        <v>0</v>
      </c>
      <c r="W1170" s="267"/>
      <c r="X1170" s="263"/>
      <c r="AZ1170" s="269" t="s">
        <v>39</v>
      </c>
      <c r="BA1170" s="269">
        <v>4</v>
      </c>
    </row>
    <row r="1171" spans="1:53" ht="39.950000000000003" customHeight="1">
      <c r="E1171" s="271"/>
      <c r="F1171" s="272"/>
      <c r="G1171" s="509"/>
      <c r="H1171" s="486"/>
      <c r="I1171" s="487"/>
      <c r="J1171" s="487"/>
      <c r="K1171" s="487"/>
      <c r="L1171" s="487"/>
      <c r="M1171" s="263"/>
      <c r="N1171" s="490"/>
      <c r="O1171" s="490"/>
      <c r="P1171" s="490"/>
      <c r="Q1171" s="490"/>
      <c r="R1171" s="490"/>
      <c r="S1171" s="490"/>
      <c r="T1171" s="490"/>
      <c r="U1171" s="263"/>
      <c r="V1171" s="493"/>
      <c r="W1171" s="267"/>
      <c r="X1171" s="263"/>
      <c r="AZ1171" s="269" t="s">
        <v>40</v>
      </c>
      <c r="BA1171" s="269">
        <v>5</v>
      </c>
    </row>
    <row r="1172" spans="1:53" ht="39.950000000000003" customHeight="1">
      <c r="E1172" s="264" t="s">
        <v>66</v>
      </c>
      <c r="F1172" s="265" t="s">
        <v>65</v>
      </c>
      <c r="G1172" s="263"/>
      <c r="H1172" s="263"/>
      <c r="I1172" s="263"/>
      <c r="J1172" s="263"/>
      <c r="K1172" s="263"/>
      <c r="L1172" s="263"/>
      <c r="M1172" s="263"/>
      <c r="N1172" s="263"/>
      <c r="O1172" s="263"/>
      <c r="P1172" s="263"/>
      <c r="Q1172" s="263"/>
      <c r="R1172" s="263"/>
      <c r="S1172" s="263"/>
      <c r="T1172" s="263"/>
      <c r="U1172" s="263"/>
      <c r="V1172" s="263"/>
      <c r="W1172" s="267"/>
      <c r="X1172" s="263"/>
      <c r="AZ1172" s="269" t="s">
        <v>41</v>
      </c>
      <c r="BA1172" s="269">
        <v>6</v>
      </c>
    </row>
    <row r="1173" spans="1:53" ht="39.950000000000003" customHeight="1">
      <c r="E1173" s="271"/>
      <c r="F1173" s="272"/>
      <c r="G1173" s="263"/>
      <c r="H1173" s="263"/>
      <c r="I1173" s="263" t="s">
        <v>32</v>
      </c>
      <c r="J1173" s="263"/>
      <c r="K1173" s="263"/>
      <c r="L1173" s="263"/>
      <c r="M1173" s="263"/>
      <c r="N1173" s="273"/>
      <c r="O1173" s="266"/>
      <c r="P1173" s="266" t="s">
        <v>34</v>
      </c>
      <c r="Q1173" s="266"/>
      <c r="R1173" s="266"/>
      <c r="S1173" s="266"/>
      <c r="T1173" s="266"/>
      <c r="U1173" s="263"/>
      <c r="V1173" s="263"/>
      <c r="W1173" s="267"/>
      <c r="X1173" s="263"/>
      <c r="AZ1173" s="269" t="s">
        <v>42</v>
      </c>
      <c r="BA1173" s="269">
        <v>7</v>
      </c>
    </row>
    <row r="1174" spans="1:53" ht="39.950000000000003" customHeight="1">
      <c r="E1174" s="264" t="s">
        <v>26</v>
      </c>
      <c r="F1174" s="265" t="s">
        <v>18</v>
      </c>
      <c r="G1174" s="263"/>
      <c r="H1174" s="263"/>
      <c r="I1174" s="486"/>
      <c r="J1174" s="486"/>
      <c r="K1174" s="486"/>
      <c r="L1174" s="486"/>
      <c r="M1174" s="263"/>
      <c r="N1174" s="486" t="str">
        <f>IF(V1167&gt;V1170,I1167,IF(V1170&gt;V1167,I1170,""))</f>
        <v>KYSEL Martin</v>
      </c>
      <c r="O1174" s="486"/>
      <c r="P1174" s="486"/>
      <c r="Q1174" s="486"/>
      <c r="R1174" s="486"/>
      <c r="S1174" s="486"/>
      <c r="T1174" s="263"/>
      <c r="U1174" s="263"/>
      <c r="V1174" s="263"/>
      <c r="W1174" s="267"/>
      <c r="X1174" s="263"/>
      <c r="AZ1174" s="269" t="s">
        <v>43</v>
      </c>
      <c r="BA1174" s="269">
        <v>8</v>
      </c>
    </row>
    <row r="1175" spans="1:53" ht="39.950000000000003" customHeight="1">
      <c r="E1175" s="271"/>
      <c r="F1175" s="272"/>
      <c r="G1175" s="263"/>
      <c r="H1175" s="263"/>
      <c r="I1175" s="486"/>
      <c r="J1175" s="486"/>
      <c r="K1175" s="486"/>
      <c r="L1175" s="486"/>
      <c r="M1175" s="263"/>
      <c r="N1175" s="486"/>
      <c r="O1175" s="486"/>
      <c r="P1175" s="486"/>
      <c r="Q1175" s="486"/>
      <c r="R1175" s="486"/>
      <c r="S1175" s="486"/>
      <c r="T1175" s="263"/>
      <c r="U1175" s="263"/>
      <c r="V1175" s="263"/>
      <c r="W1175" s="267"/>
      <c r="X1175" s="263"/>
    </row>
    <row r="1176" spans="1:53" ht="39.950000000000003" customHeight="1">
      <c r="E1176" s="264" t="s">
        <v>27</v>
      </c>
      <c r="F1176" s="274" t="s">
        <v>24</v>
      </c>
      <c r="G1176" s="263"/>
      <c r="H1176" s="263"/>
      <c r="I1176" s="263"/>
      <c r="J1176" s="263"/>
      <c r="K1176" s="263"/>
      <c r="L1176" s="263"/>
      <c r="M1176" s="263"/>
      <c r="N1176" s="263"/>
      <c r="O1176" s="263"/>
      <c r="P1176" s="263"/>
      <c r="Q1176" s="263"/>
      <c r="R1176" s="263"/>
      <c r="S1176" s="263"/>
      <c r="T1176" s="263"/>
      <c r="U1176" s="263"/>
      <c r="V1176" s="263"/>
      <c r="W1176" s="267"/>
      <c r="X1176" s="263"/>
    </row>
    <row r="1177" spans="1:53" ht="39.950000000000003" customHeight="1">
      <c r="E1177" s="271"/>
      <c r="F1177" s="272"/>
      <c r="G1177" s="263"/>
      <c r="H1177" s="263" t="s">
        <v>33</v>
      </c>
      <c r="I1177" s="263"/>
      <c r="J1177" s="263"/>
      <c r="K1177" s="263"/>
      <c r="L1177" s="263"/>
      <c r="M1177" s="263"/>
      <c r="N1177" s="263"/>
      <c r="O1177" s="263"/>
      <c r="P1177" s="263"/>
      <c r="Q1177" s="263"/>
      <c r="R1177" s="263"/>
      <c r="S1177" s="263"/>
      <c r="T1177" s="263"/>
      <c r="U1177" s="263"/>
      <c r="V1177" s="263"/>
      <c r="W1177" s="267"/>
      <c r="X1177" s="263"/>
    </row>
    <row r="1178" spans="1:53" ht="39.950000000000003" customHeight="1">
      <c r="E1178" s="271"/>
      <c r="F1178" s="272"/>
      <c r="G1178" s="263"/>
      <c r="H1178" s="263"/>
      <c r="I1178" s="263"/>
      <c r="J1178" s="263"/>
      <c r="K1178" s="263"/>
      <c r="L1178" s="263"/>
      <c r="M1178" s="263"/>
      <c r="N1178" s="263"/>
      <c r="O1178" s="263"/>
      <c r="P1178" s="263"/>
      <c r="Q1178" s="263"/>
      <c r="R1178" s="263"/>
      <c r="S1178" s="263"/>
      <c r="T1178" s="263"/>
      <c r="U1178" s="263"/>
      <c r="V1178" s="263"/>
      <c r="W1178" s="267"/>
      <c r="X1178" s="263"/>
    </row>
    <row r="1179" spans="1:53" ht="39.950000000000003" customHeight="1">
      <c r="E1179" s="271"/>
      <c r="F1179" s="272"/>
      <c r="G1179" s="263"/>
      <c r="H1179" s="263"/>
      <c r="I1179" s="496" t="str">
        <f>I1167</f>
        <v>KYSEL Martin</v>
      </c>
      <c r="J1179" s="496"/>
      <c r="K1179" s="496"/>
      <c r="L1179" s="496"/>
      <c r="M1179" s="263"/>
      <c r="N1179" s="263"/>
      <c r="O1179" s="263"/>
      <c r="P1179" s="496" t="str">
        <f>I1170</f>
        <v>ZAJAC Jakub</v>
      </c>
      <c r="Q1179" s="496"/>
      <c r="R1179" s="496"/>
      <c r="S1179" s="496"/>
      <c r="T1179" s="497"/>
      <c r="U1179" s="497"/>
      <c r="V1179" s="263"/>
      <c r="W1179" s="267"/>
      <c r="X1179" s="263"/>
    </row>
    <row r="1180" spans="1:53" ht="69.95" customHeight="1">
      <c r="E1180" s="264"/>
      <c r="F1180" s="265"/>
      <c r="G1180" s="263"/>
      <c r="H1180" s="275" t="s">
        <v>36</v>
      </c>
      <c r="I1180" s="483"/>
      <c r="J1180" s="494"/>
      <c r="K1180" s="494"/>
      <c r="L1180" s="495"/>
      <c r="M1180" s="263"/>
      <c r="N1180" s="263"/>
      <c r="O1180" s="275" t="s">
        <v>36</v>
      </c>
      <c r="P1180" s="486"/>
      <c r="Q1180" s="486"/>
      <c r="R1180" s="486"/>
      <c r="S1180" s="486"/>
      <c r="T1180" s="486"/>
      <c r="U1180" s="486"/>
      <c r="V1180" s="263"/>
      <c r="W1180" s="267"/>
      <c r="X1180" s="263"/>
    </row>
    <row r="1181" spans="1:53" ht="69.95" customHeight="1">
      <c r="E1181" s="264"/>
      <c r="F1181" s="265"/>
      <c r="G1181" s="263"/>
      <c r="H1181" s="275" t="s">
        <v>37</v>
      </c>
      <c r="I1181" s="486"/>
      <c r="J1181" s="486"/>
      <c r="K1181" s="486"/>
      <c r="L1181" s="486"/>
      <c r="M1181" s="263"/>
      <c r="N1181" s="263"/>
      <c r="O1181" s="275" t="s">
        <v>37</v>
      </c>
      <c r="P1181" s="486"/>
      <c r="Q1181" s="486"/>
      <c r="R1181" s="486"/>
      <c r="S1181" s="486"/>
      <c r="T1181" s="486"/>
      <c r="U1181" s="486"/>
      <c r="V1181" s="263"/>
      <c r="W1181" s="267"/>
      <c r="X1181" s="263"/>
    </row>
    <row r="1182" spans="1:53" ht="69.95" customHeight="1">
      <c r="E1182" s="264"/>
      <c r="F1182" s="265"/>
      <c r="G1182" s="263"/>
      <c r="H1182" s="275" t="s">
        <v>37</v>
      </c>
      <c r="I1182" s="486"/>
      <c r="J1182" s="486"/>
      <c r="K1182" s="486"/>
      <c r="L1182" s="486"/>
      <c r="M1182" s="263"/>
      <c r="N1182" s="263"/>
      <c r="O1182" s="275" t="s">
        <v>37</v>
      </c>
      <c r="P1182" s="486"/>
      <c r="Q1182" s="486"/>
      <c r="R1182" s="486"/>
      <c r="S1182" s="486"/>
      <c r="T1182" s="486"/>
      <c r="U1182" s="486"/>
      <c r="V1182" s="263"/>
      <c r="W1182" s="267"/>
      <c r="X1182" s="263"/>
    </row>
    <row r="1183" spans="1:53" ht="39.950000000000003" customHeight="1" thickBot="1">
      <c r="E1183" s="276"/>
      <c r="F1183" s="277"/>
      <c r="G1183" s="278"/>
      <c r="H1183" s="278"/>
      <c r="I1183" s="278"/>
      <c r="J1183" s="278"/>
      <c r="K1183" s="278"/>
      <c r="L1183" s="278"/>
      <c r="M1183" s="278"/>
      <c r="N1183" s="278"/>
      <c r="O1183" s="278"/>
      <c r="P1183" s="278"/>
      <c r="Q1183" s="278"/>
      <c r="R1183" s="278"/>
      <c r="S1183" s="278"/>
      <c r="T1183" s="279"/>
      <c r="U1183" s="279"/>
      <c r="V1183" s="279"/>
      <c r="W1183" s="280"/>
      <c r="X1183" s="263"/>
    </row>
    <row r="1184" spans="1:53" ht="62.25" thickBot="1"/>
    <row r="1185" spans="1:53" ht="39.950000000000003" customHeight="1">
      <c r="A1185" s="252" t="str">
        <f>CONCATENATE(F1192,F1194,F1196)</f>
        <v>CHB2-3</v>
      </c>
      <c r="E1185" s="259" t="s">
        <v>70</v>
      </c>
      <c r="F1185" s="260">
        <f>VLOOKUP(A1185,'zoznam zapasov'!$A$6:$K$77,3,0)</f>
        <v>60</v>
      </c>
      <c r="G1185" s="261"/>
      <c r="H1185" s="322" t="s">
        <v>501</v>
      </c>
      <c r="I1185" s="261"/>
      <c r="J1185" s="261"/>
      <c r="K1185" s="261"/>
      <c r="L1185" s="261"/>
      <c r="M1185" s="261"/>
      <c r="N1185" s="261"/>
      <c r="O1185" s="261"/>
      <c r="P1185" s="261"/>
      <c r="Q1185" s="261"/>
      <c r="R1185" s="261"/>
      <c r="S1185" s="261"/>
      <c r="T1185" s="261"/>
      <c r="U1185" s="261"/>
      <c r="V1185" s="261" t="s">
        <v>30</v>
      </c>
      <c r="W1185" s="262"/>
      <c r="X1185" s="263"/>
      <c r="Z1185" s="258" t="str">
        <f>CONCATENATE(V1187,":",V1190)</f>
        <v>3:1</v>
      </c>
      <c r="AE1185" s="253" t="s">
        <v>11</v>
      </c>
      <c r="AV1185" s="256" t="str">
        <f>CONCATENATE(AN1187,",",AO1187,",",AP1187,",",AQ1187,",",AR1187,",",AS1187,",",AT1187)</f>
        <v>-6,4,8,8,,,</v>
      </c>
    </row>
    <row r="1186" spans="1:53" ht="39.950000000000003" customHeight="1">
      <c r="E1186" s="264"/>
      <c r="F1186" s="265"/>
      <c r="G1186" s="321" t="s">
        <v>500</v>
      </c>
      <c r="H1186" s="323" t="s">
        <v>502</v>
      </c>
      <c r="I1186" s="263"/>
      <c r="J1186" s="263"/>
      <c r="K1186" s="263"/>
      <c r="L1186" s="263"/>
      <c r="M1186" s="263"/>
      <c r="N1186" s="266">
        <v>1</v>
      </c>
      <c r="O1186" s="266">
        <v>2</v>
      </c>
      <c r="P1186" s="266">
        <v>3</v>
      </c>
      <c r="Q1186" s="266">
        <v>4</v>
      </c>
      <c r="R1186" s="266">
        <v>5</v>
      </c>
      <c r="S1186" s="266">
        <v>6</v>
      </c>
      <c r="T1186" s="266">
        <v>7</v>
      </c>
      <c r="U1186" s="263"/>
      <c r="V1186" s="266" t="s">
        <v>31</v>
      </c>
      <c r="W1186" s="267"/>
      <c r="X1186" s="263"/>
      <c r="AE1186" s="253" t="s">
        <v>68</v>
      </c>
      <c r="AV1186" s="256" t="str">
        <f>CONCATENATE(AN1188,",",AO1188,",",AP1188,",",AQ1188,",",AR1188,",",AS1188,",",AT1188)</f>
        <v>6,-4,-8,-8,,,</v>
      </c>
    </row>
    <row r="1187" spans="1:53" ht="39.950000000000003" customHeight="1">
      <c r="A1187" s="252" t="str">
        <f>CONCATENATE(F1192,VLOOKUP(F1194,$AZ$7:$BA$14,2,0),LEFT(F1196,1))</f>
        <v>CH22</v>
      </c>
      <c r="E1187" s="264" t="s">
        <v>29</v>
      </c>
      <c r="F1187" s="265">
        <f>VLOOKUP(A1185,'zoznam zapasov'!$A$6:$K$77,11,0)</f>
        <v>4</v>
      </c>
      <c r="G1187" s="508"/>
      <c r="H1187" s="495"/>
      <c r="I1187" s="487" t="str">
        <f>IF(ISERROR(VLOOKUP(A1187,vylosovanie!$A$8:$J$68,6,0))=TRUE,"",VLOOKUP(A1187,vylosovanie!$A$8:$J$68,6,0))</f>
        <v>SUCHA Tomáš</v>
      </c>
      <c r="J1187" s="487"/>
      <c r="K1187" s="487"/>
      <c r="L1187" s="487"/>
      <c r="M1187" s="263"/>
      <c r="N1187" s="489">
        <v>6</v>
      </c>
      <c r="O1187" s="489">
        <v>11</v>
      </c>
      <c r="P1187" s="489">
        <v>11</v>
      </c>
      <c r="Q1187" s="489">
        <v>11</v>
      </c>
      <c r="R1187" s="489"/>
      <c r="S1187" s="489"/>
      <c r="T1187" s="489"/>
      <c r="U1187" s="263"/>
      <c r="V1187" s="493">
        <f>IF(SUM(AF1187:AL1188)=0,"",SUM(AF1187:AL1187))</f>
        <v>3</v>
      </c>
      <c r="W1187" s="267"/>
      <c r="X1187" s="263"/>
      <c r="AE1187" s="253" t="str">
        <f>VLOOKUP(I1187,vylosovanie!$F$8:$L$190,7,0)</f>
        <v>CH22</v>
      </c>
      <c r="AF1187" s="268">
        <f>IF(N1187&gt;N1190,1,0)</f>
        <v>0</v>
      </c>
      <c r="AG1187" s="268">
        <f t="shared" ref="AG1187" si="816">IF(O1187&gt;O1190,1,0)</f>
        <v>1</v>
      </c>
      <c r="AH1187" s="268">
        <f t="shared" ref="AH1187" si="817">IF(P1187&gt;P1190,1,0)</f>
        <v>1</v>
      </c>
      <c r="AI1187" s="268">
        <f t="shared" ref="AI1187" si="818">IF(Q1187&gt;Q1190,1,0)</f>
        <v>1</v>
      </c>
      <c r="AJ1187" s="268">
        <f t="shared" ref="AJ1187" si="819">IF(R1187&gt;R1190,1,0)</f>
        <v>0</v>
      </c>
      <c r="AK1187" s="268">
        <f t="shared" ref="AK1187" si="820">IF(S1187&gt;S1190,1,0)</f>
        <v>0</v>
      </c>
      <c r="AL1187" s="268">
        <f t="shared" ref="AL1187" si="821">IF(T1187&gt;T1190,1,0)</f>
        <v>0</v>
      </c>
      <c r="AN1187" s="268">
        <f t="shared" ref="AN1187:AT1187" si="822">IF(ISBLANK(N1187)=TRUE,"",IF(AF1187=1,N1190,-N1187))</f>
        <v>-6</v>
      </c>
      <c r="AO1187" s="268">
        <f t="shared" si="822"/>
        <v>4</v>
      </c>
      <c r="AP1187" s="268">
        <f t="shared" si="822"/>
        <v>8</v>
      </c>
      <c r="AQ1187" s="268">
        <f t="shared" si="822"/>
        <v>8</v>
      </c>
      <c r="AR1187" s="268" t="str">
        <f t="shared" si="822"/>
        <v/>
      </c>
      <c r="AS1187" s="268" t="str">
        <f t="shared" si="822"/>
        <v/>
      </c>
      <c r="AT1187" s="268" t="str">
        <f t="shared" si="822"/>
        <v/>
      </c>
      <c r="AZ1187" s="269" t="s">
        <v>12</v>
      </c>
      <c r="BA1187" s="269">
        <v>1</v>
      </c>
    </row>
    <row r="1188" spans="1:53" ht="39.950000000000003" customHeight="1">
      <c r="E1188" s="264"/>
      <c r="F1188" s="265"/>
      <c r="G1188" s="509"/>
      <c r="H1188" s="495"/>
      <c r="I1188" s="487"/>
      <c r="J1188" s="487"/>
      <c r="K1188" s="487"/>
      <c r="L1188" s="487"/>
      <c r="M1188" s="263"/>
      <c r="N1188" s="490"/>
      <c r="O1188" s="490"/>
      <c r="P1188" s="490"/>
      <c r="Q1188" s="490"/>
      <c r="R1188" s="490"/>
      <c r="S1188" s="490"/>
      <c r="T1188" s="490"/>
      <c r="U1188" s="263"/>
      <c r="V1188" s="493"/>
      <c r="W1188" s="267"/>
      <c r="X1188" s="263"/>
      <c r="AE1188" s="253" t="str">
        <f>VLOOKUP(I1190,vylosovanie!$F$8:$L$190,7,0)</f>
        <v>CH23</v>
      </c>
      <c r="AF1188" s="268">
        <f>IF(N1190&gt;N1187,1,0)</f>
        <v>1</v>
      </c>
      <c r="AG1188" s="268">
        <f t="shared" ref="AG1188" si="823">IF(O1190&gt;O1187,1,0)</f>
        <v>0</v>
      </c>
      <c r="AH1188" s="268">
        <f t="shared" ref="AH1188" si="824">IF(P1190&gt;P1187,1,0)</f>
        <v>0</v>
      </c>
      <c r="AI1188" s="268">
        <f t="shared" ref="AI1188" si="825">IF(Q1190&gt;Q1187,1,0)</f>
        <v>0</v>
      </c>
      <c r="AJ1188" s="268">
        <f t="shared" ref="AJ1188" si="826">IF(R1190&gt;R1187,1,0)</f>
        <v>0</v>
      </c>
      <c r="AK1188" s="268">
        <f t="shared" ref="AK1188" si="827">IF(S1190&gt;S1187,1,0)</f>
        <v>0</v>
      </c>
      <c r="AL1188" s="268">
        <f t="shared" ref="AL1188" si="828">IF(T1190&gt;T1187,1,0)</f>
        <v>0</v>
      </c>
      <c r="AN1188" s="268">
        <f t="shared" ref="AN1188:AT1188" si="829">IF(ISBLANK(N1190)=TRUE,"",IF(AF1188=1,N1187,-N1190))</f>
        <v>6</v>
      </c>
      <c r="AO1188" s="268">
        <f t="shared" si="829"/>
        <v>-4</v>
      </c>
      <c r="AP1188" s="268">
        <f t="shared" si="829"/>
        <v>-8</v>
      </c>
      <c r="AQ1188" s="268">
        <f t="shared" si="829"/>
        <v>-8</v>
      </c>
      <c r="AR1188" s="268" t="str">
        <f t="shared" si="829"/>
        <v/>
      </c>
      <c r="AS1188" s="268" t="str">
        <f t="shared" si="829"/>
        <v/>
      </c>
      <c r="AT1188" s="268" t="str">
        <f t="shared" si="829"/>
        <v/>
      </c>
      <c r="AZ1188" s="269" t="s">
        <v>18</v>
      </c>
      <c r="BA1188" s="269">
        <v>2</v>
      </c>
    </row>
    <row r="1189" spans="1:53" ht="39.950000000000003" customHeight="1">
      <c r="E1189" s="264" t="s">
        <v>35</v>
      </c>
      <c r="F1189" s="265" t="str">
        <f>VLOOKUP(A1185,'zoznam zapasov'!$A$6:$K$77,9,0)</f>
        <v>So</v>
      </c>
      <c r="G1189" s="263"/>
      <c r="H1189" s="263"/>
      <c r="I1189" s="263"/>
      <c r="J1189" s="263"/>
      <c r="K1189" s="263"/>
      <c r="L1189" s="263"/>
      <c r="M1189" s="263"/>
      <c r="N1189" s="263"/>
      <c r="O1189" s="263"/>
      <c r="P1189" s="263"/>
      <c r="Q1189" s="263"/>
      <c r="R1189" s="263"/>
      <c r="S1189" s="263"/>
      <c r="T1189" s="263"/>
      <c r="U1189" s="263"/>
      <c r="V1189" s="263"/>
      <c r="W1189" s="267"/>
      <c r="X1189" s="263"/>
      <c r="AZ1189" s="269" t="s">
        <v>38</v>
      </c>
      <c r="BA1189" s="269">
        <v>3</v>
      </c>
    </row>
    <row r="1190" spans="1:53" ht="39.950000000000003" customHeight="1">
      <c r="A1190" s="252" t="str">
        <f>CONCATENATE(F1192,VLOOKUP(F1194,$AZ$7:$BA$14,2,0),RIGHT(F1196,1))</f>
        <v>CH23</v>
      </c>
      <c r="E1190" s="264" t="s">
        <v>28</v>
      </c>
      <c r="F1190" s="270" t="str">
        <f>VLOOKUP(A1185,'zoznam zapasov'!$A$6:$K$77,10,0)</f>
        <v>12.25</v>
      </c>
      <c r="G1190" s="508"/>
      <c r="H1190" s="486"/>
      <c r="I1190" s="487" t="str">
        <f>IF(ISERROR(VLOOKUP(A1190,vylosovanie!$A$8:$J$68,6,0))=TRUE,"",VLOOKUP(A1190,vylosovanie!$A$8:$J$68,6,0))</f>
        <v>KAPUSTA Martin</v>
      </c>
      <c r="J1190" s="487"/>
      <c r="K1190" s="487"/>
      <c r="L1190" s="487"/>
      <c r="M1190" s="263"/>
      <c r="N1190" s="489">
        <v>11</v>
      </c>
      <c r="O1190" s="489">
        <v>4</v>
      </c>
      <c r="P1190" s="489">
        <v>8</v>
      </c>
      <c r="Q1190" s="489">
        <v>8</v>
      </c>
      <c r="R1190" s="489"/>
      <c r="S1190" s="489"/>
      <c r="T1190" s="489"/>
      <c r="U1190" s="263"/>
      <c r="V1190" s="493">
        <f>IF(SUM(AF1187:AL1188)=0,"",SUM(AF1188:AL1188))</f>
        <v>1</v>
      </c>
      <c r="W1190" s="267"/>
      <c r="X1190" s="263"/>
      <c r="AZ1190" s="269" t="s">
        <v>39</v>
      </c>
      <c r="BA1190" s="269">
        <v>4</v>
      </c>
    </row>
    <row r="1191" spans="1:53" ht="39.950000000000003" customHeight="1">
      <c r="E1191" s="271"/>
      <c r="F1191" s="272"/>
      <c r="G1191" s="509"/>
      <c r="H1191" s="486"/>
      <c r="I1191" s="487"/>
      <c r="J1191" s="487"/>
      <c r="K1191" s="487"/>
      <c r="L1191" s="487"/>
      <c r="M1191" s="263"/>
      <c r="N1191" s="490"/>
      <c r="O1191" s="490"/>
      <c r="P1191" s="490"/>
      <c r="Q1191" s="490"/>
      <c r="R1191" s="490"/>
      <c r="S1191" s="490"/>
      <c r="T1191" s="490"/>
      <c r="U1191" s="263"/>
      <c r="V1191" s="493"/>
      <c r="W1191" s="267"/>
      <c r="X1191" s="263"/>
      <c r="AZ1191" s="269" t="s">
        <v>40</v>
      </c>
      <c r="BA1191" s="269">
        <v>5</v>
      </c>
    </row>
    <row r="1192" spans="1:53" ht="39.950000000000003" customHeight="1">
      <c r="E1192" s="264" t="s">
        <v>66</v>
      </c>
      <c r="F1192" s="265" t="s">
        <v>65</v>
      </c>
      <c r="G1192" s="263"/>
      <c r="H1192" s="263"/>
      <c r="I1192" s="263"/>
      <c r="J1192" s="263"/>
      <c r="K1192" s="263"/>
      <c r="L1192" s="263"/>
      <c r="M1192" s="263"/>
      <c r="N1192" s="263"/>
      <c r="O1192" s="263"/>
      <c r="P1192" s="263"/>
      <c r="Q1192" s="263"/>
      <c r="R1192" s="263"/>
      <c r="S1192" s="263"/>
      <c r="T1192" s="263"/>
      <c r="U1192" s="263"/>
      <c r="V1192" s="263"/>
      <c r="W1192" s="267"/>
      <c r="X1192" s="263"/>
      <c r="AZ1192" s="269" t="s">
        <v>41</v>
      </c>
      <c r="BA1192" s="269">
        <v>6</v>
      </c>
    </row>
    <row r="1193" spans="1:53" ht="39.950000000000003" customHeight="1">
      <c r="E1193" s="271"/>
      <c r="F1193" s="272"/>
      <c r="G1193" s="263"/>
      <c r="H1193" s="263"/>
      <c r="I1193" s="263" t="s">
        <v>32</v>
      </c>
      <c r="J1193" s="263"/>
      <c r="K1193" s="263"/>
      <c r="L1193" s="263"/>
      <c r="M1193" s="263"/>
      <c r="N1193" s="273"/>
      <c r="O1193" s="266"/>
      <c r="P1193" s="266" t="s">
        <v>34</v>
      </c>
      <c r="Q1193" s="266"/>
      <c r="R1193" s="266"/>
      <c r="S1193" s="266"/>
      <c r="T1193" s="266"/>
      <c r="U1193" s="263"/>
      <c r="V1193" s="263"/>
      <c r="W1193" s="267"/>
      <c r="X1193" s="263"/>
      <c r="AZ1193" s="269" t="s">
        <v>42</v>
      </c>
      <c r="BA1193" s="269">
        <v>7</v>
      </c>
    </row>
    <row r="1194" spans="1:53" ht="39.950000000000003" customHeight="1">
      <c r="E1194" s="264" t="s">
        <v>26</v>
      </c>
      <c r="F1194" s="265" t="s">
        <v>18</v>
      </c>
      <c r="G1194" s="263"/>
      <c r="H1194" s="263"/>
      <c r="I1194" s="486"/>
      <c r="J1194" s="486"/>
      <c r="K1194" s="486"/>
      <c r="L1194" s="486"/>
      <c r="M1194" s="263"/>
      <c r="N1194" s="486" t="str">
        <f>IF(V1187&gt;V1190,I1187,IF(V1190&gt;V1187,I1190,""))</f>
        <v>SUCHA Tomáš</v>
      </c>
      <c r="O1194" s="486"/>
      <c r="P1194" s="486"/>
      <c r="Q1194" s="486"/>
      <c r="R1194" s="486"/>
      <c r="S1194" s="486"/>
      <c r="T1194" s="263"/>
      <c r="U1194" s="263"/>
      <c r="V1194" s="263"/>
      <c r="W1194" s="267"/>
      <c r="X1194" s="263"/>
      <c r="AZ1194" s="269" t="s">
        <v>43</v>
      </c>
      <c r="BA1194" s="269">
        <v>8</v>
      </c>
    </row>
    <row r="1195" spans="1:53" ht="39.950000000000003" customHeight="1">
      <c r="E1195" s="271"/>
      <c r="F1195" s="272"/>
      <c r="G1195" s="263"/>
      <c r="H1195" s="263"/>
      <c r="I1195" s="486"/>
      <c r="J1195" s="486"/>
      <c r="K1195" s="486"/>
      <c r="L1195" s="486"/>
      <c r="M1195" s="263"/>
      <c r="N1195" s="486"/>
      <c r="O1195" s="486"/>
      <c r="P1195" s="486"/>
      <c r="Q1195" s="486"/>
      <c r="R1195" s="486"/>
      <c r="S1195" s="486"/>
      <c r="T1195" s="263"/>
      <c r="U1195" s="263"/>
      <c r="V1195" s="263"/>
      <c r="W1195" s="267"/>
      <c r="X1195" s="263"/>
    </row>
    <row r="1196" spans="1:53" ht="39.950000000000003" customHeight="1">
      <c r="E1196" s="264" t="s">
        <v>27</v>
      </c>
      <c r="F1196" s="274" t="s">
        <v>25</v>
      </c>
      <c r="G1196" s="263"/>
      <c r="H1196" s="263"/>
      <c r="I1196" s="263"/>
      <c r="J1196" s="263"/>
      <c r="K1196" s="263"/>
      <c r="L1196" s="263"/>
      <c r="M1196" s="263"/>
      <c r="N1196" s="263"/>
      <c r="O1196" s="263"/>
      <c r="P1196" s="263"/>
      <c r="Q1196" s="263"/>
      <c r="R1196" s="263"/>
      <c r="S1196" s="263"/>
      <c r="T1196" s="263"/>
      <c r="U1196" s="263"/>
      <c r="V1196" s="263"/>
      <c r="W1196" s="267"/>
      <c r="X1196" s="263"/>
    </row>
    <row r="1197" spans="1:53" ht="39.950000000000003" customHeight="1">
      <c r="E1197" s="271"/>
      <c r="F1197" s="272"/>
      <c r="G1197" s="263"/>
      <c r="H1197" s="263" t="s">
        <v>33</v>
      </c>
      <c r="I1197" s="263"/>
      <c r="J1197" s="263"/>
      <c r="K1197" s="263"/>
      <c r="L1197" s="263"/>
      <c r="M1197" s="263"/>
      <c r="N1197" s="263"/>
      <c r="O1197" s="263"/>
      <c r="P1197" s="263"/>
      <c r="Q1197" s="263"/>
      <c r="R1197" s="263"/>
      <c r="S1197" s="263"/>
      <c r="T1197" s="263"/>
      <c r="U1197" s="263"/>
      <c r="V1197" s="263"/>
      <c r="W1197" s="267"/>
      <c r="X1197" s="263"/>
    </row>
    <row r="1198" spans="1:53" ht="39.950000000000003" customHeight="1">
      <c r="E1198" s="271"/>
      <c r="F1198" s="272"/>
      <c r="G1198" s="263"/>
      <c r="H1198" s="263"/>
      <c r="I1198" s="263"/>
      <c r="J1198" s="263"/>
      <c r="K1198" s="263"/>
      <c r="L1198" s="263"/>
      <c r="M1198" s="263"/>
      <c r="N1198" s="263"/>
      <c r="O1198" s="263"/>
      <c r="P1198" s="263"/>
      <c r="Q1198" s="263"/>
      <c r="R1198" s="263"/>
      <c r="S1198" s="263"/>
      <c r="T1198" s="263"/>
      <c r="U1198" s="263"/>
      <c r="V1198" s="263"/>
      <c r="W1198" s="267"/>
      <c r="X1198" s="263"/>
    </row>
    <row r="1199" spans="1:53" ht="39.950000000000003" customHeight="1">
      <c r="E1199" s="271"/>
      <c r="F1199" s="272"/>
      <c r="G1199" s="263"/>
      <c r="H1199" s="263"/>
      <c r="I1199" s="496" t="str">
        <f>I1187</f>
        <v>SUCHA Tomáš</v>
      </c>
      <c r="J1199" s="496"/>
      <c r="K1199" s="496"/>
      <c r="L1199" s="496"/>
      <c r="M1199" s="263"/>
      <c r="N1199" s="263"/>
      <c r="O1199" s="263"/>
      <c r="P1199" s="496" t="str">
        <f>I1190</f>
        <v>KAPUSTA Martin</v>
      </c>
      <c r="Q1199" s="496"/>
      <c r="R1199" s="496"/>
      <c r="S1199" s="496"/>
      <c r="T1199" s="497"/>
      <c r="U1199" s="497"/>
      <c r="V1199" s="263"/>
      <c r="W1199" s="267"/>
      <c r="X1199" s="263"/>
    </row>
    <row r="1200" spans="1:53" ht="69.95" customHeight="1">
      <c r="E1200" s="264"/>
      <c r="F1200" s="265"/>
      <c r="G1200" s="263"/>
      <c r="H1200" s="275" t="s">
        <v>36</v>
      </c>
      <c r="I1200" s="483"/>
      <c r="J1200" s="494"/>
      <c r="K1200" s="494"/>
      <c r="L1200" s="495"/>
      <c r="M1200" s="263"/>
      <c r="N1200" s="263"/>
      <c r="O1200" s="275" t="s">
        <v>36</v>
      </c>
      <c r="P1200" s="486"/>
      <c r="Q1200" s="486"/>
      <c r="R1200" s="486"/>
      <c r="S1200" s="486"/>
      <c r="T1200" s="486"/>
      <c r="U1200" s="486"/>
      <c r="V1200" s="263"/>
      <c r="W1200" s="267"/>
      <c r="X1200" s="263"/>
    </row>
    <row r="1201" spans="1:53" ht="69.95" customHeight="1">
      <c r="E1201" s="264"/>
      <c r="F1201" s="265"/>
      <c r="G1201" s="263"/>
      <c r="H1201" s="275" t="s">
        <v>37</v>
      </c>
      <c r="I1201" s="486"/>
      <c r="J1201" s="486"/>
      <c r="K1201" s="486"/>
      <c r="L1201" s="486"/>
      <c r="M1201" s="263"/>
      <c r="N1201" s="263"/>
      <c r="O1201" s="275" t="s">
        <v>37</v>
      </c>
      <c r="P1201" s="486"/>
      <c r="Q1201" s="486"/>
      <c r="R1201" s="486"/>
      <c r="S1201" s="486"/>
      <c r="T1201" s="486"/>
      <c r="U1201" s="486"/>
      <c r="V1201" s="263"/>
      <c r="W1201" s="267"/>
      <c r="X1201" s="263"/>
    </row>
    <row r="1202" spans="1:53" ht="69.95" customHeight="1">
      <c r="E1202" s="264"/>
      <c r="F1202" s="265"/>
      <c r="G1202" s="263"/>
      <c r="H1202" s="275" t="s">
        <v>37</v>
      </c>
      <c r="I1202" s="486"/>
      <c r="J1202" s="486"/>
      <c r="K1202" s="486"/>
      <c r="L1202" s="486"/>
      <c r="M1202" s="263"/>
      <c r="N1202" s="263"/>
      <c r="O1202" s="275" t="s">
        <v>37</v>
      </c>
      <c r="P1202" s="486"/>
      <c r="Q1202" s="486"/>
      <c r="R1202" s="486"/>
      <c r="S1202" s="486"/>
      <c r="T1202" s="486"/>
      <c r="U1202" s="486"/>
      <c r="V1202" s="263"/>
      <c r="W1202" s="267"/>
      <c r="X1202" s="263"/>
    </row>
    <row r="1203" spans="1:53" ht="39.950000000000003" customHeight="1" thickBot="1">
      <c r="E1203" s="276"/>
      <c r="F1203" s="277"/>
      <c r="G1203" s="278"/>
      <c r="H1203" s="278"/>
      <c r="I1203" s="278"/>
      <c r="J1203" s="278"/>
      <c r="K1203" s="278"/>
      <c r="L1203" s="278"/>
      <c r="M1203" s="278"/>
      <c r="N1203" s="278"/>
      <c r="O1203" s="278"/>
      <c r="P1203" s="278"/>
      <c r="Q1203" s="278"/>
      <c r="R1203" s="278"/>
      <c r="S1203" s="278"/>
      <c r="T1203" s="279"/>
      <c r="U1203" s="279"/>
      <c r="V1203" s="279"/>
      <c r="W1203" s="280"/>
      <c r="X1203" s="263"/>
    </row>
    <row r="1204" spans="1:53" ht="62.25" thickBot="1"/>
    <row r="1205" spans="1:53" ht="39.950000000000003" customHeight="1">
      <c r="A1205" s="252" t="str">
        <f>CONCATENATE(F1212,F1214,F1216)</f>
        <v>CHC1-4</v>
      </c>
      <c r="E1205" s="259" t="s">
        <v>70</v>
      </c>
      <c r="F1205" s="260">
        <f>VLOOKUP(A1205,'zoznam zapasov'!$A$6:$K$77,3,0)</f>
        <v>61</v>
      </c>
      <c r="G1205" s="261"/>
      <c r="H1205" s="322" t="s">
        <v>501</v>
      </c>
      <c r="I1205" s="261"/>
      <c r="J1205" s="261"/>
      <c r="K1205" s="261"/>
      <c r="L1205" s="261"/>
      <c r="M1205" s="261"/>
      <c r="N1205" s="261"/>
      <c r="O1205" s="261"/>
      <c r="P1205" s="261"/>
      <c r="Q1205" s="261"/>
      <c r="R1205" s="261"/>
      <c r="S1205" s="261"/>
      <c r="T1205" s="261"/>
      <c r="U1205" s="261"/>
      <c r="V1205" s="261" t="s">
        <v>30</v>
      </c>
      <c r="W1205" s="262"/>
      <c r="X1205" s="263"/>
      <c r="Z1205" s="258" t="str">
        <f>CONCATENATE(V1207,":",V1210)</f>
        <v>3:0</v>
      </c>
      <c r="AE1205" s="253" t="s">
        <v>11</v>
      </c>
      <c r="AV1205" s="256" t="str">
        <f>CONCATENATE(AN1207,",",AO1207,",",AP1207,",",AQ1207,",",AR1207,",",AS1207,",",AT1207)</f>
        <v>9,9,3,,,,</v>
      </c>
    </row>
    <row r="1206" spans="1:53" ht="39.950000000000003" customHeight="1">
      <c r="E1206" s="264"/>
      <c r="F1206" s="265"/>
      <c r="G1206" s="321" t="s">
        <v>500</v>
      </c>
      <c r="H1206" s="323" t="s">
        <v>502</v>
      </c>
      <c r="I1206" s="263"/>
      <c r="J1206" s="263"/>
      <c r="K1206" s="263"/>
      <c r="L1206" s="263"/>
      <c r="M1206" s="263"/>
      <c r="N1206" s="266">
        <v>1</v>
      </c>
      <c r="O1206" s="266">
        <v>2</v>
      </c>
      <c r="P1206" s="266">
        <v>3</v>
      </c>
      <c r="Q1206" s="266">
        <v>4</v>
      </c>
      <c r="R1206" s="266">
        <v>5</v>
      </c>
      <c r="S1206" s="266">
        <v>6</v>
      </c>
      <c r="T1206" s="266">
        <v>7</v>
      </c>
      <c r="U1206" s="263"/>
      <c r="V1206" s="266" t="s">
        <v>31</v>
      </c>
      <c r="W1206" s="267"/>
      <c r="X1206" s="263"/>
      <c r="AE1206" s="253" t="s">
        <v>68</v>
      </c>
      <c r="AV1206" s="256" t="str">
        <f>CONCATENATE(AN1208,",",AO1208,",",AP1208,",",AQ1208,",",AR1208,",",AS1208,",",AT1208)</f>
        <v>-9,-9,-3,,,,</v>
      </c>
    </row>
    <row r="1207" spans="1:53" ht="39.950000000000003" customHeight="1">
      <c r="A1207" s="252" t="str">
        <f>CONCATENATE(F1212,VLOOKUP(F1214,$AZ$7:$BA$14,2,0),LEFT(F1216,1))</f>
        <v>CH31</v>
      </c>
      <c r="E1207" s="264" t="s">
        <v>29</v>
      </c>
      <c r="F1207" s="265">
        <f>VLOOKUP(A1205,'zoznam zapasov'!$A$6:$K$77,11,0)</f>
        <v>5</v>
      </c>
      <c r="G1207" s="508"/>
      <c r="H1207" s="495"/>
      <c r="I1207" s="487" t="str">
        <f>IF(ISERROR(VLOOKUP(A1207,vylosovanie!$A$8:$J$68,6,0))=TRUE,"",VLOOKUP(A1207,vylosovanie!$A$8:$J$68,6,0))</f>
        <v>FEČO Samuel</v>
      </c>
      <c r="J1207" s="487"/>
      <c r="K1207" s="487"/>
      <c r="L1207" s="487"/>
      <c r="M1207" s="263"/>
      <c r="N1207" s="489">
        <v>11</v>
      </c>
      <c r="O1207" s="489">
        <v>11</v>
      </c>
      <c r="P1207" s="489">
        <v>11</v>
      </c>
      <c r="Q1207" s="489"/>
      <c r="R1207" s="489"/>
      <c r="S1207" s="489"/>
      <c r="T1207" s="489"/>
      <c r="U1207" s="263"/>
      <c r="V1207" s="493">
        <f>IF(SUM(AF1207:AL1208)=0,"",SUM(AF1207:AL1207))</f>
        <v>3</v>
      </c>
      <c r="W1207" s="267"/>
      <c r="X1207" s="263"/>
      <c r="AE1207" s="253" t="str">
        <f>VLOOKUP(I1207,vylosovanie!$F$8:$L$190,7,0)</f>
        <v>CH31</v>
      </c>
      <c r="AF1207" s="268">
        <f>IF(N1207&gt;N1210,1,0)</f>
        <v>1</v>
      </c>
      <c r="AG1207" s="268">
        <f t="shared" ref="AG1207" si="830">IF(O1207&gt;O1210,1,0)</f>
        <v>1</v>
      </c>
      <c r="AH1207" s="268">
        <f t="shared" ref="AH1207" si="831">IF(P1207&gt;P1210,1,0)</f>
        <v>1</v>
      </c>
      <c r="AI1207" s="268">
        <f t="shared" ref="AI1207" si="832">IF(Q1207&gt;Q1210,1,0)</f>
        <v>0</v>
      </c>
      <c r="AJ1207" s="268">
        <f t="shared" ref="AJ1207" si="833">IF(R1207&gt;R1210,1,0)</f>
        <v>0</v>
      </c>
      <c r="AK1207" s="268">
        <f t="shared" ref="AK1207" si="834">IF(S1207&gt;S1210,1,0)</f>
        <v>0</v>
      </c>
      <c r="AL1207" s="268">
        <f t="shared" ref="AL1207" si="835">IF(T1207&gt;T1210,1,0)</f>
        <v>0</v>
      </c>
      <c r="AN1207" s="268">
        <f t="shared" ref="AN1207:AT1207" si="836">IF(ISBLANK(N1207)=TRUE,"",IF(AF1207=1,N1210,-N1207))</f>
        <v>9</v>
      </c>
      <c r="AO1207" s="268">
        <f t="shared" si="836"/>
        <v>9</v>
      </c>
      <c r="AP1207" s="268">
        <f t="shared" si="836"/>
        <v>3</v>
      </c>
      <c r="AQ1207" s="268" t="str">
        <f t="shared" si="836"/>
        <v/>
      </c>
      <c r="AR1207" s="268" t="str">
        <f t="shared" si="836"/>
        <v/>
      </c>
      <c r="AS1207" s="268" t="str">
        <f t="shared" si="836"/>
        <v/>
      </c>
      <c r="AT1207" s="268" t="str">
        <f t="shared" si="836"/>
        <v/>
      </c>
      <c r="AZ1207" s="269" t="s">
        <v>12</v>
      </c>
      <c r="BA1207" s="269">
        <v>1</v>
      </c>
    </row>
    <row r="1208" spans="1:53" ht="39.950000000000003" customHeight="1">
      <c r="E1208" s="264"/>
      <c r="F1208" s="265"/>
      <c r="G1208" s="509"/>
      <c r="H1208" s="495"/>
      <c r="I1208" s="487"/>
      <c r="J1208" s="487"/>
      <c r="K1208" s="487"/>
      <c r="L1208" s="487"/>
      <c r="M1208" s="263"/>
      <c r="N1208" s="490"/>
      <c r="O1208" s="490"/>
      <c r="P1208" s="490"/>
      <c r="Q1208" s="490"/>
      <c r="R1208" s="490"/>
      <c r="S1208" s="490"/>
      <c r="T1208" s="490"/>
      <c r="U1208" s="263"/>
      <c r="V1208" s="493"/>
      <c r="W1208" s="267"/>
      <c r="X1208" s="263"/>
      <c r="AE1208" s="253" t="str">
        <f>VLOOKUP(I1210,vylosovanie!$F$8:$L$190,7,0)</f>
        <v>CH34</v>
      </c>
      <c r="AF1208" s="268">
        <f>IF(N1210&gt;N1207,1,0)</f>
        <v>0</v>
      </c>
      <c r="AG1208" s="268">
        <f t="shared" ref="AG1208" si="837">IF(O1210&gt;O1207,1,0)</f>
        <v>0</v>
      </c>
      <c r="AH1208" s="268">
        <f t="shared" ref="AH1208" si="838">IF(P1210&gt;P1207,1,0)</f>
        <v>0</v>
      </c>
      <c r="AI1208" s="268">
        <f t="shared" ref="AI1208" si="839">IF(Q1210&gt;Q1207,1,0)</f>
        <v>0</v>
      </c>
      <c r="AJ1208" s="268">
        <f t="shared" ref="AJ1208" si="840">IF(R1210&gt;R1207,1,0)</f>
        <v>0</v>
      </c>
      <c r="AK1208" s="268">
        <f t="shared" ref="AK1208" si="841">IF(S1210&gt;S1207,1,0)</f>
        <v>0</v>
      </c>
      <c r="AL1208" s="268">
        <f t="shared" ref="AL1208" si="842">IF(T1210&gt;T1207,1,0)</f>
        <v>0</v>
      </c>
      <c r="AN1208" s="268">
        <f t="shared" ref="AN1208:AT1208" si="843">IF(ISBLANK(N1210)=TRUE,"",IF(AF1208=1,N1207,-N1210))</f>
        <v>-9</v>
      </c>
      <c r="AO1208" s="268">
        <f t="shared" si="843"/>
        <v>-9</v>
      </c>
      <c r="AP1208" s="268">
        <f t="shared" si="843"/>
        <v>-3</v>
      </c>
      <c r="AQ1208" s="268" t="str">
        <f t="shared" si="843"/>
        <v/>
      </c>
      <c r="AR1208" s="268" t="str">
        <f t="shared" si="843"/>
        <v/>
      </c>
      <c r="AS1208" s="268" t="str">
        <f t="shared" si="843"/>
        <v/>
      </c>
      <c r="AT1208" s="268" t="str">
        <f t="shared" si="843"/>
        <v/>
      </c>
      <c r="AZ1208" s="269" t="s">
        <v>18</v>
      </c>
      <c r="BA1208" s="269">
        <v>2</v>
      </c>
    </row>
    <row r="1209" spans="1:53" ht="39.950000000000003" customHeight="1">
      <c r="E1209" s="264" t="s">
        <v>35</v>
      </c>
      <c r="F1209" s="265" t="str">
        <f>VLOOKUP(A1205,'zoznam zapasov'!$A$6:$K$77,9,0)</f>
        <v>So</v>
      </c>
      <c r="G1209" s="263"/>
      <c r="H1209" s="263"/>
      <c r="I1209" s="263"/>
      <c r="J1209" s="263"/>
      <c r="K1209" s="263"/>
      <c r="L1209" s="263"/>
      <c r="M1209" s="263"/>
      <c r="N1209" s="263"/>
      <c r="O1209" s="263"/>
      <c r="P1209" s="263"/>
      <c r="Q1209" s="263"/>
      <c r="R1209" s="263"/>
      <c r="S1209" s="263"/>
      <c r="T1209" s="263"/>
      <c r="U1209" s="263"/>
      <c r="V1209" s="263"/>
      <c r="W1209" s="267"/>
      <c r="X1209" s="263"/>
      <c r="AZ1209" s="269" t="s">
        <v>38</v>
      </c>
      <c r="BA1209" s="269">
        <v>3</v>
      </c>
    </row>
    <row r="1210" spans="1:53" ht="39.950000000000003" customHeight="1">
      <c r="A1210" s="252" t="str">
        <f>CONCATENATE(F1212,VLOOKUP(F1214,$AZ$7:$BA$14,2,0),RIGHT(F1216,1))</f>
        <v>CH34</v>
      </c>
      <c r="E1210" s="264" t="s">
        <v>28</v>
      </c>
      <c r="F1210" s="270" t="str">
        <f>VLOOKUP(A1205,'zoznam zapasov'!$A$6:$K$77,10,0)</f>
        <v>12.25</v>
      </c>
      <c r="G1210" s="508"/>
      <c r="H1210" s="486"/>
      <c r="I1210" s="487" t="str">
        <f>IF(ISERROR(VLOOKUP(A1210,vylosovanie!$A$8:$J$68,6,0))=TRUE,"",VLOOKUP(A1210,vylosovanie!$A$8:$J$68,6,0))</f>
        <v>KLUČÁR Matej</v>
      </c>
      <c r="J1210" s="487"/>
      <c r="K1210" s="487"/>
      <c r="L1210" s="487"/>
      <c r="M1210" s="263"/>
      <c r="N1210" s="489">
        <v>9</v>
      </c>
      <c r="O1210" s="489">
        <v>9</v>
      </c>
      <c r="P1210" s="489">
        <v>3</v>
      </c>
      <c r="Q1210" s="489"/>
      <c r="R1210" s="489"/>
      <c r="S1210" s="489"/>
      <c r="T1210" s="489"/>
      <c r="U1210" s="263"/>
      <c r="V1210" s="493">
        <f>IF(SUM(AF1207:AL1208)=0,"",SUM(AF1208:AL1208))</f>
        <v>0</v>
      </c>
      <c r="W1210" s="267"/>
      <c r="X1210" s="263"/>
      <c r="AZ1210" s="269" t="s">
        <v>39</v>
      </c>
      <c r="BA1210" s="269">
        <v>4</v>
      </c>
    </row>
    <row r="1211" spans="1:53" ht="39.950000000000003" customHeight="1">
      <c r="E1211" s="271"/>
      <c r="F1211" s="272"/>
      <c r="G1211" s="509"/>
      <c r="H1211" s="486"/>
      <c r="I1211" s="487"/>
      <c r="J1211" s="487"/>
      <c r="K1211" s="487"/>
      <c r="L1211" s="487"/>
      <c r="M1211" s="263"/>
      <c r="N1211" s="490"/>
      <c r="O1211" s="490"/>
      <c r="P1211" s="490"/>
      <c r="Q1211" s="490"/>
      <c r="R1211" s="490"/>
      <c r="S1211" s="490"/>
      <c r="T1211" s="490"/>
      <c r="U1211" s="263"/>
      <c r="V1211" s="493"/>
      <c r="W1211" s="267"/>
      <c r="X1211" s="263"/>
      <c r="AZ1211" s="269" t="s">
        <v>40</v>
      </c>
      <c r="BA1211" s="269">
        <v>5</v>
      </c>
    </row>
    <row r="1212" spans="1:53" ht="39.950000000000003" customHeight="1">
      <c r="E1212" s="264" t="s">
        <v>66</v>
      </c>
      <c r="F1212" s="265" t="s">
        <v>65</v>
      </c>
      <c r="G1212" s="263"/>
      <c r="H1212" s="263"/>
      <c r="I1212" s="263"/>
      <c r="J1212" s="263"/>
      <c r="K1212" s="263"/>
      <c r="L1212" s="263"/>
      <c r="M1212" s="263"/>
      <c r="N1212" s="263"/>
      <c r="O1212" s="263"/>
      <c r="P1212" s="263"/>
      <c r="Q1212" s="263"/>
      <c r="R1212" s="263"/>
      <c r="S1212" s="263"/>
      <c r="T1212" s="263"/>
      <c r="U1212" s="263"/>
      <c r="V1212" s="263"/>
      <c r="W1212" s="267"/>
      <c r="X1212" s="263"/>
      <c r="AZ1212" s="269" t="s">
        <v>41</v>
      </c>
      <c r="BA1212" s="269">
        <v>6</v>
      </c>
    </row>
    <row r="1213" spans="1:53" ht="39.950000000000003" customHeight="1">
      <c r="E1213" s="271"/>
      <c r="F1213" s="272"/>
      <c r="G1213" s="263"/>
      <c r="H1213" s="263"/>
      <c r="I1213" s="263" t="s">
        <v>32</v>
      </c>
      <c r="J1213" s="263"/>
      <c r="K1213" s="263"/>
      <c r="L1213" s="263"/>
      <c r="M1213" s="263"/>
      <c r="N1213" s="273"/>
      <c r="O1213" s="266"/>
      <c r="P1213" s="266" t="s">
        <v>34</v>
      </c>
      <c r="Q1213" s="266"/>
      <c r="R1213" s="266"/>
      <c r="S1213" s="266"/>
      <c r="T1213" s="266"/>
      <c r="U1213" s="263"/>
      <c r="V1213" s="263"/>
      <c r="W1213" s="267"/>
      <c r="X1213" s="263"/>
      <c r="AZ1213" s="269" t="s">
        <v>42</v>
      </c>
      <c r="BA1213" s="269">
        <v>7</v>
      </c>
    </row>
    <row r="1214" spans="1:53" ht="39.950000000000003" customHeight="1">
      <c r="E1214" s="264" t="s">
        <v>26</v>
      </c>
      <c r="F1214" s="265" t="s">
        <v>38</v>
      </c>
      <c r="G1214" s="263"/>
      <c r="H1214" s="263"/>
      <c r="I1214" s="486"/>
      <c r="J1214" s="486"/>
      <c r="K1214" s="486"/>
      <c r="L1214" s="486"/>
      <c r="M1214" s="263"/>
      <c r="N1214" s="486" t="str">
        <f>IF(V1207&gt;V1210,I1207,IF(V1210&gt;V1207,I1210,""))</f>
        <v>FEČO Samuel</v>
      </c>
      <c r="O1214" s="486"/>
      <c r="P1214" s="486"/>
      <c r="Q1214" s="486"/>
      <c r="R1214" s="486"/>
      <c r="S1214" s="486"/>
      <c r="T1214" s="263"/>
      <c r="U1214" s="263"/>
      <c r="V1214" s="263"/>
      <c r="W1214" s="267"/>
      <c r="X1214" s="263"/>
      <c r="AZ1214" s="269" t="s">
        <v>43</v>
      </c>
      <c r="BA1214" s="269">
        <v>8</v>
      </c>
    </row>
    <row r="1215" spans="1:53" ht="39.950000000000003" customHeight="1">
      <c r="E1215" s="271"/>
      <c r="F1215" s="272"/>
      <c r="G1215" s="263"/>
      <c r="H1215" s="263"/>
      <c r="I1215" s="486"/>
      <c r="J1215" s="486"/>
      <c r="K1215" s="486"/>
      <c r="L1215" s="486"/>
      <c r="M1215" s="263"/>
      <c r="N1215" s="486"/>
      <c r="O1215" s="486"/>
      <c r="P1215" s="486"/>
      <c r="Q1215" s="486"/>
      <c r="R1215" s="486"/>
      <c r="S1215" s="486"/>
      <c r="T1215" s="263"/>
      <c r="U1215" s="263"/>
      <c r="V1215" s="263"/>
      <c r="W1215" s="267"/>
      <c r="X1215" s="263"/>
    </row>
    <row r="1216" spans="1:53" ht="39.950000000000003" customHeight="1">
      <c r="E1216" s="264" t="s">
        <v>27</v>
      </c>
      <c r="F1216" s="274" t="s">
        <v>24</v>
      </c>
      <c r="G1216" s="263"/>
      <c r="H1216" s="263"/>
      <c r="I1216" s="263"/>
      <c r="J1216" s="263"/>
      <c r="K1216" s="263"/>
      <c r="L1216" s="263"/>
      <c r="M1216" s="263"/>
      <c r="N1216" s="263"/>
      <c r="O1216" s="263"/>
      <c r="P1216" s="263"/>
      <c r="Q1216" s="263"/>
      <c r="R1216" s="263"/>
      <c r="S1216" s="263"/>
      <c r="T1216" s="263"/>
      <c r="U1216" s="263"/>
      <c r="V1216" s="263"/>
      <c r="W1216" s="267"/>
      <c r="X1216" s="263"/>
    </row>
    <row r="1217" spans="1:53" ht="39.950000000000003" customHeight="1">
      <c r="E1217" s="271"/>
      <c r="F1217" s="272"/>
      <c r="G1217" s="263"/>
      <c r="H1217" s="263" t="s">
        <v>33</v>
      </c>
      <c r="I1217" s="263"/>
      <c r="J1217" s="263"/>
      <c r="K1217" s="263"/>
      <c r="L1217" s="263"/>
      <c r="M1217" s="263"/>
      <c r="N1217" s="263"/>
      <c r="O1217" s="263"/>
      <c r="P1217" s="263"/>
      <c r="Q1217" s="263"/>
      <c r="R1217" s="263"/>
      <c r="S1217" s="263"/>
      <c r="T1217" s="263"/>
      <c r="U1217" s="263"/>
      <c r="V1217" s="263"/>
      <c r="W1217" s="267"/>
      <c r="X1217" s="263"/>
    </row>
    <row r="1218" spans="1:53" ht="39.950000000000003" customHeight="1">
      <c r="E1218" s="271"/>
      <c r="F1218" s="272"/>
      <c r="G1218" s="263"/>
      <c r="H1218" s="263"/>
      <c r="I1218" s="263"/>
      <c r="J1218" s="263"/>
      <c r="K1218" s="263"/>
      <c r="L1218" s="263"/>
      <c r="M1218" s="263"/>
      <c r="N1218" s="263"/>
      <c r="O1218" s="263"/>
      <c r="P1218" s="263"/>
      <c r="Q1218" s="263"/>
      <c r="R1218" s="263"/>
      <c r="S1218" s="263"/>
      <c r="T1218" s="263"/>
      <c r="U1218" s="263"/>
      <c r="V1218" s="263"/>
      <c r="W1218" s="267"/>
      <c r="X1218" s="263"/>
    </row>
    <row r="1219" spans="1:53" ht="39.950000000000003" customHeight="1">
      <c r="E1219" s="271"/>
      <c r="F1219" s="272"/>
      <c r="G1219" s="263"/>
      <c r="H1219" s="263"/>
      <c r="I1219" s="496" t="str">
        <f>I1207</f>
        <v>FEČO Samuel</v>
      </c>
      <c r="J1219" s="496"/>
      <c r="K1219" s="496"/>
      <c r="L1219" s="496"/>
      <c r="M1219" s="263"/>
      <c r="N1219" s="263"/>
      <c r="O1219" s="263"/>
      <c r="P1219" s="496" t="str">
        <f>I1210</f>
        <v>KLUČÁR Matej</v>
      </c>
      <c r="Q1219" s="496"/>
      <c r="R1219" s="496"/>
      <c r="S1219" s="496"/>
      <c r="T1219" s="497"/>
      <c r="U1219" s="497"/>
      <c r="V1219" s="263"/>
      <c r="W1219" s="267"/>
      <c r="X1219" s="263"/>
    </row>
    <row r="1220" spans="1:53" ht="69.95" customHeight="1">
      <c r="E1220" s="264"/>
      <c r="F1220" s="265"/>
      <c r="G1220" s="263"/>
      <c r="H1220" s="275" t="s">
        <v>36</v>
      </c>
      <c r="I1220" s="483"/>
      <c r="J1220" s="494"/>
      <c r="K1220" s="494"/>
      <c r="L1220" s="495"/>
      <c r="M1220" s="263"/>
      <c r="N1220" s="263"/>
      <c r="O1220" s="275" t="s">
        <v>36</v>
      </c>
      <c r="P1220" s="486"/>
      <c r="Q1220" s="486"/>
      <c r="R1220" s="486"/>
      <c r="S1220" s="486"/>
      <c r="T1220" s="486"/>
      <c r="U1220" s="486"/>
      <c r="V1220" s="263"/>
      <c r="W1220" s="267"/>
      <c r="X1220" s="263"/>
    </row>
    <row r="1221" spans="1:53" ht="69.95" customHeight="1">
      <c r="E1221" s="264"/>
      <c r="F1221" s="265"/>
      <c r="G1221" s="263"/>
      <c r="H1221" s="275" t="s">
        <v>37</v>
      </c>
      <c r="I1221" s="486"/>
      <c r="J1221" s="486"/>
      <c r="K1221" s="486"/>
      <c r="L1221" s="486"/>
      <c r="M1221" s="263"/>
      <c r="N1221" s="263"/>
      <c r="O1221" s="275" t="s">
        <v>37</v>
      </c>
      <c r="P1221" s="486"/>
      <c r="Q1221" s="486"/>
      <c r="R1221" s="486"/>
      <c r="S1221" s="486"/>
      <c r="T1221" s="486"/>
      <c r="U1221" s="486"/>
      <c r="V1221" s="263"/>
      <c r="W1221" s="267"/>
      <c r="X1221" s="263"/>
    </row>
    <row r="1222" spans="1:53" ht="69.95" customHeight="1">
      <c r="E1222" s="264"/>
      <c r="F1222" s="265"/>
      <c r="G1222" s="263"/>
      <c r="H1222" s="275" t="s">
        <v>37</v>
      </c>
      <c r="I1222" s="486"/>
      <c r="J1222" s="486"/>
      <c r="K1222" s="486"/>
      <c r="L1222" s="486"/>
      <c r="M1222" s="263"/>
      <c r="N1222" s="263"/>
      <c r="O1222" s="275" t="s">
        <v>37</v>
      </c>
      <c r="P1222" s="486"/>
      <c r="Q1222" s="486"/>
      <c r="R1222" s="486"/>
      <c r="S1222" s="486"/>
      <c r="T1222" s="486"/>
      <c r="U1222" s="486"/>
      <c r="V1222" s="263"/>
      <c r="W1222" s="267"/>
      <c r="X1222" s="263"/>
    </row>
    <row r="1223" spans="1:53" ht="39.950000000000003" customHeight="1" thickBot="1">
      <c r="E1223" s="276"/>
      <c r="F1223" s="277"/>
      <c r="G1223" s="278"/>
      <c r="H1223" s="278"/>
      <c r="I1223" s="278"/>
      <c r="J1223" s="278"/>
      <c r="K1223" s="278"/>
      <c r="L1223" s="278"/>
      <c r="M1223" s="278"/>
      <c r="N1223" s="278"/>
      <c r="O1223" s="278"/>
      <c r="P1223" s="278"/>
      <c r="Q1223" s="278"/>
      <c r="R1223" s="278"/>
      <c r="S1223" s="278"/>
      <c r="T1223" s="279"/>
      <c r="U1223" s="279"/>
      <c r="V1223" s="279"/>
      <c r="W1223" s="280"/>
      <c r="X1223" s="263"/>
    </row>
    <row r="1224" spans="1:53" ht="62.25" thickBot="1"/>
    <row r="1225" spans="1:53" ht="39.950000000000003" customHeight="1">
      <c r="A1225" s="252" t="str">
        <f>CONCATENATE(F1232,F1234,F1236)</f>
        <v>CHC2-3</v>
      </c>
      <c r="E1225" s="259" t="s">
        <v>70</v>
      </c>
      <c r="F1225" s="260">
        <f>VLOOKUP(A1225,'zoznam zapasov'!$A$6:$K$77,3,0)</f>
        <v>62</v>
      </c>
      <c r="G1225" s="261"/>
      <c r="H1225" s="322" t="s">
        <v>501</v>
      </c>
      <c r="I1225" s="261"/>
      <c r="J1225" s="261"/>
      <c r="K1225" s="261"/>
      <c r="L1225" s="261"/>
      <c r="M1225" s="261"/>
      <c r="N1225" s="261"/>
      <c r="O1225" s="261"/>
      <c r="P1225" s="261"/>
      <c r="Q1225" s="261"/>
      <c r="R1225" s="261"/>
      <c r="S1225" s="261"/>
      <c r="T1225" s="261"/>
      <c r="U1225" s="261"/>
      <c r="V1225" s="261" t="s">
        <v>30</v>
      </c>
      <c r="W1225" s="262"/>
      <c r="X1225" s="263"/>
      <c r="Z1225" s="258" t="str">
        <f>CONCATENATE(V1227,":",V1230)</f>
        <v>1:3</v>
      </c>
      <c r="AE1225" s="253" t="s">
        <v>11</v>
      </c>
      <c r="AV1225" s="256" t="str">
        <f>CONCATENATE(AN1227,",",AO1227,",",AP1227,",",AQ1227,",",AR1227,",",AS1227,",",AT1227)</f>
        <v>-6,-4,8,-4,,,</v>
      </c>
    </row>
    <row r="1226" spans="1:53" ht="39.950000000000003" customHeight="1">
      <c r="E1226" s="264"/>
      <c r="F1226" s="265"/>
      <c r="G1226" s="321" t="s">
        <v>500</v>
      </c>
      <c r="H1226" s="323" t="s">
        <v>502</v>
      </c>
      <c r="I1226" s="263"/>
      <c r="J1226" s="263"/>
      <c r="K1226" s="263"/>
      <c r="L1226" s="263"/>
      <c r="M1226" s="263"/>
      <c r="N1226" s="266">
        <v>1</v>
      </c>
      <c r="O1226" s="266">
        <v>2</v>
      </c>
      <c r="P1226" s="266">
        <v>3</v>
      </c>
      <c r="Q1226" s="266">
        <v>4</v>
      </c>
      <c r="R1226" s="266">
        <v>5</v>
      </c>
      <c r="S1226" s="266">
        <v>6</v>
      </c>
      <c r="T1226" s="266">
        <v>7</v>
      </c>
      <c r="U1226" s="263"/>
      <c r="V1226" s="266" t="s">
        <v>31</v>
      </c>
      <c r="W1226" s="267"/>
      <c r="X1226" s="263"/>
      <c r="AE1226" s="253" t="s">
        <v>68</v>
      </c>
      <c r="AV1226" s="256" t="str">
        <f>CONCATENATE(AN1228,",",AO1228,",",AP1228,",",AQ1228,",",AR1228,",",AS1228,",",AT1228)</f>
        <v>6,4,-8,4,,,</v>
      </c>
    </row>
    <row r="1227" spans="1:53" ht="39.950000000000003" customHeight="1">
      <c r="A1227" s="252" t="str">
        <f>CONCATENATE(F1232,VLOOKUP(F1234,$AZ$7:$BA$14,2,0),LEFT(F1236,1))</f>
        <v>CH32</v>
      </c>
      <c r="E1227" s="264" t="s">
        <v>29</v>
      </c>
      <c r="F1227" s="265">
        <f>VLOOKUP(A1225,'zoznam zapasov'!$A$6:$K$77,11,0)</f>
        <v>6</v>
      </c>
      <c r="G1227" s="508"/>
      <c r="H1227" s="495"/>
      <c r="I1227" s="487" t="str">
        <f>IF(ISERROR(VLOOKUP(A1227,vylosovanie!$A$8:$J$68,6,0))=TRUE,"",VLOOKUP(A1227,vylosovanie!$A$8:$J$68,6,0))</f>
        <v>KLAJBER Adam</v>
      </c>
      <c r="J1227" s="487"/>
      <c r="K1227" s="487"/>
      <c r="L1227" s="487"/>
      <c r="M1227" s="263"/>
      <c r="N1227" s="489">
        <v>6</v>
      </c>
      <c r="O1227" s="489">
        <v>4</v>
      </c>
      <c r="P1227" s="489">
        <v>11</v>
      </c>
      <c r="Q1227" s="489">
        <v>4</v>
      </c>
      <c r="R1227" s="489"/>
      <c r="S1227" s="489"/>
      <c r="T1227" s="489"/>
      <c r="U1227" s="263"/>
      <c r="V1227" s="493">
        <f>IF(SUM(AF1227:AL1228)=0,"",SUM(AF1227:AL1227))</f>
        <v>1</v>
      </c>
      <c r="W1227" s="267"/>
      <c r="X1227" s="263"/>
      <c r="AE1227" s="253" t="str">
        <f>VLOOKUP(I1227,vylosovanie!$F$8:$L$190,7,0)</f>
        <v>CH32</v>
      </c>
      <c r="AF1227" s="268">
        <f>IF(N1227&gt;N1230,1,0)</f>
        <v>0</v>
      </c>
      <c r="AG1227" s="268">
        <f t="shared" ref="AG1227" si="844">IF(O1227&gt;O1230,1,0)</f>
        <v>0</v>
      </c>
      <c r="AH1227" s="268">
        <f t="shared" ref="AH1227" si="845">IF(P1227&gt;P1230,1,0)</f>
        <v>1</v>
      </c>
      <c r="AI1227" s="268">
        <f t="shared" ref="AI1227" si="846">IF(Q1227&gt;Q1230,1,0)</f>
        <v>0</v>
      </c>
      <c r="AJ1227" s="268">
        <f t="shared" ref="AJ1227" si="847">IF(R1227&gt;R1230,1,0)</f>
        <v>0</v>
      </c>
      <c r="AK1227" s="268">
        <f t="shared" ref="AK1227" si="848">IF(S1227&gt;S1230,1,0)</f>
        <v>0</v>
      </c>
      <c r="AL1227" s="268">
        <f t="shared" ref="AL1227" si="849">IF(T1227&gt;T1230,1,0)</f>
        <v>0</v>
      </c>
      <c r="AN1227" s="268">
        <f t="shared" ref="AN1227:AT1227" si="850">IF(ISBLANK(N1227)=TRUE,"",IF(AF1227=1,N1230,-N1227))</f>
        <v>-6</v>
      </c>
      <c r="AO1227" s="268">
        <f t="shared" si="850"/>
        <v>-4</v>
      </c>
      <c r="AP1227" s="268">
        <f t="shared" si="850"/>
        <v>8</v>
      </c>
      <c r="AQ1227" s="268">
        <f t="shared" si="850"/>
        <v>-4</v>
      </c>
      <c r="AR1227" s="268" t="str">
        <f t="shared" si="850"/>
        <v/>
      </c>
      <c r="AS1227" s="268" t="str">
        <f t="shared" si="850"/>
        <v/>
      </c>
      <c r="AT1227" s="268" t="str">
        <f t="shared" si="850"/>
        <v/>
      </c>
      <c r="AZ1227" s="269" t="s">
        <v>12</v>
      </c>
      <c r="BA1227" s="269">
        <v>1</v>
      </c>
    </row>
    <row r="1228" spans="1:53" ht="39.950000000000003" customHeight="1">
      <c r="E1228" s="264"/>
      <c r="F1228" s="265"/>
      <c r="G1228" s="509"/>
      <c r="H1228" s="495"/>
      <c r="I1228" s="487"/>
      <c r="J1228" s="487"/>
      <c r="K1228" s="487"/>
      <c r="L1228" s="487"/>
      <c r="M1228" s="263"/>
      <c r="N1228" s="490"/>
      <c r="O1228" s="490"/>
      <c r="P1228" s="490"/>
      <c r="Q1228" s="490"/>
      <c r="R1228" s="490"/>
      <c r="S1228" s="490"/>
      <c r="T1228" s="490"/>
      <c r="U1228" s="263"/>
      <c r="V1228" s="493"/>
      <c r="W1228" s="267"/>
      <c r="X1228" s="263"/>
      <c r="AE1228" s="253" t="str">
        <f>VLOOKUP(I1230,vylosovanie!$F$8:$L$190,7,0)</f>
        <v>CH33</v>
      </c>
      <c r="AF1228" s="268">
        <f>IF(N1230&gt;N1227,1,0)</f>
        <v>1</v>
      </c>
      <c r="AG1228" s="268">
        <f t="shared" ref="AG1228" si="851">IF(O1230&gt;O1227,1,0)</f>
        <v>1</v>
      </c>
      <c r="AH1228" s="268">
        <f t="shared" ref="AH1228" si="852">IF(P1230&gt;P1227,1,0)</f>
        <v>0</v>
      </c>
      <c r="AI1228" s="268">
        <f t="shared" ref="AI1228" si="853">IF(Q1230&gt;Q1227,1,0)</f>
        <v>1</v>
      </c>
      <c r="AJ1228" s="268">
        <f t="shared" ref="AJ1228" si="854">IF(R1230&gt;R1227,1,0)</f>
        <v>0</v>
      </c>
      <c r="AK1228" s="268">
        <f t="shared" ref="AK1228" si="855">IF(S1230&gt;S1227,1,0)</f>
        <v>0</v>
      </c>
      <c r="AL1228" s="268">
        <f t="shared" ref="AL1228" si="856">IF(T1230&gt;T1227,1,0)</f>
        <v>0</v>
      </c>
      <c r="AN1228" s="268">
        <f t="shared" ref="AN1228:AT1228" si="857">IF(ISBLANK(N1230)=TRUE,"",IF(AF1228=1,N1227,-N1230))</f>
        <v>6</v>
      </c>
      <c r="AO1228" s="268">
        <f t="shared" si="857"/>
        <v>4</v>
      </c>
      <c r="AP1228" s="268">
        <f t="shared" si="857"/>
        <v>-8</v>
      </c>
      <c r="AQ1228" s="268">
        <f t="shared" si="857"/>
        <v>4</v>
      </c>
      <c r="AR1228" s="268" t="str">
        <f t="shared" si="857"/>
        <v/>
      </c>
      <c r="AS1228" s="268" t="str">
        <f t="shared" si="857"/>
        <v/>
      </c>
      <c r="AT1228" s="268" t="str">
        <f t="shared" si="857"/>
        <v/>
      </c>
      <c r="AZ1228" s="269" t="s">
        <v>18</v>
      </c>
      <c r="BA1228" s="269">
        <v>2</v>
      </c>
    </row>
    <row r="1229" spans="1:53" ht="39.950000000000003" customHeight="1">
      <c r="E1229" s="264" t="s">
        <v>35</v>
      </c>
      <c r="F1229" s="265" t="str">
        <f>VLOOKUP(A1225,'zoznam zapasov'!$A$6:$K$77,9,0)</f>
        <v>So</v>
      </c>
      <c r="G1229" s="263"/>
      <c r="H1229" s="263"/>
      <c r="I1229" s="263"/>
      <c r="J1229" s="263"/>
      <c r="K1229" s="263"/>
      <c r="L1229" s="263"/>
      <c r="M1229" s="263"/>
      <c r="N1229" s="263"/>
      <c r="O1229" s="263"/>
      <c r="P1229" s="263"/>
      <c r="Q1229" s="263"/>
      <c r="R1229" s="263"/>
      <c r="S1229" s="263"/>
      <c r="T1229" s="263"/>
      <c r="U1229" s="263"/>
      <c r="V1229" s="263"/>
      <c r="W1229" s="267"/>
      <c r="X1229" s="263"/>
      <c r="AZ1229" s="269" t="s">
        <v>38</v>
      </c>
      <c r="BA1229" s="269">
        <v>3</v>
      </c>
    </row>
    <row r="1230" spans="1:53" ht="39.950000000000003" customHeight="1">
      <c r="A1230" s="252" t="str">
        <f>CONCATENATE(F1232,VLOOKUP(F1234,$AZ$7:$BA$14,2,0),RIGHT(F1236,1))</f>
        <v>CH33</v>
      </c>
      <c r="E1230" s="264" t="s">
        <v>28</v>
      </c>
      <c r="F1230" s="270" t="str">
        <f>VLOOKUP(A1225,'zoznam zapasov'!$A$6:$K$77,10,0)</f>
        <v>12.25</v>
      </c>
      <c r="G1230" s="508"/>
      <c r="H1230" s="486"/>
      <c r="I1230" s="487" t="str">
        <f>IF(ISERROR(VLOOKUP(A1230,vylosovanie!$A$8:$J$68,6,0))=TRUE,"",VLOOKUP(A1230,vylosovanie!$A$8:$J$68,6,0))</f>
        <v>FREUND Andrej</v>
      </c>
      <c r="J1230" s="487"/>
      <c r="K1230" s="487"/>
      <c r="L1230" s="487"/>
      <c r="M1230" s="263"/>
      <c r="N1230" s="489">
        <v>11</v>
      </c>
      <c r="O1230" s="489">
        <v>11</v>
      </c>
      <c r="P1230" s="489">
        <v>8</v>
      </c>
      <c r="Q1230" s="489">
        <v>11</v>
      </c>
      <c r="R1230" s="489"/>
      <c r="S1230" s="489"/>
      <c r="T1230" s="489"/>
      <c r="U1230" s="263"/>
      <c r="V1230" s="493">
        <f>IF(SUM(AF1227:AL1228)=0,"",SUM(AF1228:AL1228))</f>
        <v>3</v>
      </c>
      <c r="W1230" s="267"/>
      <c r="X1230" s="263"/>
      <c r="AZ1230" s="269" t="s">
        <v>39</v>
      </c>
      <c r="BA1230" s="269">
        <v>4</v>
      </c>
    </row>
    <row r="1231" spans="1:53" ht="39.950000000000003" customHeight="1">
      <c r="E1231" s="271"/>
      <c r="F1231" s="272"/>
      <c r="G1231" s="509"/>
      <c r="H1231" s="486"/>
      <c r="I1231" s="487"/>
      <c r="J1231" s="487"/>
      <c r="K1231" s="487"/>
      <c r="L1231" s="487"/>
      <c r="M1231" s="263"/>
      <c r="N1231" s="490"/>
      <c r="O1231" s="490"/>
      <c r="P1231" s="490"/>
      <c r="Q1231" s="490"/>
      <c r="R1231" s="490"/>
      <c r="S1231" s="490"/>
      <c r="T1231" s="490"/>
      <c r="U1231" s="263"/>
      <c r="V1231" s="493"/>
      <c r="W1231" s="267"/>
      <c r="X1231" s="263"/>
      <c r="AZ1231" s="269" t="s">
        <v>40</v>
      </c>
      <c r="BA1231" s="269">
        <v>5</v>
      </c>
    </row>
    <row r="1232" spans="1:53" ht="39.950000000000003" customHeight="1">
      <c r="E1232" s="264" t="s">
        <v>66</v>
      </c>
      <c r="F1232" s="265" t="s">
        <v>65</v>
      </c>
      <c r="G1232" s="263"/>
      <c r="H1232" s="263"/>
      <c r="I1232" s="263"/>
      <c r="J1232" s="263"/>
      <c r="K1232" s="263"/>
      <c r="L1232" s="263"/>
      <c r="M1232" s="263"/>
      <c r="N1232" s="263"/>
      <c r="O1232" s="263"/>
      <c r="P1232" s="263"/>
      <c r="Q1232" s="263"/>
      <c r="R1232" s="263"/>
      <c r="S1232" s="263"/>
      <c r="T1232" s="263"/>
      <c r="U1232" s="263"/>
      <c r="V1232" s="263"/>
      <c r="W1232" s="267"/>
      <c r="X1232" s="263"/>
      <c r="AZ1232" s="269" t="s">
        <v>41</v>
      </c>
      <c r="BA1232" s="269">
        <v>6</v>
      </c>
    </row>
    <row r="1233" spans="1:53" ht="39.950000000000003" customHeight="1">
      <c r="E1233" s="271"/>
      <c r="F1233" s="272"/>
      <c r="G1233" s="263"/>
      <c r="H1233" s="263"/>
      <c r="I1233" s="263" t="s">
        <v>32</v>
      </c>
      <c r="J1233" s="263"/>
      <c r="K1233" s="263"/>
      <c r="L1233" s="263"/>
      <c r="M1233" s="263"/>
      <c r="N1233" s="273"/>
      <c r="O1233" s="266"/>
      <c r="P1233" s="266" t="s">
        <v>34</v>
      </c>
      <c r="Q1233" s="266"/>
      <c r="R1233" s="266"/>
      <c r="S1233" s="266"/>
      <c r="T1233" s="266"/>
      <c r="U1233" s="263"/>
      <c r="V1233" s="263"/>
      <c r="W1233" s="267"/>
      <c r="X1233" s="263"/>
      <c r="AZ1233" s="269" t="s">
        <v>42</v>
      </c>
      <c r="BA1233" s="269">
        <v>7</v>
      </c>
    </row>
    <row r="1234" spans="1:53" ht="39.950000000000003" customHeight="1">
      <c r="E1234" s="264" t="s">
        <v>26</v>
      </c>
      <c r="F1234" s="265" t="s">
        <v>38</v>
      </c>
      <c r="G1234" s="263"/>
      <c r="H1234" s="263"/>
      <c r="I1234" s="486"/>
      <c r="J1234" s="486"/>
      <c r="K1234" s="486"/>
      <c r="L1234" s="486"/>
      <c r="M1234" s="263"/>
      <c r="N1234" s="486" t="str">
        <f>IF(V1227&gt;V1230,I1227,IF(V1230&gt;V1227,I1230,""))</f>
        <v>FREUND Andrej</v>
      </c>
      <c r="O1234" s="486"/>
      <c r="P1234" s="486"/>
      <c r="Q1234" s="486"/>
      <c r="R1234" s="486"/>
      <c r="S1234" s="486"/>
      <c r="T1234" s="263"/>
      <c r="U1234" s="263"/>
      <c r="V1234" s="263"/>
      <c r="W1234" s="267"/>
      <c r="X1234" s="263"/>
      <c r="AZ1234" s="269" t="s">
        <v>43</v>
      </c>
      <c r="BA1234" s="269">
        <v>8</v>
      </c>
    </row>
    <row r="1235" spans="1:53" ht="39.950000000000003" customHeight="1">
      <c r="E1235" s="271"/>
      <c r="F1235" s="272"/>
      <c r="G1235" s="263"/>
      <c r="H1235" s="263"/>
      <c r="I1235" s="486"/>
      <c r="J1235" s="486"/>
      <c r="K1235" s="486"/>
      <c r="L1235" s="486"/>
      <c r="M1235" s="263"/>
      <c r="N1235" s="486"/>
      <c r="O1235" s="486"/>
      <c r="P1235" s="486"/>
      <c r="Q1235" s="486"/>
      <c r="R1235" s="486"/>
      <c r="S1235" s="486"/>
      <c r="T1235" s="263"/>
      <c r="U1235" s="263"/>
      <c r="V1235" s="263"/>
      <c r="W1235" s="267"/>
      <c r="X1235" s="263"/>
    </row>
    <row r="1236" spans="1:53" ht="39.950000000000003" customHeight="1">
      <c r="E1236" s="264" t="s">
        <v>27</v>
      </c>
      <c r="F1236" s="274" t="s">
        <v>25</v>
      </c>
      <c r="G1236" s="263"/>
      <c r="H1236" s="263"/>
      <c r="I1236" s="263"/>
      <c r="J1236" s="263"/>
      <c r="K1236" s="263"/>
      <c r="L1236" s="263"/>
      <c r="M1236" s="263"/>
      <c r="N1236" s="263"/>
      <c r="O1236" s="263"/>
      <c r="P1236" s="263"/>
      <c r="Q1236" s="263"/>
      <c r="R1236" s="263"/>
      <c r="S1236" s="263"/>
      <c r="T1236" s="263"/>
      <c r="U1236" s="263"/>
      <c r="V1236" s="263"/>
      <c r="W1236" s="267"/>
      <c r="X1236" s="263"/>
    </row>
    <row r="1237" spans="1:53" ht="39.950000000000003" customHeight="1">
      <c r="E1237" s="271"/>
      <c r="F1237" s="272"/>
      <c r="G1237" s="263"/>
      <c r="H1237" s="263" t="s">
        <v>33</v>
      </c>
      <c r="I1237" s="263"/>
      <c r="J1237" s="263"/>
      <c r="K1237" s="263"/>
      <c r="L1237" s="263"/>
      <c r="M1237" s="263"/>
      <c r="N1237" s="263"/>
      <c r="O1237" s="263"/>
      <c r="P1237" s="263"/>
      <c r="Q1237" s="263"/>
      <c r="R1237" s="263"/>
      <c r="S1237" s="263"/>
      <c r="T1237" s="263"/>
      <c r="U1237" s="263"/>
      <c r="V1237" s="263"/>
      <c r="W1237" s="267"/>
      <c r="X1237" s="263"/>
    </row>
    <row r="1238" spans="1:53" ht="39.950000000000003" customHeight="1">
      <c r="E1238" s="271"/>
      <c r="F1238" s="272"/>
      <c r="G1238" s="263"/>
      <c r="H1238" s="263"/>
      <c r="I1238" s="263"/>
      <c r="J1238" s="263"/>
      <c r="K1238" s="263"/>
      <c r="L1238" s="263"/>
      <c r="M1238" s="263"/>
      <c r="N1238" s="263"/>
      <c r="O1238" s="263"/>
      <c r="P1238" s="263"/>
      <c r="Q1238" s="263"/>
      <c r="R1238" s="263"/>
      <c r="S1238" s="263"/>
      <c r="T1238" s="263"/>
      <c r="U1238" s="263"/>
      <c r="V1238" s="263"/>
      <c r="W1238" s="267"/>
      <c r="X1238" s="263"/>
    </row>
    <row r="1239" spans="1:53" ht="39.950000000000003" customHeight="1">
      <c r="E1239" s="271"/>
      <c r="F1239" s="272"/>
      <c r="G1239" s="263"/>
      <c r="H1239" s="263"/>
      <c r="I1239" s="496" t="str">
        <f>I1227</f>
        <v>KLAJBER Adam</v>
      </c>
      <c r="J1239" s="496"/>
      <c r="K1239" s="496"/>
      <c r="L1239" s="496"/>
      <c r="M1239" s="263"/>
      <c r="N1239" s="263"/>
      <c r="O1239" s="263"/>
      <c r="P1239" s="496" t="str">
        <f>I1230</f>
        <v>FREUND Andrej</v>
      </c>
      <c r="Q1239" s="496"/>
      <c r="R1239" s="496"/>
      <c r="S1239" s="496"/>
      <c r="T1239" s="497"/>
      <c r="U1239" s="497"/>
      <c r="V1239" s="263"/>
      <c r="W1239" s="267"/>
      <c r="X1239" s="263"/>
    </row>
    <row r="1240" spans="1:53" ht="69.95" customHeight="1">
      <c r="E1240" s="264"/>
      <c r="F1240" s="265"/>
      <c r="G1240" s="263"/>
      <c r="H1240" s="275" t="s">
        <v>36</v>
      </c>
      <c r="I1240" s="483"/>
      <c r="J1240" s="494"/>
      <c r="K1240" s="494"/>
      <c r="L1240" s="495"/>
      <c r="M1240" s="263"/>
      <c r="N1240" s="263"/>
      <c r="O1240" s="275" t="s">
        <v>36</v>
      </c>
      <c r="P1240" s="486"/>
      <c r="Q1240" s="486"/>
      <c r="R1240" s="486"/>
      <c r="S1240" s="486"/>
      <c r="T1240" s="486"/>
      <c r="U1240" s="486"/>
      <c r="V1240" s="263"/>
      <c r="W1240" s="267"/>
      <c r="X1240" s="263"/>
    </row>
    <row r="1241" spans="1:53" ht="69.95" customHeight="1">
      <c r="E1241" s="264"/>
      <c r="F1241" s="265"/>
      <c r="G1241" s="263"/>
      <c r="H1241" s="275" t="s">
        <v>37</v>
      </c>
      <c r="I1241" s="486"/>
      <c r="J1241" s="486"/>
      <c r="K1241" s="486"/>
      <c r="L1241" s="486"/>
      <c r="M1241" s="263"/>
      <c r="N1241" s="263"/>
      <c r="O1241" s="275" t="s">
        <v>37</v>
      </c>
      <c r="P1241" s="486"/>
      <c r="Q1241" s="486"/>
      <c r="R1241" s="486"/>
      <c r="S1241" s="486"/>
      <c r="T1241" s="486"/>
      <c r="U1241" s="486"/>
      <c r="V1241" s="263"/>
      <c r="W1241" s="267"/>
      <c r="X1241" s="263"/>
    </row>
    <row r="1242" spans="1:53" ht="69.95" customHeight="1">
      <c r="E1242" s="264"/>
      <c r="F1242" s="265"/>
      <c r="G1242" s="263"/>
      <c r="H1242" s="275" t="s">
        <v>37</v>
      </c>
      <c r="I1242" s="486"/>
      <c r="J1242" s="486"/>
      <c r="K1242" s="486"/>
      <c r="L1242" s="486"/>
      <c r="M1242" s="263"/>
      <c r="N1242" s="263"/>
      <c r="O1242" s="275" t="s">
        <v>37</v>
      </c>
      <c r="P1242" s="486"/>
      <c r="Q1242" s="486"/>
      <c r="R1242" s="486"/>
      <c r="S1242" s="486"/>
      <c r="T1242" s="486"/>
      <c r="U1242" s="486"/>
      <c r="V1242" s="263"/>
      <c r="W1242" s="267"/>
      <c r="X1242" s="263"/>
    </row>
    <row r="1243" spans="1:53" ht="39.950000000000003" customHeight="1" thickBot="1">
      <c r="E1243" s="276"/>
      <c r="F1243" s="277"/>
      <c r="G1243" s="278"/>
      <c r="H1243" s="278"/>
      <c r="I1243" s="278"/>
      <c r="J1243" s="278"/>
      <c r="K1243" s="278"/>
      <c r="L1243" s="278"/>
      <c r="M1243" s="278"/>
      <c r="N1243" s="278"/>
      <c r="O1243" s="278"/>
      <c r="P1243" s="278"/>
      <c r="Q1243" s="278"/>
      <c r="R1243" s="278"/>
      <c r="S1243" s="278"/>
      <c r="T1243" s="279"/>
      <c r="U1243" s="279"/>
      <c r="V1243" s="279"/>
      <c r="W1243" s="280"/>
      <c r="X1243" s="263"/>
    </row>
    <row r="1244" spans="1:53" ht="62.25" thickBot="1"/>
    <row r="1245" spans="1:53" ht="39.950000000000003" customHeight="1">
      <c r="A1245" s="252" t="str">
        <f>CONCATENATE(F1252,F1254,F1256)</f>
        <v>CHD1-4</v>
      </c>
      <c r="E1245" s="259" t="s">
        <v>70</v>
      </c>
      <c r="F1245" s="260">
        <f>VLOOKUP(A1245,'zoznam zapasov'!$A$6:$K$77,3,0)</f>
        <v>63</v>
      </c>
      <c r="G1245" s="261"/>
      <c r="H1245" s="322" t="s">
        <v>501</v>
      </c>
      <c r="I1245" s="261"/>
      <c r="J1245" s="261"/>
      <c r="K1245" s="261"/>
      <c r="L1245" s="261"/>
      <c r="M1245" s="261"/>
      <c r="N1245" s="261"/>
      <c r="O1245" s="261"/>
      <c r="P1245" s="261"/>
      <c r="Q1245" s="261"/>
      <c r="R1245" s="261"/>
      <c r="S1245" s="261"/>
      <c r="T1245" s="261"/>
      <c r="U1245" s="261"/>
      <c r="V1245" s="261" t="s">
        <v>30</v>
      </c>
      <c r="W1245" s="262"/>
      <c r="X1245" s="263"/>
      <c r="Z1245" s="258" t="str">
        <f>CONCATENATE(V1247,":",V1250)</f>
        <v>3:0</v>
      </c>
      <c r="AE1245" s="253" t="s">
        <v>11</v>
      </c>
      <c r="AV1245" s="256" t="str">
        <f>CONCATENATE(AN1247,",",AO1247,",",AP1247,",",AQ1247,",",AR1247,",",AS1247,",",AT1247)</f>
        <v>3,4,1,,,,</v>
      </c>
    </row>
    <row r="1246" spans="1:53" ht="39.950000000000003" customHeight="1">
      <c r="E1246" s="264"/>
      <c r="F1246" s="265"/>
      <c r="G1246" s="321" t="s">
        <v>500</v>
      </c>
      <c r="H1246" s="323" t="s">
        <v>502</v>
      </c>
      <c r="I1246" s="263"/>
      <c r="J1246" s="263"/>
      <c r="K1246" s="263"/>
      <c r="L1246" s="263"/>
      <c r="M1246" s="263"/>
      <c r="N1246" s="266">
        <v>1</v>
      </c>
      <c r="O1246" s="266">
        <v>2</v>
      </c>
      <c r="P1246" s="266">
        <v>3</v>
      </c>
      <c r="Q1246" s="266">
        <v>4</v>
      </c>
      <c r="R1246" s="266">
        <v>5</v>
      </c>
      <c r="S1246" s="266">
        <v>6</v>
      </c>
      <c r="T1246" s="266">
        <v>7</v>
      </c>
      <c r="U1246" s="263"/>
      <c r="V1246" s="266" t="s">
        <v>31</v>
      </c>
      <c r="W1246" s="267"/>
      <c r="X1246" s="263"/>
      <c r="AE1246" s="253" t="s">
        <v>68</v>
      </c>
      <c r="AV1246" s="256" t="str">
        <f>CONCATENATE(AN1248,",",AO1248,",",AP1248,",",AQ1248,",",AR1248,",",AS1248,",",AT1248)</f>
        <v>-3,-4,-1,,,,</v>
      </c>
    </row>
    <row r="1247" spans="1:53" ht="39.950000000000003" customHeight="1">
      <c r="A1247" s="252" t="str">
        <f>CONCATENATE(F1252,VLOOKUP(F1254,$AZ$7:$BA$14,2,0),LEFT(F1256,1))</f>
        <v>CH41</v>
      </c>
      <c r="E1247" s="264" t="s">
        <v>29</v>
      </c>
      <c r="F1247" s="265">
        <f>VLOOKUP(A1245,'zoznam zapasov'!$A$6:$K$77,11,0)</f>
        <v>7</v>
      </c>
      <c r="G1247" s="508"/>
      <c r="H1247" s="495"/>
      <c r="I1247" s="487" t="str">
        <f>IF(ISERROR(VLOOKUP(A1247,vylosovanie!$A$8:$J$68,6,0))=TRUE,"",VLOOKUP(A1247,vylosovanie!$A$8:$J$68,6,0))</f>
        <v>PINDURA Tobiáš</v>
      </c>
      <c r="J1247" s="487"/>
      <c r="K1247" s="487"/>
      <c r="L1247" s="487"/>
      <c r="M1247" s="263"/>
      <c r="N1247" s="489">
        <v>11</v>
      </c>
      <c r="O1247" s="489">
        <v>11</v>
      </c>
      <c r="P1247" s="489">
        <v>11</v>
      </c>
      <c r="Q1247" s="489"/>
      <c r="R1247" s="489"/>
      <c r="S1247" s="489"/>
      <c r="T1247" s="489"/>
      <c r="U1247" s="263"/>
      <c r="V1247" s="493">
        <f>IF(SUM(AF1247:AL1248)=0,"",SUM(AF1247:AL1247))</f>
        <v>3</v>
      </c>
      <c r="W1247" s="267"/>
      <c r="X1247" s="263"/>
      <c r="AE1247" s="253" t="str">
        <f>VLOOKUP(I1247,vylosovanie!$F$8:$L$190,7,0)</f>
        <v>CH41</v>
      </c>
      <c r="AF1247" s="268">
        <f>IF(N1247&gt;N1250,1,0)</f>
        <v>1</v>
      </c>
      <c r="AG1247" s="268">
        <f t="shared" ref="AG1247" si="858">IF(O1247&gt;O1250,1,0)</f>
        <v>1</v>
      </c>
      <c r="AH1247" s="268">
        <f t="shared" ref="AH1247" si="859">IF(P1247&gt;P1250,1,0)</f>
        <v>1</v>
      </c>
      <c r="AI1247" s="268">
        <f t="shared" ref="AI1247" si="860">IF(Q1247&gt;Q1250,1,0)</f>
        <v>0</v>
      </c>
      <c r="AJ1247" s="268">
        <f t="shared" ref="AJ1247" si="861">IF(R1247&gt;R1250,1,0)</f>
        <v>0</v>
      </c>
      <c r="AK1247" s="268">
        <f t="shared" ref="AK1247" si="862">IF(S1247&gt;S1250,1,0)</f>
        <v>0</v>
      </c>
      <c r="AL1247" s="268">
        <f t="shared" ref="AL1247" si="863">IF(T1247&gt;T1250,1,0)</f>
        <v>0</v>
      </c>
      <c r="AN1247" s="268">
        <f t="shared" ref="AN1247:AT1247" si="864">IF(ISBLANK(N1247)=TRUE,"",IF(AF1247=1,N1250,-N1247))</f>
        <v>3</v>
      </c>
      <c r="AO1247" s="268">
        <f t="shared" si="864"/>
        <v>4</v>
      </c>
      <c r="AP1247" s="268">
        <f t="shared" si="864"/>
        <v>1</v>
      </c>
      <c r="AQ1247" s="268" t="str">
        <f t="shared" si="864"/>
        <v/>
      </c>
      <c r="AR1247" s="268" t="str">
        <f t="shared" si="864"/>
        <v/>
      </c>
      <c r="AS1247" s="268" t="str">
        <f t="shared" si="864"/>
        <v/>
      </c>
      <c r="AT1247" s="268" t="str">
        <f t="shared" si="864"/>
        <v/>
      </c>
      <c r="AZ1247" s="269" t="s">
        <v>12</v>
      </c>
      <c r="BA1247" s="269">
        <v>1</v>
      </c>
    </row>
    <row r="1248" spans="1:53" ht="39.950000000000003" customHeight="1">
      <c r="E1248" s="264"/>
      <c r="F1248" s="265"/>
      <c r="G1248" s="509"/>
      <c r="H1248" s="495"/>
      <c r="I1248" s="487"/>
      <c r="J1248" s="487"/>
      <c r="K1248" s="487"/>
      <c r="L1248" s="487"/>
      <c r="M1248" s="263"/>
      <c r="N1248" s="490"/>
      <c r="O1248" s="490"/>
      <c r="P1248" s="490"/>
      <c r="Q1248" s="490"/>
      <c r="R1248" s="490"/>
      <c r="S1248" s="490"/>
      <c r="T1248" s="490"/>
      <c r="U1248" s="263"/>
      <c r="V1248" s="493"/>
      <c r="W1248" s="267"/>
      <c r="X1248" s="263"/>
      <c r="AE1248" s="253" t="str">
        <f>VLOOKUP(I1250,vylosovanie!$F$8:$L$190,7,0)</f>
        <v>CH44</v>
      </c>
      <c r="AF1248" s="268">
        <f>IF(N1250&gt;N1247,1,0)</f>
        <v>0</v>
      </c>
      <c r="AG1248" s="268">
        <f t="shared" ref="AG1248" si="865">IF(O1250&gt;O1247,1,0)</f>
        <v>0</v>
      </c>
      <c r="AH1248" s="268">
        <f t="shared" ref="AH1248" si="866">IF(P1250&gt;P1247,1,0)</f>
        <v>0</v>
      </c>
      <c r="AI1248" s="268">
        <f t="shared" ref="AI1248" si="867">IF(Q1250&gt;Q1247,1,0)</f>
        <v>0</v>
      </c>
      <c r="AJ1248" s="268">
        <f t="shared" ref="AJ1248" si="868">IF(R1250&gt;R1247,1,0)</f>
        <v>0</v>
      </c>
      <c r="AK1248" s="268">
        <f t="shared" ref="AK1248" si="869">IF(S1250&gt;S1247,1,0)</f>
        <v>0</v>
      </c>
      <c r="AL1248" s="268">
        <f t="shared" ref="AL1248" si="870">IF(T1250&gt;T1247,1,0)</f>
        <v>0</v>
      </c>
      <c r="AN1248" s="268">
        <f t="shared" ref="AN1248:AT1248" si="871">IF(ISBLANK(N1250)=TRUE,"",IF(AF1248=1,N1247,-N1250))</f>
        <v>-3</v>
      </c>
      <c r="AO1248" s="268">
        <f t="shared" si="871"/>
        <v>-4</v>
      </c>
      <c r="AP1248" s="268">
        <f t="shared" si="871"/>
        <v>-1</v>
      </c>
      <c r="AQ1248" s="268" t="str">
        <f t="shared" si="871"/>
        <v/>
      </c>
      <c r="AR1248" s="268" t="str">
        <f t="shared" si="871"/>
        <v/>
      </c>
      <c r="AS1248" s="268" t="str">
        <f t="shared" si="871"/>
        <v/>
      </c>
      <c r="AT1248" s="268" t="str">
        <f t="shared" si="871"/>
        <v/>
      </c>
      <c r="AZ1248" s="269" t="s">
        <v>18</v>
      </c>
      <c r="BA1248" s="269">
        <v>2</v>
      </c>
    </row>
    <row r="1249" spans="1:53" ht="39.950000000000003" customHeight="1">
      <c r="E1249" s="264" t="s">
        <v>35</v>
      </c>
      <c r="F1249" s="265" t="str">
        <f>VLOOKUP(A1245,'zoznam zapasov'!$A$6:$K$77,9,0)</f>
        <v>So</v>
      </c>
      <c r="G1249" s="263"/>
      <c r="H1249" s="263"/>
      <c r="I1249" s="263"/>
      <c r="J1249" s="263"/>
      <c r="K1249" s="263"/>
      <c r="L1249" s="263"/>
      <c r="M1249" s="263"/>
      <c r="N1249" s="263"/>
      <c r="O1249" s="263"/>
      <c r="P1249" s="263"/>
      <c r="Q1249" s="263"/>
      <c r="R1249" s="263"/>
      <c r="S1249" s="263"/>
      <c r="T1249" s="263"/>
      <c r="U1249" s="263"/>
      <c r="V1249" s="263"/>
      <c r="W1249" s="267"/>
      <c r="X1249" s="263"/>
      <c r="AZ1249" s="269" t="s">
        <v>38</v>
      </c>
      <c r="BA1249" s="269">
        <v>3</v>
      </c>
    </row>
    <row r="1250" spans="1:53" ht="39.950000000000003" customHeight="1">
      <c r="A1250" s="252" t="str">
        <f>CONCATENATE(F1252,VLOOKUP(F1254,$AZ$7:$BA$14,2,0),RIGHT(F1256,1))</f>
        <v>CH44</v>
      </c>
      <c r="E1250" s="264" t="s">
        <v>28</v>
      </c>
      <c r="F1250" s="270" t="str">
        <f>VLOOKUP(A1245,'zoznam zapasov'!$A$6:$K$77,10,0)</f>
        <v>12.25</v>
      </c>
      <c r="G1250" s="508"/>
      <c r="H1250" s="486"/>
      <c r="I1250" s="487" t="str">
        <f>IF(ISERROR(VLOOKUP(A1250,vylosovanie!$A$8:$J$68,6,0))=TRUE,"",VLOOKUP(A1250,vylosovanie!$A$8:$J$68,6,0))</f>
        <v>TRŇAN Jakub</v>
      </c>
      <c r="J1250" s="487"/>
      <c r="K1250" s="487"/>
      <c r="L1250" s="487"/>
      <c r="M1250" s="263"/>
      <c r="N1250" s="489">
        <v>3</v>
      </c>
      <c r="O1250" s="489">
        <v>4</v>
      </c>
      <c r="P1250" s="489">
        <v>1</v>
      </c>
      <c r="Q1250" s="489"/>
      <c r="R1250" s="489"/>
      <c r="S1250" s="489"/>
      <c r="T1250" s="489"/>
      <c r="U1250" s="263"/>
      <c r="V1250" s="493">
        <f>IF(SUM(AF1247:AL1248)=0,"",SUM(AF1248:AL1248))</f>
        <v>0</v>
      </c>
      <c r="W1250" s="267"/>
      <c r="X1250" s="263"/>
      <c r="AZ1250" s="269" t="s">
        <v>39</v>
      </c>
      <c r="BA1250" s="269">
        <v>4</v>
      </c>
    </row>
    <row r="1251" spans="1:53" ht="39.950000000000003" customHeight="1">
      <c r="E1251" s="271"/>
      <c r="F1251" s="272"/>
      <c r="G1251" s="509"/>
      <c r="H1251" s="486"/>
      <c r="I1251" s="487"/>
      <c r="J1251" s="487"/>
      <c r="K1251" s="487"/>
      <c r="L1251" s="487"/>
      <c r="M1251" s="263"/>
      <c r="N1251" s="490"/>
      <c r="O1251" s="490"/>
      <c r="P1251" s="490"/>
      <c r="Q1251" s="490"/>
      <c r="R1251" s="490"/>
      <c r="S1251" s="490"/>
      <c r="T1251" s="490"/>
      <c r="U1251" s="263"/>
      <c r="V1251" s="493"/>
      <c r="W1251" s="267"/>
      <c r="X1251" s="263"/>
      <c r="AZ1251" s="269" t="s">
        <v>40</v>
      </c>
      <c r="BA1251" s="269">
        <v>5</v>
      </c>
    </row>
    <row r="1252" spans="1:53" ht="39.950000000000003" customHeight="1">
      <c r="E1252" s="264" t="s">
        <v>66</v>
      </c>
      <c r="F1252" s="265" t="s">
        <v>65</v>
      </c>
      <c r="G1252" s="263"/>
      <c r="H1252" s="263"/>
      <c r="I1252" s="263"/>
      <c r="J1252" s="263"/>
      <c r="K1252" s="263"/>
      <c r="L1252" s="263"/>
      <c r="M1252" s="263"/>
      <c r="N1252" s="263"/>
      <c r="O1252" s="263"/>
      <c r="P1252" s="263"/>
      <c r="Q1252" s="263"/>
      <c r="R1252" s="263"/>
      <c r="S1252" s="263"/>
      <c r="T1252" s="263"/>
      <c r="U1252" s="263"/>
      <c r="V1252" s="263"/>
      <c r="W1252" s="267"/>
      <c r="X1252" s="263"/>
      <c r="AZ1252" s="269" t="s">
        <v>41</v>
      </c>
      <c r="BA1252" s="269">
        <v>6</v>
      </c>
    </row>
    <row r="1253" spans="1:53" ht="39.950000000000003" customHeight="1">
      <c r="E1253" s="271"/>
      <c r="F1253" s="272"/>
      <c r="G1253" s="263"/>
      <c r="H1253" s="263"/>
      <c r="I1253" s="263" t="s">
        <v>32</v>
      </c>
      <c r="J1253" s="263"/>
      <c r="K1253" s="263"/>
      <c r="L1253" s="263"/>
      <c r="M1253" s="263"/>
      <c r="N1253" s="273"/>
      <c r="O1253" s="266"/>
      <c r="P1253" s="266" t="s">
        <v>34</v>
      </c>
      <c r="Q1253" s="266"/>
      <c r="R1253" s="266"/>
      <c r="S1253" s="266"/>
      <c r="T1253" s="266"/>
      <c r="U1253" s="263"/>
      <c r="V1253" s="263"/>
      <c r="W1253" s="267"/>
      <c r="X1253" s="263"/>
      <c r="AZ1253" s="269" t="s">
        <v>42</v>
      </c>
      <c r="BA1253" s="269">
        <v>7</v>
      </c>
    </row>
    <row r="1254" spans="1:53" ht="39.950000000000003" customHeight="1">
      <c r="E1254" s="264" t="s">
        <v>26</v>
      </c>
      <c r="F1254" s="265" t="s">
        <v>39</v>
      </c>
      <c r="G1254" s="263"/>
      <c r="H1254" s="263"/>
      <c r="I1254" s="486"/>
      <c r="J1254" s="486"/>
      <c r="K1254" s="486"/>
      <c r="L1254" s="486"/>
      <c r="M1254" s="263"/>
      <c r="N1254" s="486" t="str">
        <f>IF(V1247&gt;V1250,I1247,IF(V1250&gt;V1247,I1250,""))</f>
        <v>PINDURA Tobiáš</v>
      </c>
      <c r="O1254" s="486"/>
      <c r="P1254" s="486"/>
      <c r="Q1254" s="486"/>
      <c r="R1254" s="486"/>
      <c r="S1254" s="486"/>
      <c r="T1254" s="263"/>
      <c r="U1254" s="263"/>
      <c r="V1254" s="263"/>
      <c r="W1254" s="267"/>
      <c r="X1254" s="263"/>
      <c r="AZ1254" s="269" t="s">
        <v>43</v>
      </c>
      <c r="BA1254" s="269">
        <v>8</v>
      </c>
    </row>
    <row r="1255" spans="1:53" ht="39.950000000000003" customHeight="1">
      <c r="E1255" s="271"/>
      <c r="F1255" s="272"/>
      <c r="G1255" s="263"/>
      <c r="H1255" s="263"/>
      <c r="I1255" s="486"/>
      <c r="J1255" s="486"/>
      <c r="K1255" s="486"/>
      <c r="L1255" s="486"/>
      <c r="M1255" s="263"/>
      <c r="N1255" s="486"/>
      <c r="O1255" s="486"/>
      <c r="P1255" s="486"/>
      <c r="Q1255" s="486"/>
      <c r="R1255" s="486"/>
      <c r="S1255" s="486"/>
      <c r="T1255" s="263"/>
      <c r="U1255" s="263"/>
      <c r="V1255" s="263"/>
      <c r="W1255" s="267"/>
      <c r="X1255" s="263"/>
    </row>
    <row r="1256" spans="1:53" ht="39.950000000000003" customHeight="1">
      <c r="E1256" s="264" t="s">
        <v>27</v>
      </c>
      <c r="F1256" s="274" t="s">
        <v>24</v>
      </c>
      <c r="G1256" s="263"/>
      <c r="H1256" s="263"/>
      <c r="I1256" s="263"/>
      <c r="J1256" s="263"/>
      <c r="K1256" s="263"/>
      <c r="L1256" s="263"/>
      <c r="M1256" s="263"/>
      <c r="N1256" s="263"/>
      <c r="O1256" s="263"/>
      <c r="P1256" s="263"/>
      <c r="Q1256" s="263"/>
      <c r="R1256" s="263"/>
      <c r="S1256" s="263"/>
      <c r="T1256" s="263"/>
      <c r="U1256" s="263"/>
      <c r="V1256" s="263"/>
      <c r="W1256" s="267"/>
      <c r="X1256" s="263"/>
    </row>
    <row r="1257" spans="1:53" ht="39.950000000000003" customHeight="1">
      <c r="E1257" s="271"/>
      <c r="F1257" s="272"/>
      <c r="G1257" s="263"/>
      <c r="H1257" s="263" t="s">
        <v>33</v>
      </c>
      <c r="I1257" s="263"/>
      <c r="J1257" s="263"/>
      <c r="K1257" s="263"/>
      <c r="L1257" s="263"/>
      <c r="M1257" s="263"/>
      <c r="N1257" s="263"/>
      <c r="O1257" s="263"/>
      <c r="P1257" s="263"/>
      <c r="Q1257" s="263"/>
      <c r="R1257" s="263"/>
      <c r="S1257" s="263"/>
      <c r="T1257" s="263"/>
      <c r="U1257" s="263"/>
      <c r="V1257" s="263"/>
      <c r="W1257" s="267"/>
      <c r="X1257" s="263"/>
    </row>
    <row r="1258" spans="1:53" ht="39.950000000000003" customHeight="1">
      <c r="E1258" s="271"/>
      <c r="F1258" s="272"/>
      <c r="G1258" s="263"/>
      <c r="H1258" s="263"/>
      <c r="I1258" s="263"/>
      <c r="J1258" s="263"/>
      <c r="K1258" s="263"/>
      <c r="L1258" s="263"/>
      <c r="M1258" s="263"/>
      <c r="N1258" s="263"/>
      <c r="O1258" s="263"/>
      <c r="P1258" s="263"/>
      <c r="Q1258" s="263"/>
      <c r="R1258" s="263"/>
      <c r="S1258" s="263"/>
      <c r="T1258" s="263"/>
      <c r="U1258" s="263"/>
      <c r="V1258" s="263"/>
      <c r="W1258" s="267"/>
      <c r="X1258" s="263"/>
    </row>
    <row r="1259" spans="1:53" ht="39.950000000000003" customHeight="1">
      <c r="E1259" s="271"/>
      <c r="F1259" s="272"/>
      <c r="G1259" s="263"/>
      <c r="H1259" s="263"/>
      <c r="I1259" s="496" t="str">
        <f>I1247</f>
        <v>PINDURA Tobiáš</v>
      </c>
      <c r="J1259" s="496"/>
      <c r="K1259" s="496"/>
      <c r="L1259" s="496"/>
      <c r="M1259" s="263"/>
      <c r="N1259" s="263"/>
      <c r="O1259" s="263"/>
      <c r="P1259" s="496" t="str">
        <f>I1250</f>
        <v>TRŇAN Jakub</v>
      </c>
      <c r="Q1259" s="496"/>
      <c r="R1259" s="496"/>
      <c r="S1259" s="496"/>
      <c r="T1259" s="497"/>
      <c r="U1259" s="497"/>
      <c r="V1259" s="263"/>
      <c r="W1259" s="267"/>
      <c r="X1259" s="263"/>
    </row>
    <row r="1260" spans="1:53" ht="69.95" customHeight="1">
      <c r="E1260" s="264"/>
      <c r="F1260" s="265"/>
      <c r="G1260" s="263"/>
      <c r="H1260" s="275" t="s">
        <v>36</v>
      </c>
      <c r="I1260" s="483"/>
      <c r="J1260" s="494"/>
      <c r="K1260" s="494"/>
      <c r="L1260" s="495"/>
      <c r="M1260" s="263"/>
      <c r="N1260" s="263"/>
      <c r="O1260" s="275" t="s">
        <v>36</v>
      </c>
      <c r="P1260" s="486"/>
      <c r="Q1260" s="486"/>
      <c r="R1260" s="486"/>
      <c r="S1260" s="486"/>
      <c r="T1260" s="486"/>
      <c r="U1260" s="486"/>
      <c r="V1260" s="263"/>
      <c r="W1260" s="267"/>
      <c r="X1260" s="263"/>
    </row>
    <row r="1261" spans="1:53" ht="69.95" customHeight="1">
      <c r="E1261" s="264"/>
      <c r="F1261" s="265"/>
      <c r="G1261" s="263"/>
      <c r="H1261" s="275" t="s">
        <v>37</v>
      </c>
      <c r="I1261" s="486"/>
      <c r="J1261" s="486"/>
      <c r="K1261" s="486"/>
      <c r="L1261" s="486"/>
      <c r="M1261" s="263"/>
      <c r="N1261" s="263"/>
      <c r="O1261" s="275" t="s">
        <v>37</v>
      </c>
      <c r="P1261" s="486"/>
      <c r="Q1261" s="486"/>
      <c r="R1261" s="486"/>
      <c r="S1261" s="486"/>
      <c r="T1261" s="486"/>
      <c r="U1261" s="486"/>
      <c r="V1261" s="263"/>
      <c r="W1261" s="267"/>
      <c r="X1261" s="263"/>
    </row>
    <row r="1262" spans="1:53" ht="69.95" customHeight="1">
      <c r="E1262" s="264"/>
      <c r="F1262" s="265"/>
      <c r="G1262" s="263"/>
      <c r="H1262" s="275" t="s">
        <v>37</v>
      </c>
      <c r="I1262" s="486"/>
      <c r="J1262" s="486"/>
      <c r="K1262" s="486"/>
      <c r="L1262" s="486"/>
      <c r="M1262" s="263"/>
      <c r="N1262" s="263"/>
      <c r="O1262" s="275" t="s">
        <v>37</v>
      </c>
      <c r="P1262" s="486"/>
      <c r="Q1262" s="486"/>
      <c r="R1262" s="486"/>
      <c r="S1262" s="486"/>
      <c r="T1262" s="486"/>
      <c r="U1262" s="486"/>
      <c r="V1262" s="263"/>
      <c r="W1262" s="267"/>
      <c r="X1262" s="263"/>
    </row>
    <row r="1263" spans="1:53" ht="39.950000000000003" customHeight="1" thickBot="1">
      <c r="E1263" s="276"/>
      <c r="F1263" s="277"/>
      <c r="G1263" s="278"/>
      <c r="H1263" s="278"/>
      <c r="I1263" s="278"/>
      <c r="J1263" s="278"/>
      <c r="K1263" s="278"/>
      <c r="L1263" s="278"/>
      <c r="M1263" s="278"/>
      <c r="N1263" s="278"/>
      <c r="O1263" s="278"/>
      <c r="P1263" s="278"/>
      <c r="Q1263" s="278"/>
      <c r="R1263" s="278"/>
      <c r="S1263" s="278"/>
      <c r="T1263" s="279"/>
      <c r="U1263" s="279"/>
      <c r="V1263" s="279"/>
      <c r="W1263" s="280"/>
      <c r="X1263" s="263"/>
    </row>
    <row r="1264" spans="1:53" ht="62.25" thickBot="1"/>
    <row r="1265" spans="1:53" ht="39.950000000000003" customHeight="1">
      <c r="A1265" s="252" t="str">
        <f>CONCATENATE(F1272,F1274,F1276)</f>
        <v>CHD2-3</v>
      </c>
      <c r="E1265" s="259" t="s">
        <v>70</v>
      </c>
      <c r="F1265" s="260">
        <f>VLOOKUP(A1265,'zoznam zapasov'!$A$6:$K$77,3,0)</f>
        <v>64</v>
      </c>
      <c r="G1265" s="261"/>
      <c r="H1265" s="322" t="s">
        <v>501</v>
      </c>
      <c r="I1265" s="261"/>
      <c r="J1265" s="261"/>
      <c r="K1265" s="261"/>
      <c r="L1265" s="261"/>
      <c r="M1265" s="261"/>
      <c r="N1265" s="261"/>
      <c r="O1265" s="261"/>
      <c r="P1265" s="261"/>
      <c r="Q1265" s="261"/>
      <c r="R1265" s="261"/>
      <c r="S1265" s="261"/>
      <c r="T1265" s="261"/>
      <c r="U1265" s="261"/>
      <c r="V1265" s="261" t="s">
        <v>30</v>
      </c>
      <c r="W1265" s="262"/>
      <c r="X1265" s="263"/>
      <c r="Z1265" s="258" t="str">
        <f>CONCATENATE(V1267,":",V1270)</f>
        <v>3:0</v>
      </c>
      <c r="AE1265" s="253" t="s">
        <v>11</v>
      </c>
      <c r="AV1265" s="256" t="str">
        <f>CONCATENATE(AN1267,",",AO1267,",",AP1267,",",AQ1267,",",AR1267,",",AS1267,",",AT1267)</f>
        <v>2,7,8,,,,</v>
      </c>
    </row>
    <row r="1266" spans="1:53" ht="39.950000000000003" customHeight="1">
      <c r="E1266" s="264"/>
      <c r="F1266" s="265"/>
      <c r="G1266" s="321" t="s">
        <v>500</v>
      </c>
      <c r="H1266" s="323" t="s">
        <v>502</v>
      </c>
      <c r="I1266" s="263"/>
      <c r="J1266" s="263"/>
      <c r="K1266" s="263"/>
      <c r="L1266" s="263"/>
      <c r="M1266" s="263"/>
      <c r="N1266" s="266">
        <v>1</v>
      </c>
      <c r="O1266" s="266">
        <v>2</v>
      </c>
      <c r="P1266" s="266">
        <v>3</v>
      </c>
      <c r="Q1266" s="266">
        <v>4</v>
      </c>
      <c r="R1266" s="266">
        <v>5</v>
      </c>
      <c r="S1266" s="266">
        <v>6</v>
      </c>
      <c r="T1266" s="266">
        <v>7</v>
      </c>
      <c r="U1266" s="263"/>
      <c r="V1266" s="266" t="s">
        <v>31</v>
      </c>
      <c r="W1266" s="267"/>
      <c r="X1266" s="263"/>
      <c r="AE1266" s="253" t="s">
        <v>68</v>
      </c>
      <c r="AV1266" s="256" t="str">
        <f>CONCATENATE(AN1268,",",AO1268,",",AP1268,",",AQ1268,",",AR1268,",",AS1268,",",AT1268)</f>
        <v>-2,-7,-8,,,,</v>
      </c>
    </row>
    <row r="1267" spans="1:53" ht="39.950000000000003" customHeight="1">
      <c r="A1267" s="252" t="str">
        <f>CONCATENATE(F1272,VLOOKUP(F1274,$AZ$7:$BA$14,2,0),LEFT(F1276,1))</f>
        <v>CH42</v>
      </c>
      <c r="E1267" s="264" t="s">
        <v>29</v>
      </c>
      <c r="F1267" s="265">
        <f>VLOOKUP(A1265,'zoznam zapasov'!$A$6:$K$77,11,0)</f>
        <v>8</v>
      </c>
      <c r="G1267" s="508"/>
      <c r="H1267" s="495"/>
      <c r="I1267" s="487" t="str">
        <f>IF(ISERROR(VLOOKUP(A1267,vylosovanie!$A$8:$J$68,6,0))=TRUE,"",VLOOKUP(A1267,vylosovanie!$A$8:$J$68,6,0))</f>
        <v>HURKA Rastislav</v>
      </c>
      <c r="J1267" s="487"/>
      <c r="K1267" s="487"/>
      <c r="L1267" s="487"/>
      <c r="M1267" s="263"/>
      <c r="N1267" s="489">
        <v>11</v>
      </c>
      <c r="O1267" s="489">
        <v>11</v>
      </c>
      <c r="P1267" s="489">
        <v>11</v>
      </c>
      <c r="Q1267" s="489"/>
      <c r="R1267" s="489"/>
      <c r="S1267" s="489"/>
      <c r="T1267" s="489"/>
      <c r="U1267" s="263"/>
      <c r="V1267" s="493">
        <f>IF(SUM(AF1267:AL1268)=0,"",SUM(AF1267:AL1267))</f>
        <v>3</v>
      </c>
      <c r="W1267" s="267"/>
      <c r="X1267" s="263"/>
      <c r="AE1267" s="253" t="str">
        <f>VLOOKUP(I1267,vylosovanie!$F$8:$L$190,7,0)</f>
        <v>CH42</v>
      </c>
      <c r="AF1267" s="268">
        <f>IF(N1267&gt;N1270,1,0)</f>
        <v>1</v>
      </c>
      <c r="AG1267" s="268">
        <f t="shared" ref="AG1267" si="872">IF(O1267&gt;O1270,1,0)</f>
        <v>1</v>
      </c>
      <c r="AH1267" s="268">
        <f t="shared" ref="AH1267" si="873">IF(P1267&gt;P1270,1,0)</f>
        <v>1</v>
      </c>
      <c r="AI1267" s="268">
        <f t="shared" ref="AI1267" si="874">IF(Q1267&gt;Q1270,1,0)</f>
        <v>0</v>
      </c>
      <c r="AJ1267" s="268">
        <f t="shared" ref="AJ1267" si="875">IF(R1267&gt;R1270,1,0)</f>
        <v>0</v>
      </c>
      <c r="AK1267" s="268">
        <f t="shared" ref="AK1267" si="876">IF(S1267&gt;S1270,1,0)</f>
        <v>0</v>
      </c>
      <c r="AL1267" s="268">
        <f t="shared" ref="AL1267" si="877">IF(T1267&gt;T1270,1,0)</f>
        <v>0</v>
      </c>
      <c r="AN1267" s="268">
        <f t="shared" ref="AN1267:AT1267" si="878">IF(ISBLANK(N1267)=TRUE,"",IF(AF1267=1,N1270,-N1267))</f>
        <v>2</v>
      </c>
      <c r="AO1267" s="268">
        <f t="shared" si="878"/>
        <v>7</v>
      </c>
      <c r="AP1267" s="268">
        <f t="shared" si="878"/>
        <v>8</v>
      </c>
      <c r="AQ1267" s="268" t="str">
        <f t="shared" si="878"/>
        <v/>
      </c>
      <c r="AR1267" s="268" t="str">
        <f t="shared" si="878"/>
        <v/>
      </c>
      <c r="AS1267" s="268" t="str">
        <f t="shared" si="878"/>
        <v/>
      </c>
      <c r="AT1267" s="268" t="str">
        <f t="shared" si="878"/>
        <v/>
      </c>
      <c r="AZ1267" s="269" t="s">
        <v>12</v>
      </c>
      <c r="BA1267" s="269">
        <v>1</v>
      </c>
    </row>
    <row r="1268" spans="1:53" ht="39.950000000000003" customHeight="1">
      <c r="E1268" s="264"/>
      <c r="F1268" s="265"/>
      <c r="G1268" s="509"/>
      <c r="H1268" s="495"/>
      <c r="I1268" s="487"/>
      <c r="J1268" s="487"/>
      <c r="K1268" s="487"/>
      <c r="L1268" s="487"/>
      <c r="M1268" s="263"/>
      <c r="N1268" s="490"/>
      <c r="O1268" s="490"/>
      <c r="P1268" s="490"/>
      <c r="Q1268" s="490"/>
      <c r="R1268" s="490"/>
      <c r="S1268" s="490"/>
      <c r="T1268" s="490"/>
      <c r="U1268" s="263"/>
      <c r="V1268" s="493"/>
      <c r="W1268" s="267"/>
      <c r="X1268" s="263"/>
      <c r="AE1268" s="253" t="str">
        <f>VLOOKUP(I1270,vylosovanie!$F$8:$L$190,7,0)</f>
        <v>CH43</v>
      </c>
      <c r="AF1268" s="268">
        <f>IF(N1270&gt;N1267,1,0)</f>
        <v>0</v>
      </c>
      <c r="AG1268" s="268">
        <f t="shared" ref="AG1268" si="879">IF(O1270&gt;O1267,1,0)</f>
        <v>0</v>
      </c>
      <c r="AH1268" s="268">
        <f t="shared" ref="AH1268" si="880">IF(P1270&gt;P1267,1,0)</f>
        <v>0</v>
      </c>
      <c r="AI1268" s="268">
        <f t="shared" ref="AI1268" si="881">IF(Q1270&gt;Q1267,1,0)</f>
        <v>0</v>
      </c>
      <c r="AJ1268" s="268">
        <f t="shared" ref="AJ1268" si="882">IF(R1270&gt;R1267,1,0)</f>
        <v>0</v>
      </c>
      <c r="AK1268" s="268">
        <f t="shared" ref="AK1268" si="883">IF(S1270&gt;S1267,1,0)</f>
        <v>0</v>
      </c>
      <c r="AL1268" s="268">
        <f t="shared" ref="AL1268" si="884">IF(T1270&gt;T1267,1,0)</f>
        <v>0</v>
      </c>
      <c r="AN1268" s="268">
        <f t="shared" ref="AN1268:AT1268" si="885">IF(ISBLANK(N1270)=TRUE,"",IF(AF1268=1,N1267,-N1270))</f>
        <v>-2</v>
      </c>
      <c r="AO1268" s="268">
        <f t="shared" si="885"/>
        <v>-7</v>
      </c>
      <c r="AP1268" s="268">
        <f t="shared" si="885"/>
        <v>-8</v>
      </c>
      <c r="AQ1268" s="268" t="str">
        <f t="shared" si="885"/>
        <v/>
      </c>
      <c r="AR1268" s="268" t="str">
        <f t="shared" si="885"/>
        <v/>
      </c>
      <c r="AS1268" s="268" t="str">
        <f t="shared" si="885"/>
        <v/>
      </c>
      <c r="AT1268" s="268" t="str">
        <f t="shared" si="885"/>
        <v/>
      </c>
      <c r="AZ1268" s="269" t="s">
        <v>18</v>
      </c>
      <c r="BA1268" s="269">
        <v>2</v>
      </c>
    </row>
    <row r="1269" spans="1:53" ht="39.950000000000003" customHeight="1">
      <c r="E1269" s="264" t="s">
        <v>35</v>
      </c>
      <c r="F1269" s="265" t="str">
        <f>VLOOKUP(A1265,'zoznam zapasov'!$A$6:$K$77,9,0)</f>
        <v>So</v>
      </c>
      <c r="G1269" s="263"/>
      <c r="H1269" s="263"/>
      <c r="I1269" s="263"/>
      <c r="J1269" s="263"/>
      <c r="K1269" s="263"/>
      <c r="L1269" s="263"/>
      <c r="M1269" s="263"/>
      <c r="N1269" s="263"/>
      <c r="O1269" s="263"/>
      <c r="P1269" s="263"/>
      <c r="Q1269" s="263"/>
      <c r="R1269" s="263"/>
      <c r="S1269" s="263"/>
      <c r="T1269" s="263"/>
      <c r="U1269" s="263"/>
      <c r="V1269" s="263"/>
      <c r="W1269" s="267"/>
      <c r="X1269" s="263"/>
      <c r="AZ1269" s="269" t="s">
        <v>38</v>
      </c>
      <c r="BA1269" s="269">
        <v>3</v>
      </c>
    </row>
    <row r="1270" spans="1:53" ht="39.950000000000003" customHeight="1">
      <c r="A1270" s="252" t="str">
        <f>CONCATENATE(F1272,VLOOKUP(F1274,$AZ$7:$BA$14,2,0),RIGHT(F1276,1))</f>
        <v>CH43</v>
      </c>
      <c r="E1270" s="264" t="s">
        <v>28</v>
      </c>
      <c r="F1270" s="270" t="str">
        <f>VLOOKUP(A1265,'zoznam zapasov'!$A$6:$K$77,10,0)</f>
        <v>12.25</v>
      </c>
      <c r="G1270" s="508"/>
      <c r="H1270" s="486"/>
      <c r="I1270" s="487" t="str">
        <f>IF(ISERROR(VLOOKUP(A1270,vylosovanie!$A$8:$J$68,6,0))=TRUE,"",VLOOKUP(A1270,vylosovanie!$A$8:$J$68,6,0))</f>
        <v>DELINČAK Filip</v>
      </c>
      <c r="J1270" s="487"/>
      <c r="K1270" s="487"/>
      <c r="L1270" s="487"/>
      <c r="M1270" s="263"/>
      <c r="N1270" s="489">
        <v>2</v>
      </c>
      <c r="O1270" s="489">
        <v>7</v>
      </c>
      <c r="P1270" s="489">
        <v>8</v>
      </c>
      <c r="Q1270" s="489"/>
      <c r="R1270" s="489"/>
      <c r="S1270" s="489"/>
      <c r="T1270" s="489"/>
      <c r="U1270" s="263"/>
      <c r="V1270" s="493">
        <f>IF(SUM(AF1267:AL1268)=0,"",SUM(AF1268:AL1268))</f>
        <v>0</v>
      </c>
      <c r="W1270" s="267"/>
      <c r="X1270" s="263"/>
      <c r="AZ1270" s="269" t="s">
        <v>39</v>
      </c>
      <c r="BA1270" s="269">
        <v>4</v>
      </c>
    </row>
    <row r="1271" spans="1:53" ht="39.950000000000003" customHeight="1">
      <c r="E1271" s="271"/>
      <c r="F1271" s="272"/>
      <c r="G1271" s="509"/>
      <c r="H1271" s="486"/>
      <c r="I1271" s="487"/>
      <c r="J1271" s="487"/>
      <c r="K1271" s="487"/>
      <c r="L1271" s="487"/>
      <c r="M1271" s="263"/>
      <c r="N1271" s="490"/>
      <c r="O1271" s="490"/>
      <c r="P1271" s="490"/>
      <c r="Q1271" s="490"/>
      <c r="R1271" s="490"/>
      <c r="S1271" s="490"/>
      <c r="T1271" s="490"/>
      <c r="U1271" s="263"/>
      <c r="V1271" s="493"/>
      <c r="W1271" s="267"/>
      <c r="X1271" s="263"/>
      <c r="AZ1271" s="269" t="s">
        <v>40</v>
      </c>
      <c r="BA1271" s="269">
        <v>5</v>
      </c>
    </row>
    <row r="1272" spans="1:53" ht="39.950000000000003" customHeight="1">
      <c r="E1272" s="264" t="s">
        <v>66</v>
      </c>
      <c r="F1272" s="265" t="s">
        <v>65</v>
      </c>
      <c r="G1272" s="263"/>
      <c r="H1272" s="263"/>
      <c r="I1272" s="263"/>
      <c r="J1272" s="263"/>
      <c r="K1272" s="263"/>
      <c r="L1272" s="263"/>
      <c r="M1272" s="263"/>
      <c r="N1272" s="263"/>
      <c r="O1272" s="263"/>
      <c r="P1272" s="263"/>
      <c r="Q1272" s="263"/>
      <c r="R1272" s="263"/>
      <c r="S1272" s="263"/>
      <c r="T1272" s="263"/>
      <c r="U1272" s="263"/>
      <c r="V1272" s="263"/>
      <c r="W1272" s="267"/>
      <c r="X1272" s="263"/>
      <c r="AZ1272" s="269" t="s">
        <v>41</v>
      </c>
      <c r="BA1272" s="269">
        <v>6</v>
      </c>
    </row>
    <row r="1273" spans="1:53" ht="39.950000000000003" customHeight="1">
      <c r="E1273" s="271"/>
      <c r="F1273" s="272"/>
      <c r="G1273" s="263"/>
      <c r="H1273" s="263"/>
      <c r="I1273" s="263" t="s">
        <v>32</v>
      </c>
      <c r="J1273" s="263"/>
      <c r="K1273" s="263"/>
      <c r="L1273" s="263"/>
      <c r="M1273" s="263"/>
      <c r="N1273" s="273"/>
      <c r="O1273" s="266"/>
      <c r="P1273" s="266" t="s">
        <v>34</v>
      </c>
      <c r="Q1273" s="266"/>
      <c r="R1273" s="266"/>
      <c r="S1273" s="266"/>
      <c r="T1273" s="266"/>
      <c r="U1273" s="263"/>
      <c r="V1273" s="263"/>
      <c r="W1273" s="267"/>
      <c r="X1273" s="263"/>
      <c r="AZ1273" s="269" t="s">
        <v>42</v>
      </c>
      <c r="BA1273" s="269">
        <v>7</v>
      </c>
    </row>
    <row r="1274" spans="1:53" ht="39.950000000000003" customHeight="1">
      <c r="E1274" s="264" t="s">
        <v>26</v>
      </c>
      <c r="F1274" s="265" t="s">
        <v>39</v>
      </c>
      <c r="G1274" s="263"/>
      <c r="H1274" s="263"/>
      <c r="I1274" s="486"/>
      <c r="J1274" s="486"/>
      <c r="K1274" s="486"/>
      <c r="L1274" s="486"/>
      <c r="M1274" s="263"/>
      <c r="N1274" s="486" t="str">
        <f>IF(V1267&gt;V1270,I1267,IF(V1270&gt;V1267,I1270,""))</f>
        <v>HURKA Rastislav</v>
      </c>
      <c r="O1274" s="486"/>
      <c r="P1274" s="486"/>
      <c r="Q1274" s="486"/>
      <c r="R1274" s="486"/>
      <c r="S1274" s="486"/>
      <c r="T1274" s="263"/>
      <c r="U1274" s="263"/>
      <c r="V1274" s="263"/>
      <c r="W1274" s="267"/>
      <c r="X1274" s="263"/>
      <c r="AZ1274" s="269" t="s">
        <v>43</v>
      </c>
      <c r="BA1274" s="269">
        <v>8</v>
      </c>
    </row>
    <row r="1275" spans="1:53" ht="39.950000000000003" customHeight="1">
      <c r="E1275" s="271"/>
      <c r="F1275" s="272"/>
      <c r="G1275" s="263"/>
      <c r="H1275" s="263"/>
      <c r="I1275" s="486"/>
      <c r="J1275" s="486"/>
      <c r="K1275" s="486"/>
      <c r="L1275" s="486"/>
      <c r="M1275" s="263"/>
      <c r="N1275" s="486"/>
      <c r="O1275" s="486"/>
      <c r="P1275" s="486"/>
      <c r="Q1275" s="486"/>
      <c r="R1275" s="486"/>
      <c r="S1275" s="486"/>
      <c r="T1275" s="263"/>
      <c r="U1275" s="263"/>
      <c r="V1275" s="263"/>
      <c r="W1275" s="267"/>
      <c r="X1275" s="263"/>
    </row>
    <row r="1276" spans="1:53" ht="39.950000000000003" customHeight="1">
      <c r="E1276" s="264" t="s">
        <v>27</v>
      </c>
      <c r="F1276" s="274" t="s">
        <v>25</v>
      </c>
      <c r="G1276" s="263"/>
      <c r="H1276" s="263"/>
      <c r="I1276" s="263"/>
      <c r="J1276" s="263"/>
      <c r="K1276" s="263"/>
      <c r="L1276" s="263"/>
      <c r="M1276" s="263"/>
      <c r="N1276" s="263"/>
      <c r="O1276" s="263"/>
      <c r="P1276" s="263"/>
      <c r="Q1276" s="263"/>
      <c r="R1276" s="263"/>
      <c r="S1276" s="263"/>
      <c r="T1276" s="263"/>
      <c r="U1276" s="263"/>
      <c r="V1276" s="263"/>
      <c r="W1276" s="267"/>
      <c r="X1276" s="263"/>
    </row>
    <row r="1277" spans="1:53" ht="39.950000000000003" customHeight="1">
      <c r="E1277" s="271"/>
      <c r="F1277" s="272"/>
      <c r="G1277" s="263"/>
      <c r="H1277" s="263" t="s">
        <v>33</v>
      </c>
      <c r="I1277" s="263"/>
      <c r="J1277" s="263"/>
      <c r="K1277" s="263"/>
      <c r="L1277" s="263"/>
      <c r="M1277" s="263"/>
      <c r="N1277" s="263"/>
      <c r="O1277" s="263"/>
      <c r="P1277" s="263"/>
      <c r="Q1277" s="263"/>
      <c r="R1277" s="263"/>
      <c r="S1277" s="263"/>
      <c r="T1277" s="263"/>
      <c r="U1277" s="263"/>
      <c r="V1277" s="263"/>
      <c r="W1277" s="267"/>
      <c r="X1277" s="263"/>
    </row>
    <row r="1278" spans="1:53" ht="39.950000000000003" customHeight="1">
      <c r="E1278" s="271"/>
      <c r="F1278" s="272"/>
      <c r="G1278" s="263"/>
      <c r="H1278" s="263"/>
      <c r="I1278" s="263"/>
      <c r="J1278" s="263"/>
      <c r="K1278" s="263"/>
      <c r="L1278" s="263"/>
      <c r="M1278" s="263"/>
      <c r="N1278" s="263"/>
      <c r="O1278" s="263"/>
      <c r="P1278" s="263"/>
      <c r="Q1278" s="263"/>
      <c r="R1278" s="263"/>
      <c r="S1278" s="263"/>
      <c r="T1278" s="263"/>
      <c r="U1278" s="263"/>
      <c r="V1278" s="263"/>
      <c r="W1278" s="267"/>
      <c r="X1278" s="263"/>
    </row>
    <row r="1279" spans="1:53" ht="39.950000000000003" customHeight="1">
      <c r="E1279" s="271"/>
      <c r="F1279" s="272"/>
      <c r="G1279" s="263"/>
      <c r="H1279" s="263"/>
      <c r="I1279" s="496" t="str">
        <f>I1267</f>
        <v>HURKA Rastislav</v>
      </c>
      <c r="J1279" s="496"/>
      <c r="K1279" s="496"/>
      <c r="L1279" s="496"/>
      <c r="M1279" s="263"/>
      <c r="N1279" s="263"/>
      <c r="O1279" s="263"/>
      <c r="P1279" s="496" t="str">
        <f>I1270</f>
        <v>DELINČAK Filip</v>
      </c>
      <c r="Q1279" s="496"/>
      <c r="R1279" s="496"/>
      <c r="S1279" s="496"/>
      <c r="T1279" s="497"/>
      <c r="U1279" s="497"/>
      <c r="V1279" s="263"/>
      <c r="W1279" s="267"/>
      <c r="X1279" s="263"/>
    </row>
    <row r="1280" spans="1:53" ht="69.95" customHeight="1">
      <c r="E1280" s="264"/>
      <c r="F1280" s="265"/>
      <c r="G1280" s="263"/>
      <c r="H1280" s="275" t="s">
        <v>36</v>
      </c>
      <c r="I1280" s="483"/>
      <c r="J1280" s="494"/>
      <c r="K1280" s="494"/>
      <c r="L1280" s="495"/>
      <c r="M1280" s="263"/>
      <c r="N1280" s="263"/>
      <c r="O1280" s="275" t="s">
        <v>36</v>
      </c>
      <c r="P1280" s="486"/>
      <c r="Q1280" s="486"/>
      <c r="R1280" s="486"/>
      <c r="S1280" s="486"/>
      <c r="T1280" s="486"/>
      <c r="U1280" s="486"/>
      <c r="V1280" s="263"/>
      <c r="W1280" s="267"/>
      <c r="X1280" s="263"/>
    </row>
    <row r="1281" spans="1:53" ht="69.95" customHeight="1">
      <c r="E1281" s="264"/>
      <c r="F1281" s="265"/>
      <c r="G1281" s="263"/>
      <c r="H1281" s="275" t="s">
        <v>37</v>
      </c>
      <c r="I1281" s="486"/>
      <c r="J1281" s="486"/>
      <c r="K1281" s="486"/>
      <c r="L1281" s="486"/>
      <c r="M1281" s="263"/>
      <c r="N1281" s="263"/>
      <c r="O1281" s="275" t="s">
        <v>37</v>
      </c>
      <c r="P1281" s="486"/>
      <c r="Q1281" s="486"/>
      <c r="R1281" s="486"/>
      <c r="S1281" s="486"/>
      <c r="T1281" s="486"/>
      <c r="U1281" s="486"/>
      <c r="V1281" s="263"/>
      <c r="W1281" s="267"/>
      <c r="X1281" s="263"/>
    </row>
    <row r="1282" spans="1:53" ht="69.95" customHeight="1">
      <c r="E1282" s="264"/>
      <c r="F1282" s="265"/>
      <c r="G1282" s="263"/>
      <c r="H1282" s="275" t="s">
        <v>37</v>
      </c>
      <c r="I1282" s="486"/>
      <c r="J1282" s="486"/>
      <c r="K1282" s="486"/>
      <c r="L1282" s="486"/>
      <c r="M1282" s="263"/>
      <c r="N1282" s="263"/>
      <c r="O1282" s="275" t="s">
        <v>37</v>
      </c>
      <c r="P1282" s="486"/>
      <c r="Q1282" s="486"/>
      <c r="R1282" s="486"/>
      <c r="S1282" s="486"/>
      <c r="T1282" s="486"/>
      <c r="U1282" s="486"/>
      <c r="V1282" s="263"/>
      <c r="W1282" s="267"/>
      <c r="X1282" s="263"/>
    </row>
    <row r="1283" spans="1:53" ht="39.950000000000003" customHeight="1" thickBot="1">
      <c r="E1283" s="276"/>
      <c r="F1283" s="277"/>
      <c r="G1283" s="278"/>
      <c r="H1283" s="278"/>
      <c r="I1283" s="278"/>
      <c r="J1283" s="278"/>
      <c r="K1283" s="278"/>
      <c r="L1283" s="278"/>
      <c r="M1283" s="278"/>
      <c r="N1283" s="278"/>
      <c r="O1283" s="278"/>
      <c r="P1283" s="278"/>
      <c r="Q1283" s="278"/>
      <c r="R1283" s="278"/>
      <c r="S1283" s="278"/>
      <c r="T1283" s="279"/>
      <c r="U1283" s="279"/>
      <c r="V1283" s="279"/>
      <c r="W1283" s="280"/>
      <c r="X1283" s="263"/>
    </row>
    <row r="1284" spans="1:53" ht="62.25" thickBot="1"/>
    <row r="1285" spans="1:53" ht="39.950000000000003" customHeight="1">
      <c r="A1285" s="252" t="str">
        <f>CONCATENATE(F1292,F1294,F1296)</f>
        <v>CHE1-4</v>
      </c>
      <c r="E1285" s="259" t="s">
        <v>70</v>
      </c>
      <c r="F1285" s="260">
        <f>VLOOKUP(A1285,'zoznam zapasov'!$A$6:$K$77,3,0)</f>
        <v>65</v>
      </c>
      <c r="G1285" s="261"/>
      <c r="H1285" s="322" t="s">
        <v>501</v>
      </c>
      <c r="I1285" s="261"/>
      <c r="J1285" s="261"/>
      <c r="K1285" s="261"/>
      <c r="L1285" s="261"/>
      <c r="M1285" s="261"/>
      <c r="N1285" s="261"/>
      <c r="O1285" s="261"/>
      <c r="P1285" s="261"/>
      <c r="Q1285" s="261"/>
      <c r="R1285" s="261"/>
      <c r="S1285" s="261"/>
      <c r="T1285" s="261"/>
      <c r="U1285" s="261"/>
      <c r="V1285" s="261" t="s">
        <v>30</v>
      </c>
      <c r="W1285" s="262"/>
      <c r="X1285" s="263"/>
      <c r="Z1285" s="258" t="str">
        <f>CONCATENATE(V1287,":",V1290)</f>
        <v>3:0</v>
      </c>
      <c r="AE1285" s="253" t="s">
        <v>11</v>
      </c>
      <c r="AV1285" s="256" t="str">
        <f>CONCATENATE(AN1287,",",AO1287,",",AP1287,",",AQ1287,",",AR1287,",",AS1287,",",AT1287)</f>
        <v>3,8,9,,,,</v>
      </c>
    </row>
    <row r="1286" spans="1:53" ht="39.950000000000003" customHeight="1">
      <c r="E1286" s="264"/>
      <c r="F1286" s="265"/>
      <c r="G1286" s="321" t="s">
        <v>500</v>
      </c>
      <c r="H1286" s="323" t="s">
        <v>502</v>
      </c>
      <c r="I1286" s="263"/>
      <c r="J1286" s="263"/>
      <c r="K1286" s="263"/>
      <c r="L1286" s="263"/>
      <c r="M1286" s="263"/>
      <c r="N1286" s="266">
        <v>1</v>
      </c>
      <c r="O1286" s="266">
        <v>2</v>
      </c>
      <c r="P1286" s="266">
        <v>3</v>
      </c>
      <c r="Q1286" s="266">
        <v>4</v>
      </c>
      <c r="R1286" s="266">
        <v>5</v>
      </c>
      <c r="S1286" s="266">
        <v>6</v>
      </c>
      <c r="T1286" s="266">
        <v>7</v>
      </c>
      <c r="U1286" s="263"/>
      <c r="V1286" s="266" t="s">
        <v>31</v>
      </c>
      <c r="W1286" s="267"/>
      <c r="X1286" s="263"/>
      <c r="AE1286" s="253" t="s">
        <v>68</v>
      </c>
      <c r="AV1286" s="256" t="str">
        <f>CONCATENATE(AN1288,",",AO1288,",",AP1288,",",AQ1288,",",AR1288,",",AS1288,",",AT1288)</f>
        <v>-3,-8,-9,,,,</v>
      </c>
    </row>
    <row r="1287" spans="1:53" ht="39.950000000000003" customHeight="1">
      <c r="A1287" s="252" t="str">
        <f>CONCATENATE(F1292,VLOOKUP(F1294,$AZ$7:$BA$14,2,0),LEFT(F1296,1))</f>
        <v>CH51</v>
      </c>
      <c r="E1287" s="264" t="s">
        <v>29</v>
      </c>
      <c r="F1287" s="265">
        <f>VLOOKUP(A1285,'zoznam zapasov'!$A$6:$K$77,11,0)</f>
        <v>1</v>
      </c>
      <c r="G1287" s="508"/>
      <c r="H1287" s="495"/>
      <c r="I1287" s="487" t="str">
        <f>IF(ISERROR(VLOOKUP(A1287,vylosovanie!$A$8:$J$68,6,0))=TRUE,"",VLOOKUP(A1287,vylosovanie!$A$8:$J$68,6,0))</f>
        <v>PETRÍK Filip</v>
      </c>
      <c r="J1287" s="487"/>
      <c r="K1287" s="487"/>
      <c r="L1287" s="487"/>
      <c r="M1287" s="263"/>
      <c r="N1287" s="489">
        <v>11</v>
      </c>
      <c r="O1287" s="489">
        <v>11</v>
      </c>
      <c r="P1287" s="489">
        <v>11</v>
      </c>
      <c r="Q1287" s="489"/>
      <c r="R1287" s="489"/>
      <c r="S1287" s="489"/>
      <c r="T1287" s="489"/>
      <c r="U1287" s="263"/>
      <c r="V1287" s="493">
        <f>IF(SUM(AF1287:AL1288)=0,"",SUM(AF1287:AL1287))</f>
        <v>3</v>
      </c>
      <c r="W1287" s="267"/>
      <c r="X1287" s="263"/>
      <c r="AE1287" s="253" t="str">
        <f>VLOOKUP(I1287,vylosovanie!$F$8:$L$190,7,0)</f>
        <v>CH51</v>
      </c>
      <c r="AF1287" s="268">
        <f>IF(N1287&gt;N1290,1,0)</f>
        <v>1</v>
      </c>
      <c r="AG1287" s="268">
        <f t="shared" ref="AG1287" si="886">IF(O1287&gt;O1290,1,0)</f>
        <v>1</v>
      </c>
      <c r="AH1287" s="268">
        <f t="shared" ref="AH1287" si="887">IF(P1287&gt;P1290,1,0)</f>
        <v>1</v>
      </c>
      <c r="AI1287" s="268">
        <f t="shared" ref="AI1287" si="888">IF(Q1287&gt;Q1290,1,0)</f>
        <v>0</v>
      </c>
      <c r="AJ1287" s="268">
        <f t="shared" ref="AJ1287" si="889">IF(R1287&gt;R1290,1,0)</f>
        <v>0</v>
      </c>
      <c r="AK1287" s="268">
        <f t="shared" ref="AK1287" si="890">IF(S1287&gt;S1290,1,0)</f>
        <v>0</v>
      </c>
      <c r="AL1287" s="268">
        <f t="shared" ref="AL1287" si="891">IF(T1287&gt;T1290,1,0)</f>
        <v>0</v>
      </c>
      <c r="AN1287" s="268">
        <f t="shared" ref="AN1287:AT1287" si="892">IF(ISBLANK(N1287)=TRUE,"",IF(AF1287=1,N1290,-N1287))</f>
        <v>3</v>
      </c>
      <c r="AO1287" s="268">
        <f t="shared" si="892"/>
        <v>8</v>
      </c>
      <c r="AP1287" s="268">
        <f t="shared" si="892"/>
        <v>9</v>
      </c>
      <c r="AQ1287" s="268" t="str">
        <f t="shared" si="892"/>
        <v/>
      </c>
      <c r="AR1287" s="268" t="str">
        <f t="shared" si="892"/>
        <v/>
      </c>
      <c r="AS1287" s="268" t="str">
        <f t="shared" si="892"/>
        <v/>
      </c>
      <c r="AT1287" s="268" t="str">
        <f t="shared" si="892"/>
        <v/>
      </c>
      <c r="AZ1287" s="269" t="s">
        <v>12</v>
      </c>
      <c r="BA1287" s="269">
        <v>1</v>
      </c>
    </row>
    <row r="1288" spans="1:53" ht="39.950000000000003" customHeight="1">
      <c r="E1288" s="264"/>
      <c r="F1288" s="265"/>
      <c r="G1288" s="509"/>
      <c r="H1288" s="495"/>
      <c r="I1288" s="487"/>
      <c r="J1288" s="487"/>
      <c r="K1288" s="487"/>
      <c r="L1288" s="487"/>
      <c r="M1288" s="263"/>
      <c r="N1288" s="490"/>
      <c r="O1288" s="490"/>
      <c r="P1288" s="490"/>
      <c r="Q1288" s="490"/>
      <c r="R1288" s="490"/>
      <c r="S1288" s="490"/>
      <c r="T1288" s="490"/>
      <c r="U1288" s="263"/>
      <c r="V1288" s="493"/>
      <c r="W1288" s="267"/>
      <c r="X1288" s="263"/>
      <c r="AE1288" s="253" t="str">
        <f>VLOOKUP(I1290,vylosovanie!$F$8:$L$190,7,0)</f>
        <v>CH54</v>
      </c>
      <c r="AF1288" s="268">
        <f>IF(N1290&gt;N1287,1,0)</f>
        <v>0</v>
      </c>
      <c r="AG1288" s="268">
        <f t="shared" ref="AG1288" si="893">IF(O1290&gt;O1287,1,0)</f>
        <v>0</v>
      </c>
      <c r="AH1288" s="268">
        <f t="shared" ref="AH1288" si="894">IF(P1290&gt;P1287,1,0)</f>
        <v>0</v>
      </c>
      <c r="AI1288" s="268">
        <f t="shared" ref="AI1288" si="895">IF(Q1290&gt;Q1287,1,0)</f>
        <v>0</v>
      </c>
      <c r="AJ1288" s="268">
        <f t="shared" ref="AJ1288" si="896">IF(R1290&gt;R1287,1,0)</f>
        <v>0</v>
      </c>
      <c r="AK1288" s="268">
        <f t="shared" ref="AK1288" si="897">IF(S1290&gt;S1287,1,0)</f>
        <v>0</v>
      </c>
      <c r="AL1288" s="268">
        <f t="shared" ref="AL1288" si="898">IF(T1290&gt;T1287,1,0)</f>
        <v>0</v>
      </c>
      <c r="AN1288" s="268">
        <f t="shared" ref="AN1288:AT1288" si="899">IF(ISBLANK(N1290)=TRUE,"",IF(AF1288=1,N1287,-N1290))</f>
        <v>-3</v>
      </c>
      <c r="AO1288" s="268">
        <f t="shared" si="899"/>
        <v>-8</v>
      </c>
      <c r="AP1288" s="268">
        <f t="shared" si="899"/>
        <v>-9</v>
      </c>
      <c r="AQ1288" s="268" t="str">
        <f t="shared" si="899"/>
        <v/>
      </c>
      <c r="AR1288" s="268" t="str">
        <f t="shared" si="899"/>
        <v/>
      </c>
      <c r="AS1288" s="268" t="str">
        <f t="shared" si="899"/>
        <v/>
      </c>
      <c r="AT1288" s="268" t="str">
        <f t="shared" si="899"/>
        <v/>
      </c>
      <c r="AZ1288" s="269" t="s">
        <v>18</v>
      </c>
      <c r="BA1288" s="269">
        <v>2</v>
      </c>
    </row>
    <row r="1289" spans="1:53" ht="39.950000000000003" customHeight="1">
      <c r="E1289" s="264" t="s">
        <v>35</v>
      </c>
      <c r="F1289" s="265" t="str">
        <f>VLOOKUP(A1285,'zoznam zapasov'!$A$6:$K$77,9,0)</f>
        <v>So</v>
      </c>
      <c r="G1289" s="263"/>
      <c r="H1289" s="263"/>
      <c r="I1289" s="263"/>
      <c r="J1289" s="263"/>
      <c r="K1289" s="263"/>
      <c r="L1289" s="263"/>
      <c r="M1289" s="263"/>
      <c r="N1289" s="263"/>
      <c r="O1289" s="263"/>
      <c r="P1289" s="263"/>
      <c r="Q1289" s="263"/>
      <c r="R1289" s="263"/>
      <c r="S1289" s="263"/>
      <c r="T1289" s="263"/>
      <c r="U1289" s="263"/>
      <c r="V1289" s="263"/>
      <c r="W1289" s="267"/>
      <c r="X1289" s="263"/>
      <c r="AZ1289" s="269" t="s">
        <v>38</v>
      </c>
      <c r="BA1289" s="269">
        <v>3</v>
      </c>
    </row>
    <row r="1290" spans="1:53" ht="39.950000000000003" customHeight="1">
      <c r="A1290" s="252" t="str">
        <f>CONCATENATE(F1292,VLOOKUP(F1294,$AZ$7:$BA$14,2,0),RIGHT(F1296,1))</f>
        <v>CH54</v>
      </c>
      <c r="E1290" s="264" t="s">
        <v>28</v>
      </c>
      <c r="F1290" s="270" t="str">
        <f>VLOOKUP(A1285,'zoznam zapasov'!$A$6:$K$77,10,0)</f>
        <v>12.50</v>
      </c>
      <c r="G1290" s="508"/>
      <c r="H1290" s="486"/>
      <c r="I1290" s="487" t="str">
        <f>IF(ISERROR(VLOOKUP(A1290,vylosovanie!$A$8:$J$68,6,0))=TRUE,"",VLOOKUP(A1290,vylosovanie!$A$8:$J$68,6,0))</f>
        <v>MACKO Miroslav</v>
      </c>
      <c r="J1290" s="487"/>
      <c r="K1290" s="487"/>
      <c r="L1290" s="487"/>
      <c r="M1290" s="263"/>
      <c r="N1290" s="489">
        <v>3</v>
      </c>
      <c r="O1290" s="489">
        <v>8</v>
      </c>
      <c r="P1290" s="489">
        <v>9</v>
      </c>
      <c r="Q1290" s="489"/>
      <c r="R1290" s="489"/>
      <c r="S1290" s="489"/>
      <c r="T1290" s="489"/>
      <c r="U1290" s="263"/>
      <c r="V1290" s="493">
        <f>IF(SUM(AF1287:AL1288)=0,"",SUM(AF1288:AL1288))</f>
        <v>0</v>
      </c>
      <c r="W1290" s="267"/>
      <c r="X1290" s="263"/>
      <c r="AZ1290" s="269" t="s">
        <v>39</v>
      </c>
      <c r="BA1290" s="269">
        <v>4</v>
      </c>
    </row>
    <row r="1291" spans="1:53" ht="39.950000000000003" customHeight="1">
      <c r="E1291" s="271"/>
      <c r="F1291" s="272"/>
      <c r="G1291" s="509"/>
      <c r="H1291" s="486"/>
      <c r="I1291" s="487"/>
      <c r="J1291" s="487"/>
      <c r="K1291" s="487"/>
      <c r="L1291" s="487"/>
      <c r="M1291" s="263"/>
      <c r="N1291" s="490"/>
      <c r="O1291" s="490"/>
      <c r="P1291" s="490"/>
      <c r="Q1291" s="490"/>
      <c r="R1291" s="490"/>
      <c r="S1291" s="490"/>
      <c r="T1291" s="490"/>
      <c r="U1291" s="263"/>
      <c r="V1291" s="493"/>
      <c r="W1291" s="267"/>
      <c r="X1291" s="263"/>
      <c r="AZ1291" s="269" t="s">
        <v>40</v>
      </c>
      <c r="BA1291" s="269">
        <v>5</v>
      </c>
    </row>
    <row r="1292" spans="1:53" ht="39.950000000000003" customHeight="1">
      <c r="E1292" s="264" t="s">
        <v>66</v>
      </c>
      <c r="F1292" s="265" t="s">
        <v>65</v>
      </c>
      <c r="G1292" s="263"/>
      <c r="H1292" s="263"/>
      <c r="I1292" s="263"/>
      <c r="J1292" s="263"/>
      <c r="K1292" s="263"/>
      <c r="L1292" s="263"/>
      <c r="M1292" s="263"/>
      <c r="N1292" s="263"/>
      <c r="O1292" s="263"/>
      <c r="P1292" s="263"/>
      <c r="Q1292" s="263"/>
      <c r="R1292" s="263"/>
      <c r="S1292" s="263"/>
      <c r="T1292" s="263"/>
      <c r="U1292" s="263"/>
      <c r="V1292" s="263"/>
      <c r="W1292" s="267"/>
      <c r="X1292" s="263"/>
      <c r="AZ1292" s="269" t="s">
        <v>41</v>
      </c>
      <c r="BA1292" s="269">
        <v>6</v>
      </c>
    </row>
    <row r="1293" spans="1:53" ht="39.950000000000003" customHeight="1">
      <c r="E1293" s="271"/>
      <c r="F1293" s="272"/>
      <c r="G1293" s="263"/>
      <c r="H1293" s="263"/>
      <c r="I1293" s="263" t="s">
        <v>32</v>
      </c>
      <c r="J1293" s="263"/>
      <c r="K1293" s="263"/>
      <c r="L1293" s="263"/>
      <c r="M1293" s="263"/>
      <c r="N1293" s="273"/>
      <c r="O1293" s="266"/>
      <c r="P1293" s="266" t="s">
        <v>34</v>
      </c>
      <c r="Q1293" s="266"/>
      <c r="R1293" s="266"/>
      <c r="S1293" s="266"/>
      <c r="T1293" s="266"/>
      <c r="U1293" s="263"/>
      <c r="V1293" s="263"/>
      <c r="W1293" s="267"/>
      <c r="X1293" s="263"/>
      <c r="AZ1293" s="269" t="s">
        <v>42</v>
      </c>
      <c r="BA1293" s="269">
        <v>7</v>
      </c>
    </row>
    <row r="1294" spans="1:53" ht="39.950000000000003" customHeight="1">
      <c r="E1294" s="264" t="s">
        <v>26</v>
      </c>
      <c r="F1294" s="265" t="s">
        <v>40</v>
      </c>
      <c r="G1294" s="263"/>
      <c r="H1294" s="263"/>
      <c r="I1294" s="486"/>
      <c r="J1294" s="486"/>
      <c r="K1294" s="486"/>
      <c r="L1294" s="486"/>
      <c r="M1294" s="263"/>
      <c r="N1294" s="486" t="str">
        <f>IF(V1287&gt;V1290,I1287,IF(V1290&gt;V1287,I1290,""))</f>
        <v>PETRÍK Filip</v>
      </c>
      <c r="O1294" s="486"/>
      <c r="P1294" s="486"/>
      <c r="Q1294" s="486"/>
      <c r="R1294" s="486"/>
      <c r="S1294" s="486"/>
      <c r="T1294" s="263"/>
      <c r="U1294" s="263"/>
      <c r="V1294" s="263"/>
      <c r="W1294" s="267"/>
      <c r="X1294" s="263"/>
      <c r="AZ1294" s="269" t="s">
        <v>43</v>
      </c>
      <c r="BA1294" s="269">
        <v>8</v>
      </c>
    </row>
    <row r="1295" spans="1:53" ht="39.950000000000003" customHeight="1">
      <c r="E1295" s="271"/>
      <c r="F1295" s="272"/>
      <c r="G1295" s="263"/>
      <c r="H1295" s="263"/>
      <c r="I1295" s="486"/>
      <c r="J1295" s="486"/>
      <c r="K1295" s="486"/>
      <c r="L1295" s="486"/>
      <c r="M1295" s="263"/>
      <c r="N1295" s="486"/>
      <c r="O1295" s="486"/>
      <c r="P1295" s="486"/>
      <c r="Q1295" s="486"/>
      <c r="R1295" s="486"/>
      <c r="S1295" s="486"/>
      <c r="T1295" s="263"/>
      <c r="U1295" s="263"/>
      <c r="V1295" s="263"/>
      <c r="W1295" s="267"/>
      <c r="X1295" s="263"/>
    </row>
    <row r="1296" spans="1:53" ht="39.950000000000003" customHeight="1">
      <c r="E1296" s="264" t="s">
        <v>27</v>
      </c>
      <c r="F1296" s="274" t="s">
        <v>24</v>
      </c>
      <c r="G1296" s="263"/>
      <c r="H1296" s="263"/>
      <c r="I1296" s="263"/>
      <c r="J1296" s="263"/>
      <c r="K1296" s="263"/>
      <c r="L1296" s="263"/>
      <c r="M1296" s="263"/>
      <c r="N1296" s="263"/>
      <c r="O1296" s="263"/>
      <c r="P1296" s="263"/>
      <c r="Q1296" s="263"/>
      <c r="R1296" s="263"/>
      <c r="S1296" s="263"/>
      <c r="T1296" s="263"/>
      <c r="U1296" s="263"/>
      <c r="V1296" s="263"/>
      <c r="W1296" s="267"/>
      <c r="X1296" s="263"/>
    </row>
    <row r="1297" spans="1:53" ht="39.950000000000003" customHeight="1">
      <c r="E1297" s="271"/>
      <c r="F1297" s="272"/>
      <c r="G1297" s="263"/>
      <c r="H1297" s="263" t="s">
        <v>33</v>
      </c>
      <c r="I1297" s="263"/>
      <c r="J1297" s="263"/>
      <c r="K1297" s="263"/>
      <c r="L1297" s="263"/>
      <c r="M1297" s="263"/>
      <c r="N1297" s="263"/>
      <c r="O1297" s="263"/>
      <c r="P1297" s="263"/>
      <c r="Q1297" s="263"/>
      <c r="R1297" s="263"/>
      <c r="S1297" s="263"/>
      <c r="T1297" s="263"/>
      <c r="U1297" s="263"/>
      <c r="V1297" s="263"/>
      <c r="W1297" s="267"/>
      <c r="X1297" s="263"/>
    </row>
    <row r="1298" spans="1:53" ht="39.950000000000003" customHeight="1">
      <c r="E1298" s="271"/>
      <c r="F1298" s="272"/>
      <c r="G1298" s="263"/>
      <c r="H1298" s="263"/>
      <c r="I1298" s="263"/>
      <c r="J1298" s="263"/>
      <c r="K1298" s="263"/>
      <c r="L1298" s="263"/>
      <c r="M1298" s="263"/>
      <c r="N1298" s="263"/>
      <c r="O1298" s="263"/>
      <c r="P1298" s="263"/>
      <c r="Q1298" s="263"/>
      <c r="R1298" s="263"/>
      <c r="S1298" s="263"/>
      <c r="T1298" s="263"/>
      <c r="U1298" s="263"/>
      <c r="V1298" s="263"/>
      <c r="W1298" s="267"/>
      <c r="X1298" s="263"/>
    </row>
    <row r="1299" spans="1:53" ht="39.950000000000003" customHeight="1">
      <c r="E1299" s="271"/>
      <c r="F1299" s="272"/>
      <c r="G1299" s="263"/>
      <c r="H1299" s="263"/>
      <c r="I1299" s="496" t="str">
        <f>I1287</f>
        <v>PETRÍK Filip</v>
      </c>
      <c r="J1299" s="496"/>
      <c r="K1299" s="496"/>
      <c r="L1299" s="496"/>
      <c r="M1299" s="263"/>
      <c r="N1299" s="263"/>
      <c r="O1299" s="263"/>
      <c r="P1299" s="496" t="str">
        <f>I1290</f>
        <v>MACKO Miroslav</v>
      </c>
      <c r="Q1299" s="496"/>
      <c r="R1299" s="496"/>
      <c r="S1299" s="496"/>
      <c r="T1299" s="497"/>
      <c r="U1299" s="497"/>
      <c r="V1299" s="263"/>
      <c r="W1299" s="267"/>
      <c r="X1299" s="263"/>
    </row>
    <row r="1300" spans="1:53" ht="69.95" customHeight="1">
      <c r="E1300" s="264"/>
      <c r="F1300" s="265"/>
      <c r="G1300" s="263"/>
      <c r="H1300" s="275" t="s">
        <v>36</v>
      </c>
      <c r="I1300" s="483"/>
      <c r="J1300" s="494"/>
      <c r="K1300" s="494"/>
      <c r="L1300" s="495"/>
      <c r="M1300" s="263"/>
      <c r="N1300" s="263"/>
      <c r="O1300" s="275" t="s">
        <v>36</v>
      </c>
      <c r="P1300" s="486"/>
      <c r="Q1300" s="486"/>
      <c r="R1300" s="486"/>
      <c r="S1300" s="486"/>
      <c r="T1300" s="486"/>
      <c r="U1300" s="486"/>
      <c r="V1300" s="263"/>
      <c r="W1300" s="267"/>
      <c r="X1300" s="263"/>
    </row>
    <row r="1301" spans="1:53" ht="69.95" customHeight="1">
      <c r="E1301" s="264"/>
      <c r="F1301" s="265"/>
      <c r="G1301" s="263"/>
      <c r="H1301" s="275" t="s">
        <v>37</v>
      </c>
      <c r="I1301" s="486"/>
      <c r="J1301" s="486"/>
      <c r="K1301" s="486"/>
      <c r="L1301" s="486"/>
      <c r="M1301" s="263"/>
      <c r="N1301" s="263"/>
      <c r="O1301" s="275" t="s">
        <v>37</v>
      </c>
      <c r="P1301" s="486"/>
      <c r="Q1301" s="486"/>
      <c r="R1301" s="486"/>
      <c r="S1301" s="486"/>
      <c r="T1301" s="486"/>
      <c r="U1301" s="486"/>
      <c r="V1301" s="263"/>
      <c r="W1301" s="267"/>
      <c r="X1301" s="263"/>
    </row>
    <row r="1302" spans="1:53" ht="69.95" customHeight="1">
      <c r="E1302" s="264"/>
      <c r="F1302" s="265"/>
      <c r="G1302" s="263"/>
      <c r="H1302" s="275" t="s">
        <v>37</v>
      </c>
      <c r="I1302" s="486"/>
      <c r="J1302" s="486"/>
      <c r="K1302" s="486"/>
      <c r="L1302" s="486"/>
      <c r="M1302" s="263"/>
      <c r="N1302" s="263"/>
      <c r="O1302" s="275" t="s">
        <v>37</v>
      </c>
      <c r="P1302" s="486"/>
      <c r="Q1302" s="486"/>
      <c r="R1302" s="486"/>
      <c r="S1302" s="486"/>
      <c r="T1302" s="486"/>
      <c r="U1302" s="486"/>
      <c r="V1302" s="263"/>
      <c r="W1302" s="267"/>
      <c r="X1302" s="263"/>
    </row>
    <row r="1303" spans="1:53" ht="39.950000000000003" customHeight="1" thickBot="1">
      <c r="E1303" s="276"/>
      <c r="F1303" s="277"/>
      <c r="G1303" s="278"/>
      <c r="H1303" s="278"/>
      <c r="I1303" s="278"/>
      <c r="J1303" s="278"/>
      <c r="K1303" s="278"/>
      <c r="L1303" s="278"/>
      <c r="M1303" s="278"/>
      <c r="N1303" s="278"/>
      <c r="O1303" s="278"/>
      <c r="P1303" s="278"/>
      <c r="Q1303" s="278"/>
      <c r="R1303" s="278"/>
      <c r="S1303" s="278"/>
      <c r="T1303" s="279"/>
      <c r="U1303" s="279"/>
      <c r="V1303" s="279"/>
      <c r="W1303" s="280"/>
      <c r="X1303" s="263"/>
    </row>
    <row r="1304" spans="1:53" ht="62.25" thickBot="1">
      <c r="A1304" s="252" t="s">
        <v>62</v>
      </c>
    </row>
    <row r="1305" spans="1:53" ht="39.950000000000003" customHeight="1">
      <c r="A1305" s="252" t="str">
        <f>CONCATENATE(F1312,F1314,F1316)</f>
        <v>CHE2-3</v>
      </c>
      <c r="E1305" s="259" t="s">
        <v>70</v>
      </c>
      <c r="F1305" s="260">
        <f>VLOOKUP(A1305,'zoznam zapasov'!$A$6:$K$77,3,0)</f>
        <v>66</v>
      </c>
      <c r="G1305" s="261"/>
      <c r="H1305" s="322" t="s">
        <v>501</v>
      </c>
      <c r="I1305" s="261"/>
      <c r="J1305" s="261"/>
      <c r="K1305" s="261"/>
      <c r="L1305" s="261"/>
      <c r="M1305" s="261"/>
      <c r="N1305" s="261"/>
      <c r="O1305" s="261"/>
      <c r="P1305" s="261"/>
      <c r="Q1305" s="261"/>
      <c r="R1305" s="261"/>
      <c r="S1305" s="261"/>
      <c r="T1305" s="261"/>
      <c r="U1305" s="261"/>
      <c r="V1305" s="261" t="s">
        <v>30</v>
      </c>
      <c r="W1305" s="262"/>
      <c r="X1305" s="263"/>
      <c r="Z1305" s="258" t="str">
        <f>CONCATENATE(V1307,":",V1310)</f>
        <v>3:0</v>
      </c>
      <c r="AE1305" s="253" t="s">
        <v>11</v>
      </c>
      <c r="AV1305" s="256" t="str">
        <f>CONCATENATE(AN1307,",",AO1307,",",AP1307,",",AQ1307,",",AR1307,",",AS1307,",",AT1307)</f>
        <v>3,8,9,,,,</v>
      </c>
    </row>
    <row r="1306" spans="1:53" ht="39.950000000000003" customHeight="1">
      <c r="E1306" s="264"/>
      <c r="F1306" s="265"/>
      <c r="G1306" s="321" t="s">
        <v>500</v>
      </c>
      <c r="H1306" s="323" t="s">
        <v>502</v>
      </c>
      <c r="I1306" s="263"/>
      <c r="J1306" s="263"/>
      <c r="K1306" s="263"/>
      <c r="L1306" s="263"/>
      <c r="M1306" s="263"/>
      <c r="N1306" s="266">
        <v>1</v>
      </c>
      <c r="O1306" s="266">
        <v>2</v>
      </c>
      <c r="P1306" s="266">
        <v>3</v>
      </c>
      <c r="Q1306" s="266">
        <v>4</v>
      </c>
      <c r="R1306" s="266">
        <v>5</v>
      </c>
      <c r="S1306" s="266">
        <v>6</v>
      </c>
      <c r="T1306" s="266">
        <v>7</v>
      </c>
      <c r="U1306" s="263"/>
      <c r="V1306" s="266" t="s">
        <v>31</v>
      </c>
      <c r="W1306" s="267"/>
      <c r="X1306" s="263"/>
      <c r="AE1306" s="253" t="s">
        <v>68</v>
      </c>
      <c r="AV1306" s="256" t="str">
        <f>CONCATENATE(AN1308,",",AO1308,",",AP1308,",",AQ1308,",",AR1308,",",AS1308,",",AT1308)</f>
        <v>-3,-8,-9,,,,</v>
      </c>
    </row>
    <row r="1307" spans="1:53" ht="39.950000000000003" customHeight="1">
      <c r="A1307" s="252" t="str">
        <f>CONCATENATE(F1312,VLOOKUP(F1314,$AZ$7:$BA$14,2,0),LEFT(F1316,1))</f>
        <v>CH52</v>
      </c>
      <c r="E1307" s="264" t="s">
        <v>29</v>
      </c>
      <c r="F1307" s="265">
        <f>VLOOKUP(A1305,'zoznam zapasov'!$A$6:$K$77,11,0)</f>
        <v>2</v>
      </c>
      <c r="G1307" s="508"/>
      <c r="H1307" s="495"/>
      <c r="I1307" s="487" t="str">
        <f>IF(ISERROR(VLOOKUP(A1307,vylosovanie!$A$8:$J$68,6,0))=TRUE,"",VLOOKUP(A1307,vylosovanie!$A$8:$J$68,6,0))</f>
        <v>ĎANOVSKÝ Martin</v>
      </c>
      <c r="J1307" s="487"/>
      <c r="K1307" s="487"/>
      <c r="L1307" s="487"/>
      <c r="M1307" s="263"/>
      <c r="N1307" s="489">
        <v>11</v>
      </c>
      <c r="O1307" s="489">
        <v>11</v>
      </c>
      <c r="P1307" s="489">
        <v>11</v>
      </c>
      <c r="Q1307" s="489"/>
      <c r="R1307" s="489"/>
      <c r="S1307" s="489"/>
      <c r="T1307" s="489"/>
      <c r="U1307" s="263"/>
      <c r="V1307" s="493">
        <f>IF(SUM(AF1307:AL1308)=0,"",SUM(AF1307:AL1307))</f>
        <v>3</v>
      </c>
      <c r="W1307" s="267"/>
      <c r="X1307" s="263"/>
      <c r="AE1307" s="253" t="str">
        <f>VLOOKUP(I1307,vylosovanie!$F$8:$L$190,7,0)</f>
        <v>CH52</v>
      </c>
      <c r="AF1307" s="268">
        <f>IF(N1307&gt;N1310,1,0)</f>
        <v>1</v>
      </c>
      <c r="AG1307" s="268">
        <f t="shared" ref="AG1307" si="900">IF(O1307&gt;O1310,1,0)</f>
        <v>1</v>
      </c>
      <c r="AH1307" s="268">
        <f t="shared" ref="AH1307" si="901">IF(P1307&gt;P1310,1,0)</f>
        <v>1</v>
      </c>
      <c r="AI1307" s="268">
        <f t="shared" ref="AI1307" si="902">IF(Q1307&gt;Q1310,1,0)</f>
        <v>0</v>
      </c>
      <c r="AJ1307" s="268">
        <f t="shared" ref="AJ1307" si="903">IF(R1307&gt;R1310,1,0)</f>
        <v>0</v>
      </c>
      <c r="AK1307" s="268">
        <f t="shared" ref="AK1307" si="904">IF(S1307&gt;S1310,1,0)</f>
        <v>0</v>
      </c>
      <c r="AL1307" s="268">
        <f t="shared" ref="AL1307" si="905">IF(T1307&gt;T1310,1,0)</f>
        <v>0</v>
      </c>
      <c r="AN1307" s="268">
        <f t="shared" ref="AN1307:AT1307" si="906">IF(ISBLANK(N1307)=TRUE,"",IF(AF1307=1,N1310,-N1307))</f>
        <v>3</v>
      </c>
      <c r="AO1307" s="268">
        <f t="shared" si="906"/>
        <v>8</v>
      </c>
      <c r="AP1307" s="268">
        <f t="shared" si="906"/>
        <v>9</v>
      </c>
      <c r="AQ1307" s="268" t="str">
        <f t="shared" si="906"/>
        <v/>
      </c>
      <c r="AR1307" s="268" t="str">
        <f t="shared" si="906"/>
        <v/>
      </c>
      <c r="AS1307" s="268" t="str">
        <f t="shared" si="906"/>
        <v/>
      </c>
      <c r="AT1307" s="268" t="str">
        <f t="shared" si="906"/>
        <v/>
      </c>
      <c r="AZ1307" s="269" t="s">
        <v>12</v>
      </c>
      <c r="BA1307" s="269">
        <v>1</v>
      </c>
    </row>
    <row r="1308" spans="1:53" ht="39.950000000000003" customHeight="1">
      <c r="E1308" s="264"/>
      <c r="F1308" s="265"/>
      <c r="G1308" s="509"/>
      <c r="H1308" s="495"/>
      <c r="I1308" s="487"/>
      <c r="J1308" s="487"/>
      <c r="K1308" s="487"/>
      <c r="L1308" s="487"/>
      <c r="M1308" s="263"/>
      <c r="N1308" s="490"/>
      <c r="O1308" s="490"/>
      <c r="P1308" s="490"/>
      <c r="Q1308" s="490"/>
      <c r="R1308" s="490"/>
      <c r="S1308" s="490"/>
      <c r="T1308" s="490"/>
      <c r="U1308" s="263"/>
      <c r="V1308" s="493"/>
      <c r="W1308" s="267"/>
      <c r="X1308" s="263"/>
      <c r="AE1308" s="253" t="str">
        <f>VLOOKUP(I1310,vylosovanie!$F$8:$L$190,7,0)</f>
        <v>CH53</v>
      </c>
      <c r="AF1308" s="268">
        <f>IF(N1310&gt;N1307,1,0)</f>
        <v>0</v>
      </c>
      <c r="AG1308" s="268">
        <f t="shared" ref="AG1308" si="907">IF(O1310&gt;O1307,1,0)</f>
        <v>0</v>
      </c>
      <c r="AH1308" s="268">
        <f t="shared" ref="AH1308" si="908">IF(P1310&gt;P1307,1,0)</f>
        <v>0</v>
      </c>
      <c r="AI1308" s="268">
        <f t="shared" ref="AI1308" si="909">IF(Q1310&gt;Q1307,1,0)</f>
        <v>0</v>
      </c>
      <c r="AJ1308" s="268">
        <f t="shared" ref="AJ1308" si="910">IF(R1310&gt;R1307,1,0)</f>
        <v>0</v>
      </c>
      <c r="AK1308" s="268">
        <f t="shared" ref="AK1308" si="911">IF(S1310&gt;S1307,1,0)</f>
        <v>0</v>
      </c>
      <c r="AL1308" s="268">
        <f t="shared" ref="AL1308" si="912">IF(T1310&gt;T1307,1,0)</f>
        <v>0</v>
      </c>
      <c r="AN1308" s="268">
        <f t="shared" ref="AN1308:AT1308" si="913">IF(ISBLANK(N1310)=TRUE,"",IF(AF1308=1,N1307,-N1310))</f>
        <v>-3</v>
      </c>
      <c r="AO1308" s="268">
        <f t="shared" si="913"/>
        <v>-8</v>
      </c>
      <c r="AP1308" s="268">
        <f t="shared" si="913"/>
        <v>-9</v>
      </c>
      <c r="AQ1308" s="268" t="str">
        <f t="shared" si="913"/>
        <v/>
      </c>
      <c r="AR1308" s="268" t="str">
        <f t="shared" si="913"/>
        <v/>
      </c>
      <c r="AS1308" s="268" t="str">
        <f t="shared" si="913"/>
        <v/>
      </c>
      <c r="AT1308" s="268" t="str">
        <f t="shared" si="913"/>
        <v/>
      </c>
      <c r="AZ1308" s="269" t="s">
        <v>18</v>
      </c>
      <c r="BA1308" s="269">
        <v>2</v>
      </c>
    </row>
    <row r="1309" spans="1:53" ht="39.950000000000003" customHeight="1">
      <c r="E1309" s="264" t="s">
        <v>35</v>
      </c>
      <c r="F1309" s="265" t="str">
        <f>VLOOKUP(A1305,'zoznam zapasov'!$A$6:$K$77,9,0)</f>
        <v>So</v>
      </c>
      <c r="G1309" s="263"/>
      <c r="H1309" s="263"/>
      <c r="I1309" s="263"/>
      <c r="J1309" s="263"/>
      <c r="K1309" s="263"/>
      <c r="L1309" s="263"/>
      <c r="M1309" s="263"/>
      <c r="N1309" s="263"/>
      <c r="O1309" s="263"/>
      <c r="P1309" s="263"/>
      <c r="Q1309" s="263"/>
      <c r="R1309" s="263"/>
      <c r="S1309" s="263"/>
      <c r="T1309" s="263"/>
      <c r="U1309" s="263"/>
      <c r="V1309" s="263"/>
      <c r="W1309" s="267"/>
      <c r="X1309" s="263"/>
      <c r="AZ1309" s="269" t="s">
        <v>38</v>
      </c>
      <c r="BA1309" s="269">
        <v>3</v>
      </c>
    </row>
    <row r="1310" spans="1:53" ht="39.950000000000003" customHeight="1">
      <c r="A1310" s="252" t="str">
        <f>CONCATENATE(F1312,VLOOKUP(F1314,$AZ$7:$BA$14,2,0),RIGHT(F1316,1))</f>
        <v>CH53</v>
      </c>
      <c r="E1310" s="264" t="s">
        <v>28</v>
      </c>
      <c r="F1310" s="270" t="str">
        <f>VLOOKUP(A1305,'zoznam zapasov'!$A$6:$K$77,10,0)</f>
        <v>12.50</v>
      </c>
      <c r="G1310" s="508"/>
      <c r="H1310" s="486"/>
      <c r="I1310" s="487" t="str">
        <f>IF(ISERROR(VLOOKUP(A1310,vylosovanie!$A$8:$J$68,6,0))=TRUE,"",VLOOKUP(A1310,vylosovanie!$A$8:$J$68,6,0))</f>
        <v>VICO Dávid</v>
      </c>
      <c r="J1310" s="487"/>
      <c r="K1310" s="487"/>
      <c r="L1310" s="487"/>
      <c r="M1310" s="263"/>
      <c r="N1310" s="489">
        <v>3</v>
      </c>
      <c r="O1310" s="489">
        <v>8</v>
      </c>
      <c r="P1310" s="489">
        <v>9</v>
      </c>
      <c r="Q1310" s="489"/>
      <c r="R1310" s="489"/>
      <c r="S1310" s="489"/>
      <c r="T1310" s="489"/>
      <c r="U1310" s="263"/>
      <c r="V1310" s="493">
        <f>IF(SUM(AF1307:AL1308)=0,"",SUM(AF1308:AL1308))</f>
        <v>0</v>
      </c>
      <c r="W1310" s="267"/>
      <c r="X1310" s="263"/>
      <c r="AZ1310" s="269" t="s">
        <v>39</v>
      </c>
      <c r="BA1310" s="269">
        <v>4</v>
      </c>
    </row>
    <row r="1311" spans="1:53" ht="39.950000000000003" customHeight="1">
      <c r="E1311" s="271"/>
      <c r="F1311" s="272"/>
      <c r="G1311" s="509"/>
      <c r="H1311" s="486"/>
      <c r="I1311" s="487"/>
      <c r="J1311" s="487"/>
      <c r="K1311" s="487"/>
      <c r="L1311" s="487"/>
      <c r="M1311" s="263"/>
      <c r="N1311" s="490"/>
      <c r="O1311" s="490"/>
      <c r="P1311" s="490"/>
      <c r="Q1311" s="490"/>
      <c r="R1311" s="490"/>
      <c r="S1311" s="490"/>
      <c r="T1311" s="490"/>
      <c r="U1311" s="263"/>
      <c r="V1311" s="493"/>
      <c r="W1311" s="267"/>
      <c r="X1311" s="263"/>
      <c r="AZ1311" s="269" t="s">
        <v>40</v>
      </c>
      <c r="BA1311" s="269">
        <v>5</v>
      </c>
    </row>
    <row r="1312" spans="1:53" ht="39.950000000000003" customHeight="1">
      <c r="E1312" s="264" t="s">
        <v>66</v>
      </c>
      <c r="F1312" s="265" t="s">
        <v>65</v>
      </c>
      <c r="G1312" s="263"/>
      <c r="H1312" s="263"/>
      <c r="I1312" s="263"/>
      <c r="J1312" s="263"/>
      <c r="K1312" s="263"/>
      <c r="L1312" s="263"/>
      <c r="M1312" s="263"/>
      <c r="N1312" s="263"/>
      <c r="O1312" s="263"/>
      <c r="P1312" s="263"/>
      <c r="Q1312" s="263"/>
      <c r="R1312" s="263"/>
      <c r="S1312" s="263"/>
      <c r="T1312" s="263"/>
      <c r="U1312" s="263"/>
      <c r="V1312" s="263"/>
      <c r="W1312" s="267"/>
      <c r="X1312" s="263"/>
      <c r="AZ1312" s="269" t="s">
        <v>41</v>
      </c>
      <c r="BA1312" s="269">
        <v>6</v>
      </c>
    </row>
    <row r="1313" spans="1:53" ht="39.950000000000003" customHeight="1">
      <c r="E1313" s="271"/>
      <c r="F1313" s="272"/>
      <c r="G1313" s="263"/>
      <c r="H1313" s="263"/>
      <c r="I1313" s="263" t="s">
        <v>32</v>
      </c>
      <c r="J1313" s="263"/>
      <c r="K1313" s="263"/>
      <c r="L1313" s="263"/>
      <c r="M1313" s="263"/>
      <c r="N1313" s="273"/>
      <c r="O1313" s="266"/>
      <c r="P1313" s="266" t="s">
        <v>34</v>
      </c>
      <c r="Q1313" s="266"/>
      <c r="R1313" s="266"/>
      <c r="S1313" s="266"/>
      <c r="T1313" s="266"/>
      <c r="U1313" s="263"/>
      <c r="V1313" s="263"/>
      <c r="W1313" s="267"/>
      <c r="X1313" s="263"/>
      <c r="AZ1313" s="269" t="s">
        <v>42</v>
      </c>
      <c r="BA1313" s="269">
        <v>7</v>
      </c>
    </row>
    <row r="1314" spans="1:53" ht="39.950000000000003" customHeight="1">
      <c r="E1314" s="264" t="s">
        <v>26</v>
      </c>
      <c r="F1314" s="265" t="s">
        <v>40</v>
      </c>
      <c r="G1314" s="263"/>
      <c r="H1314" s="263"/>
      <c r="I1314" s="486"/>
      <c r="J1314" s="486"/>
      <c r="K1314" s="486"/>
      <c r="L1314" s="486"/>
      <c r="M1314" s="263"/>
      <c r="N1314" s="486" t="str">
        <f>IF(V1307&gt;V1310,I1307,IF(V1310&gt;V1307,I1310,""))</f>
        <v>ĎANOVSKÝ Martin</v>
      </c>
      <c r="O1314" s="486"/>
      <c r="P1314" s="486"/>
      <c r="Q1314" s="486"/>
      <c r="R1314" s="486"/>
      <c r="S1314" s="486"/>
      <c r="T1314" s="263"/>
      <c r="U1314" s="263"/>
      <c r="V1314" s="263"/>
      <c r="W1314" s="267"/>
      <c r="X1314" s="263"/>
      <c r="AZ1314" s="269" t="s">
        <v>43</v>
      </c>
      <c r="BA1314" s="269">
        <v>8</v>
      </c>
    </row>
    <row r="1315" spans="1:53" ht="39.950000000000003" customHeight="1">
      <c r="E1315" s="271"/>
      <c r="F1315" s="272"/>
      <c r="G1315" s="263"/>
      <c r="H1315" s="263"/>
      <c r="I1315" s="486"/>
      <c r="J1315" s="486"/>
      <c r="K1315" s="486"/>
      <c r="L1315" s="486"/>
      <c r="M1315" s="263"/>
      <c r="N1315" s="486"/>
      <c r="O1315" s="486"/>
      <c r="P1315" s="486"/>
      <c r="Q1315" s="486"/>
      <c r="R1315" s="486"/>
      <c r="S1315" s="486"/>
      <c r="T1315" s="263"/>
      <c r="U1315" s="263"/>
      <c r="V1315" s="263"/>
      <c r="W1315" s="267"/>
      <c r="X1315" s="263"/>
    </row>
    <row r="1316" spans="1:53" ht="39.950000000000003" customHeight="1">
      <c r="E1316" s="264" t="s">
        <v>27</v>
      </c>
      <c r="F1316" s="274" t="s">
        <v>25</v>
      </c>
      <c r="G1316" s="263"/>
      <c r="H1316" s="263"/>
      <c r="I1316" s="263"/>
      <c r="J1316" s="263"/>
      <c r="K1316" s="263"/>
      <c r="L1316" s="263"/>
      <c r="M1316" s="263"/>
      <c r="N1316" s="263"/>
      <c r="O1316" s="263"/>
      <c r="P1316" s="263"/>
      <c r="Q1316" s="263"/>
      <c r="R1316" s="263"/>
      <c r="S1316" s="263"/>
      <c r="T1316" s="263"/>
      <c r="U1316" s="263"/>
      <c r="V1316" s="263"/>
      <c r="W1316" s="267"/>
      <c r="X1316" s="263"/>
    </row>
    <row r="1317" spans="1:53" ht="39.950000000000003" customHeight="1">
      <c r="E1317" s="271"/>
      <c r="F1317" s="272"/>
      <c r="G1317" s="263"/>
      <c r="H1317" s="263" t="s">
        <v>33</v>
      </c>
      <c r="I1317" s="263"/>
      <c r="J1317" s="263"/>
      <c r="K1317" s="263"/>
      <c r="L1317" s="263"/>
      <c r="M1317" s="263"/>
      <c r="N1317" s="263"/>
      <c r="O1317" s="263"/>
      <c r="P1317" s="263"/>
      <c r="Q1317" s="263"/>
      <c r="R1317" s="263"/>
      <c r="S1317" s="263"/>
      <c r="T1317" s="263"/>
      <c r="U1317" s="263"/>
      <c r="V1317" s="263"/>
      <c r="W1317" s="267"/>
      <c r="X1317" s="263"/>
    </row>
    <row r="1318" spans="1:53" ht="39.950000000000003" customHeight="1">
      <c r="E1318" s="271"/>
      <c r="F1318" s="272"/>
      <c r="G1318" s="263"/>
      <c r="H1318" s="263"/>
      <c r="I1318" s="263"/>
      <c r="J1318" s="263"/>
      <c r="K1318" s="263"/>
      <c r="L1318" s="263"/>
      <c r="M1318" s="263"/>
      <c r="N1318" s="263"/>
      <c r="O1318" s="263"/>
      <c r="P1318" s="263"/>
      <c r="Q1318" s="263"/>
      <c r="R1318" s="263"/>
      <c r="S1318" s="263"/>
      <c r="T1318" s="263"/>
      <c r="U1318" s="263"/>
      <c r="V1318" s="263"/>
      <c r="W1318" s="267"/>
      <c r="X1318" s="263"/>
    </row>
    <row r="1319" spans="1:53" ht="39.950000000000003" customHeight="1">
      <c r="E1319" s="271"/>
      <c r="F1319" s="272"/>
      <c r="G1319" s="263"/>
      <c r="H1319" s="263"/>
      <c r="I1319" s="496" t="str">
        <f>I1307</f>
        <v>ĎANOVSKÝ Martin</v>
      </c>
      <c r="J1319" s="496"/>
      <c r="K1319" s="496"/>
      <c r="L1319" s="496"/>
      <c r="M1319" s="263"/>
      <c r="N1319" s="263"/>
      <c r="O1319" s="263"/>
      <c r="P1319" s="496" t="str">
        <f>I1310</f>
        <v>VICO Dávid</v>
      </c>
      <c r="Q1319" s="496"/>
      <c r="R1319" s="496"/>
      <c r="S1319" s="496"/>
      <c r="T1319" s="497"/>
      <c r="U1319" s="497"/>
      <c r="V1319" s="263"/>
      <c r="W1319" s="267"/>
      <c r="X1319" s="263"/>
    </row>
    <row r="1320" spans="1:53" ht="69.95" customHeight="1">
      <c r="E1320" s="264"/>
      <c r="F1320" s="265"/>
      <c r="G1320" s="263"/>
      <c r="H1320" s="275" t="s">
        <v>36</v>
      </c>
      <c r="I1320" s="483"/>
      <c r="J1320" s="494"/>
      <c r="K1320" s="494"/>
      <c r="L1320" s="495"/>
      <c r="M1320" s="263"/>
      <c r="N1320" s="263"/>
      <c r="O1320" s="275" t="s">
        <v>36</v>
      </c>
      <c r="P1320" s="486"/>
      <c r="Q1320" s="486"/>
      <c r="R1320" s="486"/>
      <c r="S1320" s="486"/>
      <c r="T1320" s="486"/>
      <c r="U1320" s="486"/>
      <c r="V1320" s="263"/>
      <c r="W1320" s="267"/>
      <c r="X1320" s="263"/>
    </row>
    <row r="1321" spans="1:53" ht="69.95" customHeight="1">
      <c r="E1321" s="264"/>
      <c r="F1321" s="265"/>
      <c r="G1321" s="263"/>
      <c r="H1321" s="275" t="s">
        <v>37</v>
      </c>
      <c r="I1321" s="486"/>
      <c r="J1321" s="486"/>
      <c r="K1321" s="486"/>
      <c r="L1321" s="486"/>
      <c r="M1321" s="263"/>
      <c r="N1321" s="263"/>
      <c r="O1321" s="275" t="s">
        <v>37</v>
      </c>
      <c r="P1321" s="486"/>
      <c r="Q1321" s="486"/>
      <c r="R1321" s="486"/>
      <c r="S1321" s="486"/>
      <c r="T1321" s="486"/>
      <c r="U1321" s="486"/>
      <c r="V1321" s="263"/>
      <c r="W1321" s="267"/>
      <c r="X1321" s="263"/>
    </row>
    <row r="1322" spans="1:53" ht="69.95" customHeight="1">
      <c r="E1322" s="264"/>
      <c r="F1322" s="265"/>
      <c r="G1322" s="263"/>
      <c r="H1322" s="275" t="s">
        <v>37</v>
      </c>
      <c r="I1322" s="486"/>
      <c r="J1322" s="486"/>
      <c r="K1322" s="486"/>
      <c r="L1322" s="486"/>
      <c r="M1322" s="263"/>
      <c r="N1322" s="263"/>
      <c r="O1322" s="275" t="s">
        <v>37</v>
      </c>
      <c r="P1322" s="486"/>
      <c r="Q1322" s="486"/>
      <c r="R1322" s="486"/>
      <c r="S1322" s="486"/>
      <c r="T1322" s="486"/>
      <c r="U1322" s="486"/>
      <c r="V1322" s="263"/>
      <c r="W1322" s="267"/>
      <c r="X1322" s="263"/>
    </row>
    <row r="1323" spans="1:53" ht="39.950000000000003" customHeight="1" thickBot="1">
      <c r="E1323" s="276"/>
      <c r="F1323" s="277"/>
      <c r="G1323" s="278"/>
      <c r="H1323" s="278"/>
      <c r="I1323" s="278"/>
      <c r="J1323" s="278"/>
      <c r="K1323" s="278"/>
      <c r="L1323" s="278"/>
      <c r="M1323" s="278"/>
      <c r="N1323" s="278"/>
      <c r="O1323" s="278"/>
      <c r="P1323" s="278"/>
      <c r="Q1323" s="278"/>
      <c r="R1323" s="278"/>
      <c r="S1323" s="278"/>
      <c r="T1323" s="279"/>
      <c r="U1323" s="279"/>
      <c r="V1323" s="279"/>
      <c r="W1323" s="280"/>
      <c r="X1323" s="263"/>
    </row>
    <row r="1324" spans="1:53" ht="62.25" thickBot="1">
      <c r="A1324" s="252" t="s">
        <v>62</v>
      </c>
    </row>
    <row r="1325" spans="1:53" ht="39.950000000000003" customHeight="1">
      <c r="A1325" s="252" t="str">
        <f>CONCATENATE(F1332,F1334,F1336)</f>
        <v>CHF1-4</v>
      </c>
      <c r="E1325" s="259" t="s">
        <v>70</v>
      </c>
      <c r="F1325" s="260">
        <f>VLOOKUP(A1325,'zoznam zapasov'!$A$6:$K$77,3,0)</f>
        <v>67</v>
      </c>
      <c r="G1325" s="261"/>
      <c r="H1325" s="322" t="s">
        <v>501</v>
      </c>
      <c r="I1325" s="261"/>
      <c r="J1325" s="261"/>
      <c r="K1325" s="261"/>
      <c r="L1325" s="261"/>
      <c r="M1325" s="261"/>
      <c r="N1325" s="261"/>
      <c r="O1325" s="261"/>
      <c r="P1325" s="261"/>
      <c r="Q1325" s="261"/>
      <c r="R1325" s="261"/>
      <c r="S1325" s="261"/>
      <c r="T1325" s="261"/>
      <c r="U1325" s="261"/>
      <c r="V1325" s="261" t="s">
        <v>30</v>
      </c>
      <c r="W1325" s="262"/>
      <c r="X1325" s="263"/>
      <c r="Z1325" s="258" t="str">
        <f>CONCATENATE(V1327,":",V1330)</f>
        <v>3:0</v>
      </c>
      <c r="AE1325" s="253" t="s">
        <v>11</v>
      </c>
      <c r="AV1325" s="256" t="str">
        <f>CONCATENATE(AN1327,",",AO1327,",",AP1327,",",AQ1327,",",AR1327,",",AS1327,",",AT1327)</f>
        <v>10,9,10,,,,</v>
      </c>
    </row>
    <row r="1326" spans="1:53" ht="39.950000000000003" customHeight="1">
      <c r="E1326" s="264"/>
      <c r="F1326" s="265"/>
      <c r="G1326" s="321" t="s">
        <v>500</v>
      </c>
      <c r="H1326" s="323" t="s">
        <v>502</v>
      </c>
      <c r="I1326" s="263"/>
      <c r="J1326" s="263"/>
      <c r="K1326" s="263"/>
      <c r="L1326" s="263"/>
      <c r="M1326" s="263"/>
      <c r="N1326" s="266">
        <v>1</v>
      </c>
      <c r="O1326" s="266">
        <v>2</v>
      </c>
      <c r="P1326" s="266">
        <v>3</v>
      </c>
      <c r="Q1326" s="266">
        <v>4</v>
      </c>
      <c r="R1326" s="266">
        <v>5</v>
      </c>
      <c r="S1326" s="266">
        <v>6</v>
      </c>
      <c r="T1326" s="266">
        <v>7</v>
      </c>
      <c r="U1326" s="263"/>
      <c r="V1326" s="266" t="s">
        <v>31</v>
      </c>
      <c r="W1326" s="267"/>
      <c r="X1326" s="263"/>
      <c r="AE1326" s="253" t="s">
        <v>68</v>
      </c>
      <c r="AV1326" s="256" t="str">
        <f>CONCATENATE(AN1328,",",AO1328,",",AP1328,",",AQ1328,",",AR1328,",",AS1328,",",AT1328)</f>
        <v>-10,-9,-10,,,,</v>
      </c>
    </row>
    <row r="1327" spans="1:53" ht="39.950000000000003" customHeight="1">
      <c r="A1327" s="252" t="str">
        <f>CONCATENATE(F1332,VLOOKUP(F1334,$AZ$7:$BA$14,2,0),LEFT(F1336,1))</f>
        <v>CH61</v>
      </c>
      <c r="E1327" s="264" t="s">
        <v>29</v>
      </c>
      <c r="F1327" s="265">
        <f>VLOOKUP(A1325,'zoznam zapasov'!$A$6:$K$77,11,0)</f>
        <v>3</v>
      </c>
      <c r="G1327" s="508"/>
      <c r="H1327" s="495"/>
      <c r="I1327" s="487" t="str">
        <f>IF(ISERROR(VLOOKUP(A1327,vylosovanie!$A$8:$J$68,6,0))=TRUE,"",VLOOKUP(A1327,vylosovanie!$A$8:$J$68,6,0))</f>
        <v>CYPRICH Samuel</v>
      </c>
      <c r="J1327" s="487"/>
      <c r="K1327" s="487"/>
      <c r="L1327" s="487"/>
      <c r="M1327" s="263"/>
      <c r="N1327" s="489">
        <v>12</v>
      </c>
      <c r="O1327" s="489">
        <v>11</v>
      </c>
      <c r="P1327" s="489">
        <v>12</v>
      </c>
      <c r="Q1327" s="489"/>
      <c r="R1327" s="489"/>
      <c r="S1327" s="489"/>
      <c r="T1327" s="489"/>
      <c r="U1327" s="263"/>
      <c r="V1327" s="493">
        <f>IF(SUM(AF1327:AL1328)=0,"",SUM(AF1327:AL1327))</f>
        <v>3</v>
      </c>
      <c r="W1327" s="267"/>
      <c r="X1327" s="263"/>
      <c r="AE1327" s="253" t="str">
        <f>VLOOKUP(I1327,vylosovanie!$F$8:$L$190,7,0)</f>
        <v>CH61</v>
      </c>
      <c r="AF1327" s="268">
        <f>IF(N1327&gt;N1330,1,0)</f>
        <v>1</v>
      </c>
      <c r="AG1327" s="268">
        <f t="shared" ref="AG1327" si="914">IF(O1327&gt;O1330,1,0)</f>
        <v>1</v>
      </c>
      <c r="AH1327" s="268">
        <f t="shared" ref="AH1327" si="915">IF(P1327&gt;P1330,1,0)</f>
        <v>1</v>
      </c>
      <c r="AI1327" s="268">
        <f t="shared" ref="AI1327" si="916">IF(Q1327&gt;Q1330,1,0)</f>
        <v>0</v>
      </c>
      <c r="AJ1327" s="268">
        <f t="shared" ref="AJ1327" si="917">IF(R1327&gt;R1330,1,0)</f>
        <v>0</v>
      </c>
      <c r="AK1327" s="268">
        <f t="shared" ref="AK1327" si="918">IF(S1327&gt;S1330,1,0)</f>
        <v>0</v>
      </c>
      <c r="AL1327" s="268">
        <f t="shared" ref="AL1327" si="919">IF(T1327&gt;T1330,1,0)</f>
        <v>0</v>
      </c>
      <c r="AN1327" s="268">
        <f t="shared" ref="AN1327:AT1327" si="920">IF(ISBLANK(N1327)=TRUE,"",IF(AF1327=1,N1330,-N1327))</f>
        <v>10</v>
      </c>
      <c r="AO1327" s="268">
        <f t="shared" si="920"/>
        <v>9</v>
      </c>
      <c r="AP1327" s="268">
        <f t="shared" si="920"/>
        <v>10</v>
      </c>
      <c r="AQ1327" s="268" t="str">
        <f t="shared" si="920"/>
        <v/>
      </c>
      <c r="AR1327" s="268" t="str">
        <f t="shared" si="920"/>
        <v/>
      </c>
      <c r="AS1327" s="268" t="str">
        <f t="shared" si="920"/>
        <v/>
      </c>
      <c r="AT1327" s="268" t="str">
        <f t="shared" si="920"/>
        <v/>
      </c>
      <c r="AZ1327" s="269" t="s">
        <v>12</v>
      </c>
      <c r="BA1327" s="269">
        <v>1</v>
      </c>
    </row>
    <row r="1328" spans="1:53" ht="39.950000000000003" customHeight="1">
      <c r="E1328" s="264"/>
      <c r="F1328" s="265"/>
      <c r="G1328" s="509"/>
      <c r="H1328" s="495"/>
      <c r="I1328" s="487"/>
      <c r="J1328" s="487"/>
      <c r="K1328" s="487"/>
      <c r="L1328" s="487"/>
      <c r="M1328" s="263"/>
      <c r="N1328" s="490"/>
      <c r="O1328" s="490"/>
      <c r="P1328" s="490"/>
      <c r="Q1328" s="490"/>
      <c r="R1328" s="490"/>
      <c r="S1328" s="490"/>
      <c r="T1328" s="490"/>
      <c r="U1328" s="263"/>
      <c r="V1328" s="493"/>
      <c r="W1328" s="267"/>
      <c r="X1328" s="263"/>
      <c r="AE1328" s="253" t="str">
        <f>VLOOKUP(I1330,vylosovanie!$F$8:$L$190,7,0)</f>
        <v>CH64</v>
      </c>
      <c r="AF1328" s="268">
        <f>IF(N1330&gt;N1327,1,0)</f>
        <v>0</v>
      </c>
      <c r="AG1328" s="268">
        <f t="shared" ref="AG1328" si="921">IF(O1330&gt;O1327,1,0)</f>
        <v>0</v>
      </c>
      <c r="AH1328" s="268">
        <f t="shared" ref="AH1328" si="922">IF(P1330&gt;P1327,1,0)</f>
        <v>0</v>
      </c>
      <c r="AI1328" s="268">
        <f t="shared" ref="AI1328" si="923">IF(Q1330&gt;Q1327,1,0)</f>
        <v>0</v>
      </c>
      <c r="AJ1328" s="268">
        <f t="shared" ref="AJ1328" si="924">IF(R1330&gt;R1327,1,0)</f>
        <v>0</v>
      </c>
      <c r="AK1328" s="268">
        <f t="shared" ref="AK1328" si="925">IF(S1330&gt;S1327,1,0)</f>
        <v>0</v>
      </c>
      <c r="AL1328" s="268">
        <f t="shared" ref="AL1328" si="926">IF(T1330&gt;T1327,1,0)</f>
        <v>0</v>
      </c>
      <c r="AN1328" s="268">
        <f t="shared" ref="AN1328:AT1328" si="927">IF(ISBLANK(N1330)=TRUE,"",IF(AF1328=1,N1327,-N1330))</f>
        <v>-10</v>
      </c>
      <c r="AO1328" s="268">
        <f t="shared" si="927"/>
        <v>-9</v>
      </c>
      <c r="AP1328" s="268">
        <f t="shared" si="927"/>
        <v>-10</v>
      </c>
      <c r="AQ1328" s="268" t="str">
        <f t="shared" si="927"/>
        <v/>
      </c>
      <c r="AR1328" s="268" t="str">
        <f t="shared" si="927"/>
        <v/>
      </c>
      <c r="AS1328" s="268" t="str">
        <f t="shared" si="927"/>
        <v/>
      </c>
      <c r="AT1328" s="268" t="str">
        <f t="shared" si="927"/>
        <v/>
      </c>
      <c r="AZ1328" s="269" t="s">
        <v>18</v>
      </c>
      <c r="BA1328" s="269">
        <v>2</v>
      </c>
    </row>
    <row r="1329" spans="1:53" ht="39.950000000000003" customHeight="1">
      <c r="E1329" s="264" t="s">
        <v>35</v>
      </c>
      <c r="F1329" s="265" t="str">
        <f>VLOOKUP(A1325,'zoznam zapasov'!$A$6:$K$77,9,0)</f>
        <v>So</v>
      </c>
      <c r="G1329" s="263"/>
      <c r="H1329" s="263"/>
      <c r="I1329" s="263"/>
      <c r="J1329" s="263"/>
      <c r="K1329" s="263"/>
      <c r="L1329" s="263"/>
      <c r="M1329" s="263"/>
      <c r="N1329" s="263"/>
      <c r="O1329" s="263"/>
      <c r="P1329" s="263"/>
      <c r="Q1329" s="263"/>
      <c r="R1329" s="263"/>
      <c r="S1329" s="263"/>
      <c r="T1329" s="263"/>
      <c r="U1329" s="263"/>
      <c r="V1329" s="263"/>
      <c r="W1329" s="267"/>
      <c r="X1329" s="263"/>
      <c r="AZ1329" s="269" t="s">
        <v>38</v>
      </c>
      <c r="BA1329" s="269">
        <v>3</v>
      </c>
    </row>
    <row r="1330" spans="1:53" ht="39.950000000000003" customHeight="1">
      <c r="A1330" s="252" t="str">
        <f>CONCATENATE(F1332,VLOOKUP(F1334,$AZ$7:$BA$14,2,0),RIGHT(F1336,1))</f>
        <v>CH64</v>
      </c>
      <c r="E1330" s="264" t="s">
        <v>28</v>
      </c>
      <c r="F1330" s="270" t="str">
        <f>VLOOKUP(A1325,'zoznam zapasov'!$A$6:$K$77,10,0)</f>
        <v>12.50</v>
      </c>
      <c r="G1330" s="508"/>
      <c r="H1330" s="486"/>
      <c r="I1330" s="487" t="str">
        <f>IF(ISERROR(VLOOKUP(A1330,vylosovanie!$A$8:$J$68,6,0))=TRUE,"",VLOOKUP(A1330,vylosovanie!$A$8:$J$68,6,0))</f>
        <v>KALINKA Timotej</v>
      </c>
      <c r="J1330" s="487"/>
      <c r="K1330" s="487"/>
      <c r="L1330" s="487"/>
      <c r="M1330" s="263"/>
      <c r="N1330" s="489">
        <v>10</v>
      </c>
      <c r="O1330" s="489">
        <v>9</v>
      </c>
      <c r="P1330" s="489">
        <v>10</v>
      </c>
      <c r="Q1330" s="489"/>
      <c r="R1330" s="489"/>
      <c r="S1330" s="489"/>
      <c r="T1330" s="489"/>
      <c r="U1330" s="263"/>
      <c r="V1330" s="493">
        <f>IF(SUM(AF1327:AL1328)=0,"",SUM(AF1328:AL1328))</f>
        <v>0</v>
      </c>
      <c r="W1330" s="267"/>
      <c r="X1330" s="263"/>
      <c r="AZ1330" s="269" t="s">
        <v>39</v>
      </c>
      <c r="BA1330" s="269">
        <v>4</v>
      </c>
    </row>
    <row r="1331" spans="1:53" ht="39.950000000000003" customHeight="1">
      <c r="E1331" s="271"/>
      <c r="F1331" s="272"/>
      <c r="G1331" s="509"/>
      <c r="H1331" s="486"/>
      <c r="I1331" s="487"/>
      <c r="J1331" s="487"/>
      <c r="K1331" s="487"/>
      <c r="L1331" s="487"/>
      <c r="M1331" s="263"/>
      <c r="N1331" s="490"/>
      <c r="O1331" s="490"/>
      <c r="P1331" s="490"/>
      <c r="Q1331" s="490"/>
      <c r="R1331" s="490"/>
      <c r="S1331" s="490"/>
      <c r="T1331" s="490"/>
      <c r="U1331" s="263"/>
      <c r="V1331" s="493"/>
      <c r="W1331" s="267"/>
      <c r="X1331" s="263"/>
      <c r="AZ1331" s="269" t="s">
        <v>40</v>
      </c>
      <c r="BA1331" s="269">
        <v>5</v>
      </c>
    </row>
    <row r="1332" spans="1:53" ht="39.950000000000003" customHeight="1">
      <c r="E1332" s="264" t="s">
        <v>66</v>
      </c>
      <c r="F1332" s="265" t="s">
        <v>65</v>
      </c>
      <c r="G1332" s="263"/>
      <c r="H1332" s="263"/>
      <c r="I1332" s="263"/>
      <c r="J1332" s="263"/>
      <c r="K1332" s="263"/>
      <c r="L1332" s="263"/>
      <c r="M1332" s="263"/>
      <c r="N1332" s="263"/>
      <c r="O1332" s="263"/>
      <c r="P1332" s="263"/>
      <c r="Q1332" s="263"/>
      <c r="R1332" s="263"/>
      <c r="S1332" s="263"/>
      <c r="T1332" s="263"/>
      <c r="U1332" s="263"/>
      <c r="V1332" s="263"/>
      <c r="W1332" s="267"/>
      <c r="X1332" s="263"/>
      <c r="AZ1332" s="269" t="s">
        <v>41</v>
      </c>
      <c r="BA1332" s="269">
        <v>6</v>
      </c>
    </row>
    <row r="1333" spans="1:53" ht="39.950000000000003" customHeight="1">
      <c r="E1333" s="271"/>
      <c r="F1333" s="272"/>
      <c r="G1333" s="263"/>
      <c r="H1333" s="263"/>
      <c r="I1333" s="263" t="s">
        <v>32</v>
      </c>
      <c r="J1333" s="263"/>
      <c r="K1333" s="263"/>
      <c r="L1333" s="263"/>
      <c r="M1333" s="263"/>
      <c r="N1333" s="273"/>
      <c r="O1333" s="266"/>
      <c r="P1333" s="266" t="s">
        <v>34</v>
      </c>
      <c r="Q1333" s="266"/>
      <c r="R1333" s="266"/>
      <c r="S1333" s="266"/>
      <c r="T1333" s="266"/>
      <c r="U1333" s="263"/>
      <c r="V1333" s="263"/>
      <c r="W1333" s="267"/>
      <c r="X1333" s="263"/>
      <c r="AZ1333" s="269" t="s">
        <v>42</v>
      </c>
      <c r="BA1333" s="269">
        <v>7</v>
      </c>
    </row>
    <row r="1334" spans="1:53" ht="39.950000000000003" customHeight="1">
      <c r="E1334" s="264" t="s">
        <v>26</v>
      </c>
      <c r="F1334" s="265" t="s">
        <v>41</v>
      </c>
      <c r="G1334" s="263"/>
      <c r="H1334" s="263"/>
      <c r="I1334" s="486"/>
      <c r="J1334" s="486"/>
      <c r="K1334" s="486"/>
      <c r="L1334" s="486"/>
      <c r="M1334" s="263"/>
      <c r="N1334" s="486" t="str">
        <f>IF(V1327&gt;V1330,I1327,IF(V1330&gt;V1327,I1330,""))</f>
        <v>CYPRICH Samuel</v>
      </c>
      <c r="O1334" s="486"/>
      <c r="P1334" s="486"/>
      <c r="Q1334" s="486"/>
      <c r="R1334" s="486"/>
      <c r="S1334" s="486"/>
      <c r="T1334" s="263"/>
      <c r="U1334" s="263"/>
      <c r="V1334" s="263"/>
      <c r="W1334" s="267"/>
      <c r="X1334" s="263"/>
      <c r="AZ1334" s="269" t="s">
        <v>43</v>
      </c>
      <c r="BA1334" s="269">
        <v>8</v>
      </c>
    </row>
    <row r="1335" spans="1:53" ht="39.950000000000003" customHeight="1">
      <c r="E1335" s="271"/>
      <c r="F1335" s="272"/>
      <c r="G1335" s="263"/>
      <c r="H1335" s="263"/>
      <c r="I1335" s="486"/>
      <c r="J1335" s="486"/>
      <c r="K1335" s="486"/>
      <c r="L1335" s="486"/>
      <c r="M1335" s="263"/>
      <c r="N1335" s="486"/>
      <c r="O1335" s="486"/>
      <c r="P1335" s="486"/>
      <c r="Q1335" s="486"/>
      <c r="R1335" s="486"/>
      <c r="S1335" s="486"/>
      <c r="T1335" s="263"/>
      <c r="U1335" s="263"/>
      <c r="V1335" s="263"/>
      <c r="W1335" s="267"/>
      <c r="X1335" s="263"/>
    </row>
    <row r="1336" spans="1:53" ht="39.950000000000003" customHeight="1">
      <c r="E1336" s="264" t="s">
        <v>27</v>
      </c>
      <c r="F1336" s="274" t="s">
        <v>24</v>
      </c>
      <c r="G1336" s="263"/>
      <c r="H1336" s="263"/>
      <c r="I1336" s="263"/>
      <c r="J1336" s="263"/>
      <c r="K1336" s="263"/>
      <c r="L1336" s="263"/>
      <c r="M1336" s="263"/>
      <c r="N1336" s="263"/>
      <c r="O1336" s="263"/>
      <c r="P1336" s="263"/>
      <c r="Q1336" s="263"/>
      <c r="R1336" s="263"/>
      <c r="S1336" s="263"/>
      <c r="T1336" s="263"/>
      <c r="U1336" s="263"/>
      <c r="V1336" s="263"/>
      <c r="W1336" s="267"/>
      <c r="X1336" s="263"/>
    </row>
    <row r="1337" spans="1:53" ht="39.950000000000003" customHeight="1">
      <c r="E1337" s="271"/>
      <c r="F1337" s="272"/>
      <c r="G1337" s="263"/>
      <c r="H1337" s="263" t="s">
        <v>33</v>
      </c>
      <c r="I1337" s="263"/>
      <c r="J1337" s="263"/>
      <c r="K1337" s="263"/>
      <c r="L1337" s="263"/>
      <c r="M1337" s="263"/>
      <c r="N1337" s="263"/>
      <c r="O1337" s="263"/>
      <c r="P1337" s="263"/>
      <c r="Q1337" s="263"/>
      <c r="R1337" s="263"/>
      <c r="S1337" s="263"/>
      <c r="T1337" s="263"/>
      <c r="U1337" s="263"/>
      <c r="V1337" s="263"/>
      <c r="W1337" s="267"/>
      <c r="X1337" s="263"/>
    </row>
    <row r="1338" spans="1:53" ht="39.950000000000003" customHeight="1">
      <c r="E1338" s="271"/>
      <c r="F1338" s="272"/>
      <c r="G1338" s="263"/>
      <c r="H1338" s="263"/>
      <c r="I1338" s="263"/>
      <c r="J1338" s="263"/>
      <c r="K1338" s="263"/>
      <c r="L1338" s="263"/>
      <c r="M1338" s="263"/>
      <c r="N1338" s="263"/>
      <c r="O1338" s="263"/>
      <c r="P1338" s="263"/>
      <c r="Q1338" s="263"/>
      <c r="R1338" s="263"/>
      <c r="S1338" s="263"/>
      <c r="T1338" s="263"/>
      <c r="U1338" s="263"/>
      <c r="V1338" s="263"/>
      <c r="W1338" s="267"/>
      <c r="X1338" s="263"/>
    </row>
    <row r="1339" spans="1:53" ht="39.950000000000003" customHeight="1">
      <c r="E1339" s="271"/>
      <c r="F1339" s="272"/>
      <c r="G1339" s="263"/>
      <c r="H1339" s="263"/>
      <c r="I1339" s="496" t="str">
        <f>I1327</f>
        <v>CYPRICH Samuel</v>
      </c>
      <c r="J1339" s="496"/>
      <c r="K1339" s="496"/>
      <c r="L1339" s="496"/>
      <c r="M1339" s="263"/>
      <c r="N1339" s="263"/>
      <c r="O1339" s="263"/>
      <c r="P1339" s="496" t="str">
        <f>I1330</f>
        <v>KALINKA Timotej</v>
      </c>
      <c r="Q1339" s="496"/>
      <c r="R1339" s="496"/>
      <c r="S1339" s="496"/>
      <c r="T1339" s="497"/>
      <c r="U1339" s="497"/>
      <c r="V1339" s="263"/>
      <c r="W1339" s="267"/>
      <c r="X1339" s="263"/>
    </row>
    <row r="1340" spans="1:53" ht="69.95" customHeight="1">
      <c r="E1340" s="264"/>
      <c r="F1340" s="265"/>
      <c r="G1340" s="263"/>
      <c r="H1340" s="275" t="s">
        <v>36</v>
      </c>
      <c r="I1340" s="483"/>
      <c r="J1340" s="494"/>
      <c r="K1340" s="494"/>
      <c r="L1340" s="495"/>
      <c r="M1340" s="263"/>
      <c r="N1340" s="263"/>
      <c r="O1340" s="275" t="s">
        <v>36</v>
      </c>
      <c r="P1340" s="486"/>
      <c r="Q1340" s="486"/>
      <c r="R1340" s="486"/>
      <c r="S1340" s="486"/>
      <c r="T1340" s="486"/>
      <c r="U1340" s="486"/>
      <c r="V1340" s="263"/>
      <c r="W1340" s="267"/>
      <c r="X1340" s="263"/>
    </row>
    <row r="1341" spans="1:53" ht="69.95" customHeight="1">
      <c r="E1341" s="264"/>
      <c r="F1341" s="265"/>
      <c r="G1341" s="263"/>
      <c r="H1341" s="275" t="s">
        <v>37</v>
      </c>
      <c r="I1341" s="486"/>
      <c r="J1341" s="486"/>
      <c r="K1341" s="486"/>
      <c r="L1341" s="486"/>
      <c r="M1341" s="263"/>
      <c r="N1341" s="263"/>
      <c r="O1341" s="275" t="s">
        <v>37</v>
      </c>
      <c r="P1341" s="486"/>
      <c r="Q1341" s="486"/>
      <c r="R1341" s="486"/>
      <c r="S1341" s="486"/>
      <c r="T1341" s="486"/>
      <c r="U1341" s="486"/>
      <c r="V1341" s="263"/>
      <c r="W1341" s="267"/>
      <c r="X1341" s="263"/>
    </row>
    <row r="1342" spans="1:53" ht="69.95" customHeight="1">
      <c r="E1342" s="264"/>
      <c r="F1342" s="265"/>
      <c r="G1342" s="263"/>
      <c r="H1342" s="275" t="s">
        <v>37</v>
      </c>
      <c r="I1342" s="486"/>
      <c r="J1342" s="486"/>
      <c r="K1342" s="486"/>
      <c r="L1342" s="486"/>
      <c r="M1342" s="263"/>
      <c r="N1342" s="263"/>
      <c r="O1342" s="275" t="s">
        <v>37</v>
      </c>
      <c r="P1342" s="486"/>
      <c r="Q1342" s="486"/>
      <c r="R1342" s="486"/>
      <c r="S1342" s="486"/>
      <c r="T1342" s="486"/>
      <c r="U1342" s="486"/>
      <c r="V1342" s="263"/>
      <c r="W1342" s="267"/>
      <c r="X1342" s="263"/>
    </row>
    <row r="1343" spans="1:53" ht="39.950000000000003" customHeight="1" thickBot="1">
      <c r="E1343" s="276"/>
      <c r="F1343" s="277"/>
      <c r="G1343" s="278"/>
      <c r="H1343" s="278"/>
      <c r="I1343" s="278"/>
      <c r="J1343" s="278"/>
      <c r="K1343" s="278"/>
      <c r="L1343" s="278"/>
      <c r="M1343" s="278"/>
      <c r="N1343" s="278"/>
      <c r="O1343" s="278"/>
      <c r="P1343" s="278"/>
      <c r="Q1343" s="278"/>
      <c r="R1343" s="278"/>
      <c r="S1343" s="278"/>
      <c r="T1343" s="279"/>
      <c r="U1343" s="279"/>
      <c r="V1343" s="279"/>
      <c r="W1343" s="280"/>
      <c r="X1343" s="263"/>
    </row>
    <row r="1344" spans="1:53" ht="62.25" thickBot="1"/>
    <row r="1345" spans="1:53" ht="39.950000000000003" customHeight="1">
      <c r="A1345" s="252" t="str">
        <f>CONCATENATE(F1352,F1354,F1356)</f>
        <v>CHF2-3</v>
      </c>
      <c r="E1345" s="259" t="s">
        <v>70</v>
      </c>
      <c r="F1345" s="260">
        <f>VLOOKUP(A1345,'zoznam zapasov'!$A$6:$K$77,3,0)</f>
        <v>68</v>
      </c>
      <c r="G1345" s="261"/>
      <c r="H1345" s="322" t="s">
        <v>501</v>
      </c>
      <c r="I1345" s="261"/>
      <c r="J1345" s="261"/>
      <c r="K1345" s="261"/>
      <c r="L1345" s="261"/>
      <c r="M1345" s="261"/>
      <c r="N1345" s="261"/>
      <c r="O1345" s="261"/>
      <c r="P1345" s="261"/>
      <c r="Q1345" s="261"/>
      <c r="R1345" s="261"/>
      <c r="S1345" s="261"/>
      <c r="T1345" s="261"/>
      <c r="U1345" s="261"/>
      <c r="V1345" s="261" t="s">
        <v>30</v>
      </c>
      <c r="W1345" s="262"/>
      <c r="X1345" s="263"/>
      <c r="Z1345" s="258" t="str">
        <f>CONCATENATE(V1347,":",V1350)</f>
        <v>3:0</v>
      </c>
      <c r="AE1345" s="253" t="s">
        <v>11</v>
      </c>
      <c r="AV1345" s="256" t="str">
        <f>CONCATENATE(AN1347,",",AO1347,",",AP1347,",",AQ1347,",",AR1347,",",AS1347,",",AT1347)</f>
        <v>8,6,3,,,,</v>
      </c>
    </row>
    <row r="1346" spans="1:53" ht="39.950000000000003" customHeight="1">
      <c r="E1346" s="264"/>
      <c r="F1346" s="265"/>
      <c r="G1346" s="321" t="s">
        <v>500</v>
      </c>
      <c r="H1346" s="323" t="s">
        <v>502</v>
      </c>
      <c r="I1346" s="263"/>
      <c r="J1346" s="263"/>
      <c r="K1346" s="263"/>
      <c r="L1346" s="263"/>
      <c r="M1346" s="263"/>
      <c r="N1346" s="266">
        <v>1</v>
      </c>
      <c r="O1346" s="266">
        <v>2</v>
      </c>
      <c r="P1346" s="266">
        <v>3</v>
      </c>
      <c r="Q1346" s="266">
        <v>4</v>
      </c>
      <c r="R1346" s="266">
        <v>5</v>
      </c>
      <c r="S1346" s="266">
        <v>6</v>
      </c>
      <c r="T1346" s="266">
        <v>7</v>
      </c>
      <c r="U1346" s="263"/>
      <c r="V1346" s="266" t="s">
        <v>31</v>
      </c>
      <c r="W1346" s="267"/>
      <c r="X1346" s="263"/>
      <c r="AE1346" s="253" t="s">
        <v>68</v>
      </c>
      <c r="AV1346" s="256" t="str">
        <f>CONCATENATE(AN1348,",",AO1348,",",AP1348,",",AQ1348,",",AR1348,",",AS1348,",",AT1348)</f>
        <v>-8,-6,-3,,,,</v>
      </c>
    </row>
    <row r="1347" spans="1:53" ht="39.950000000000003" customHeight="1">
      <c r="A1347" s="252" t="str">
        <f>CONCATENATE(F1352,VLOOKUP(F1354,$AZ$7:$BA$14,2,0),LEFT(F1356,1))</f>
        <v>CH62</v>
      </c>
      <c r="E1347" s="264" t="s">
        <v>29</v>
      </c>
      <c r="F1347" s="265">
        <f>VLOOKUP(A1345,'zoznam zapasov'!$A$6:$K$77,11,0)</f>
        <v>4</v>
      </c>
      <c r="G1347" s="508"/>
      <c r="H1347" s="495"/>
      <c r="I1347" s="487" t="str">
        <f>IF(ISERROR(VLOOKUP(A1347,vylosovanie!$A$8:$J$68,6,0))=TRUE,"",VLOOKUP(A1347,vylosovanie!$A$8:$J$68,6,0))</f>
        <v>MILAN Martin</v>
      </c>
      <c r="J1347" s="487"/>
      <c r="K1347" s="487"/>
      <c r="L1347" s="487"/>
      <c r="M1347" s="263"/>
      <c r="N1347" s="489">
        <v>11</v>
      </c>
      <c r="O1347" s="489">
        <v>11</v>
      </c>
      <c r="P1347" s="489">
        <v>11</v>
      </c>
      <c r="Q1347" s="489"/>
      <c r="R1347" s="489"/>
      <c r="S1347" s="489"/>
      <c r="T1347" s="489"/>
      <c r="U1347" s="263"/>
      <c r="V1347" s="493">
        <f>IF(SUM(AF1347:AL1348)=0,"",SUM(AF1347:AL1347))</f>
        <v>3</v>
      </c>
      <c r="W1347" s="267"/>
      <c r="X1347" s="263"/>
      <c r="AE1347" s="253" t="str">
        <f>VLOOKUP(I1347,vylosovanie!$F$8:$L$190,7,0)</f>
        <v>CH62</v>
      </c>
      <c r="AF1347" s="268">
        <f>IF(N1347&gt;N1350,1,0)</f>
        <v>1</v>
      </c>
      <c r="AG1347" s="268">
        <f t="shared" ref="AG1347" si="928">IF(O1347&gt;O1350,1,0)</f>
        <v>1</v>
      </c>
      <c r="AH1347" s="268">
        <f t="shared" ref="AH1347" si="929">IF(P1347&gt;P1350,1,0)</f>
        <v>1</v>
      </c>
      <c r="AI1347" s="268">
        <f t="shared" ref="AI1347" si="930">IF(Q1347&gt;Q1350,1,0)</f>
        <v>0</v>
      </c>
      <c r="AJ1347" s="268">
        <f t="shared" ref="AJ1347" si="931">IF(R1347&gt;R1350,1,0)</f>
        <v>0</v>
      </c>
      <c r="AK1347" s="268">
        <f t="shared" ref="AK1347" si="932">IF(S1347&gt;S1350,1,0)</f>
        <v>0</v>
      </c>
      <c r="AL1347" s="268">
        <f t="shared" ref="AL1347" si="933">IF(T1347&gt;T1350,1,0)</f>
        <v>0</v>
      </c>
      <c r="AN1347" s="268">
        <f t="shared" ref="AN1347:AT1347" si="934">IF(ISBLANK(N1347)=TRUE,"",IF(AF1347=1,N1350,-N1347))</f>
        <v>8</v>
      </c>
      <c r="AO1347" s="268">
        <f t="shared" si="934"/>
        <v>6</v>
      </c>
      <c r="AP1347" s="268">
        <f t="shared" si="934"/>
        <v>3</v>
      </c>
      <c r="AQ1347" s="268" t="str">
        <f t="shared" si="934"/>
        <v/>
      </c>
      <c r="AR1347" s="268" t="str">
        <f t="shared" si="934"/>
        <v/>
      </c>
      <c r="AS1347" s="268" t="str">
        <f t="shared" si="934"/>
        <v/>
      </c>
      <c r="AT1347" s="268" t="str">
        <f t="shared" si="934"/>
        <v/>
      </c>
      <c r="AZ1347" s="269" t="s">
        <v>12</v>
      </c>
      <c r="BA1347" s="269">
        <v>1</v>
      </c>
    </row>
    <row r="1348" spans="1:53" ht="39.950000000000003" customHeight="1">
      <c r="E1348" s="264"/>
      <c r="F1348" s="265"/>
      <c r="G1348" s="509"/>
      <c r="H1348" s="495"/>
      <c r="I1348" s="487"/>
      <c r="J1348" s="487"/>
      <c r="K1348" s="487"/>
      <c r="L1348" s="487"/>
      <c r="M1348" s="263"/>
      <c r="N1348" s="490"/>
      <c r="O1348" s="490"/>
      <c r="P1348" s="490"/>
      <c r="Q1348" s="490"/>
      <c r="R1348" s="490"/>
      <c r="S1348" s="490"/>
      <c r="T1348" s="490"/>
      <c r="U1348" s="263"/>
      <c r="V1348" s="493"/>
      <c r="W1348" s="267"/>
      <c r="X1348" s="263"/>
      <c r="AE1348" s="253" t="str">
        <f>VLOOKUP(I1350,vylosovanie!$F$8:$L$190,7,0)</f>
        <v>CH63</v>
      </c>
      <c r="AF1348" s="268">
        <f>IF(N1350&gt;N1347,1,0)</f>
        <v>0</v>
      </c>
      <c r="AG1348" s="268">
        <f t="shared" ref="AG1348" si="935">IF(O1350&gt;O1347,1,0)</f>
        <v>0</v>
      </c>
      <c r="AH1348" s="268">
        <f t="shared" ref="AH1348" si="936">IF(P1350&gt;P1347,1,0)</f>
        <v>0</v>
      </c>
      <c r="AI1348" s="268">
        <f t="shared" ref="AI1348" si="937">IF(Q1350&gt;Q1347,1,0)</f>
        <v>0</v>
      </c>
      <c r="AJ1348" s="268">
        <f t="shared" ref="AJ1348" si="938">IF(R1350&gt;R1347,1,0)</f>
        <v>0</v>
      </c>
      <c r="AK1348" s="268">
        <f t="shared" ref="AK1348" si="939">IF(S1350&gt;S1347,1,0)</f>
        <v>0</v>
      </c>
      <c r="AL1348" s="268">
        <f t="shared" ref="AL1348" si="940">IF(T1350&gt;T1347,1,0)</f>
        <v>0</v>
      </c>
      <c r="AN1348" s="268">
        <f t="shared" ref="AN1348:AT1348" si="941">IF(ISBLANK(N1350)=TRUE,"",IF(AF1348=1,N1347,-N1350))</f>
        <v>-8</v>
      </c>
      <c r="AO1348" s="268">
        <f t="shared" si="941"/>
        <v>-6</v>
      </c>
      <c r="AP1348" s="268">
        <f t="shared" si="941"/>
        <v>-3</v>
      </c>
      <c r="AQ1348" s="268" t="str">
        <f t="shared" si="941"/>
        <v/>
      </c>
      <c r="AR1348" s="268" t="str">
        <f t="shared" si="941"/>
        <v/>
      </c>
      <c r="AS1348" s="268" t="str">
        <f t="shared" si="941"/>
        <v/>
      </c>
      <c r="AT1348" s="268" t="str">
        <f t="shared" si="941"/>
        <v/>
      </c>
      <c r="AZ1348" s="269" t="s">
        <v>18</v>
      </c>
      <c r="BA1348" s="269">
        <v>2</v>
      </c>
    </row>
    <row r="1349" spans="1:53" ht="39.950000000000003" customHeight="1">
      <c r="E1349" s="264" t="s">
        <v>35</v>
      </c>
      <c r="F1349" s="265" t="str">
        <f>VLOOKUP(A1345,'zoznam zapasov'!$A$6:$K$77,9,0)</f>
        <v>So</v>
      </c>
      <c r="G1349" s="263"/>
      <c r="H1349" s="263"/>
      <c r="I1349" s="263"/>
      <c r="J1349" s="263"/>
      <c r="K1349" s="263"/>
      <c r="L1349" s="263"/>
      <c r="M1349" s="263"/>
      <c r="N1349" s="263"/>
      <c r="O1349" s="263"/>
      <c r="P1349" s="263"/>
      <c r="Q1349" s="263"/>
      <c r="R1349" s="263"/>
      <c r="S1349" s="263"/>
      <c r="T1349" s="263"/>
      <c r="U1349" s="263"/>
      <c r="V1349" s="263"/>
      <c r="W1349" s="267"/>
      <c r="X1349" s="263"/>
      <c r="AZ1349" s="269" t="s">
        <v>38</v>
      </c>
      <c r="BA1349" s="269">
        <v>3</v>
      </c>
    </row>
    <row r="1350" spans="1:53" ht="39.950000000000003" customHeight="1">
      <c r="A1350" s="252" t="str">
        <f>CONCATENATE(F1352,VLOOKUP(F1354,$AZ$7:$BA$14,2,0),RIGHT(F1356,1))</f>
        <v>CH63</v>
      </c>
      <c r="E1350" s="264" t="s">
        <v>28</v>
      </c>
      <c r="F1350" s="270" t="str">
        <f>VLOOKUP(A1345,'zoznam zapasov'!$A$6:$K$77,10,0)</f>
        <v>12.50</v>
      </c>
      <c r="G1350" s="508"/>
      <c r="H1350" s="486"/>
      <c r="I1350" s="487" t="str">
        <f>IF(ISERROR(VLOOKUP(A1350,vylosovanie!$A$8:$J$68,6,0))=TRUE,"",VLOOKUP(A1350,vylosovanie!$A$8:$J$68,6,0))</f>
        <v>PACH Kamil</v>
      </c>
      <c r="J1350" s="487"/>
      <c r="K1350" s="487"/>
      <c r="L1350" s="487"/>
      <c r="M1350" s="263"/>
      <c r="N1350" s="489">
        <v>8</v>
      </c>
      <c r="O1350" s="489">
        <v>6</v>
      </c>
      <c r="P1350" s="489">
        <v>3</v>
      </c>
      <c r="Q1350" s="489"/>
      <c r="R1350" s="489"/>
      <c r="S1350" s="489"/>
      <c r="T1350" s="489"/>
      <c r="U1350" s="263"/>
      <c r="V1350" s="493">
        <f>IF(SUM(AF1347:AL1348)=0,"",SUM(AF1348:AL1348))</f>
        <v>0</v>
      </c>
      <c r="W1350" s="267"/>
      <c r="X1350" s="263"/>
      <c r="AZ1350" s="269" t="s">
        <v>39</v>
      </c>
      <c r="BA1350" s="269">
        <v>4</v>
      </c>
    </row>
    <row r="1351" spans="1:53" ht="39.950000000000003" customHeight="1">
      <c r="E1351" s="271"/>
      <c r="F1351" s="272"/>
      <c r="G1351" s="509"/>
      <c r="H1351" s="486"/>
      <c r="I1351" s="487"/>
      <c r="J1351" s="487"/>
      <c r="K1351" s="487"/>
      <c r="L1351" s="487"/>
      <c r="M1351" s="263"/>
      <c r="N1351" s="490"/>
      <c r="O1351" s="490"/>
      <c r="P1351" s="490"/>
      <c r="Q1351" s="490"/>
      <c r="R1351" s="490"/>
      <c r="S1351" s="490"/>
      <c r="T1351" s="490"/>
      <c r="U1351" s="263"/>
      <c r="V1351" s="493"/>
      <c r="W1351" s="267"/>
      <c r="X1351" s="263"/>
      <c r="AZ1351" s="269" t="s">
        <v>40</v>
      </c>
      <c r="BA1351" s="269">
        <v>5</v>
      </c>
    </row>
    <row r="1352" spans="1:53" ht="39.950000000000003" customHeight="1">
      <c r="E1352" s="264" t="s">
        <v>66</v>
      </c>
      <c r="F1352" s="265" t="s">
        <v>65</v>
      </c>
      <c r="G1352" s="263"/>
      <c r="H1352" s="263"/>
      <c r="I1352" s="263"/>
      <c r="J1352" s="263"/>
      <c r="K1352" s="263"/>
      <c r="L1352" s="263"/>
      <c r="M1352" s="263"/>
      <c r="N1352" s="263"/>
      <c r="O1352" s="263"/>
      <c r="P1352" s="263"/>
      <c r="Q1352" s="263"/>
      <c r="R1352" s="263"/>
      <c r="S1352" s="263"/>
      <c r="T1352" s="263"/>
      <c r="U1352" s="263"/>
      <c r="V1352" s="263"/>
      <c r="W1352" s="267"/>
      <c r="X1352" s="263"/>
      <c r="AZ1352" s="269" t="s">
        <v>41</v>
      </c>
      <c r="BA1352" s="269">
        <v>6</v>
      </c>
    </row>
    <row r="1353" spans="1:53" ht="39.950000000000003" customHeight="1">
      <c r="E1353" s="271"/>
      <c r="F1353" s="272"/>
      <c r="G1353" s="263"/>
      <c r="H1353" s="263"/>
      <c r="I1353" s="263" t="s">
        <v>32</v>
      </c>
      <c r="J1353" s="263"/>
      <c r="K1353" s="263"/>
      <c r="L1353" s="263"/>
      <c r="M1353" s="263"/>
      <c r="N1353" s="273"/>
      <c r="O1353" s="266"/>
      <c r="P1353" s="266" t="s">
        <v>34</v>
      </c>
      <c r="Q1353" s="266"/>
      <c r="R1353" s="266"/>
      <c r="S1353" s="266"/>
      <c r="T1353" s="266"/>
      <c r="U1353" s="263"/>
      <c r="V1353" s="263"/>
      <c r="W1353" s="267"/>
      <c r="X1353" s="263"/>
      <c r="AZ1353" s="269" t="s">
        <v>42</v>
      </c>
      <c r="BA1353" s="269">
        <v>7</v>
      </c>
    </row>
    <row r="1354" spans="1:53" ht="39.950000000000003" customHeight="1">
      <c r="E1354" s="264" t="s">
        <v>26</v>
      </c>
      <c r="F1354" s="265" t="s">
        <v>41</v>
      </c>
      <c r="G1354" s="263"/>
      <c r="H1354" s="263"/>
      <c r="I1354" s="486"/>
      <c r="J1354" s="486"/>
      <c r="K1354" s="486"/>
      <c r="L1354" s="486"/>
      <c r="M1354" s="263"/>
      <c r="N1354" s="486" t="str">
        <f>IF(V1347&gt;V1350,I1347,IF(V1350&gt;V1347,I1350,""))</f>
        <v>MILAN Martin</v>
      </c>
      <c r="O1354" s="486"/>
      <c r="P1354" s="486"/>
      <c r="Q1354" s="486"/>
      <c r="R1354" s="486"/>
      <c r="S1354" s="486"/>
      <c r="T1354" s="263"/>
      <c r="U1354" s="263"/>
      <c r="V1354" s="263"/>
      <c r="W1354" s="267"/>
      <c r="X1354" s="263"/>
      <c r="AZ1354" s="269" t="s">
        <v>43</v>
      </c>
      <c r="BA1354" s="269">
        <v>8</v>
      </c>
    </row>
    <row r="1355" spans="1:53" ht="39.950000000000003" customHeight="1">
      <c r="E1355" s="271"/>
      <c r="F1355" s="272"/>
      <c r="G1355" s="263"/>
      <c r="H1355" s="263"/>
      <c r="I1355" s="486"/>
      <c r="J1355" s="486"/>
      <c r="K1355" s="486"/>
      <c r="L1355" s="486"/>
      <c r="M1355" s="263"/>
      <c r="N1355" s="486"/>
      <c r="O1355" s="486"/>
      <c r="P1355" s="486"/>
      <c r="Q1355" s="486"/>
      <c r="R1355" s="486"/>
      <c r="S1355" s="486"/>
      <c r="T1355" s="263"/>
      <c r="U1355" s="263"/>
      <c r="V1355" s="263"/>
      <c r="W1355" s="267"/>
      <c r="X1355" s="263"/>
    </row>
    <row r="1356" spans="1:53" ht="39.950000000000003" customHeight="1">
      <c r="E1356" s="264" t="s">
        <v>27</v>
      </c>
      <c r="F1356" s="274" t="s">
        <v>25</v>
      </c>
      <c r="G1356" s="263"/>
      <c r="H1356" s="263"/>
      <c r="I1356" s="263"/>
      <c r="J1356" s="263"/>
      <c r="K1356" s="263"/>
      <c r="L1356" s="263"/>
      <c r="M1356" s="263"/>
      <c r="N1356" s="263"/>
      <c r="O1356" s="263"/>
      <c r="P1356" s="263"/>
      <c r="Q1356" s="263"/>
      <c r="R1356" s="263"/>
      <c r="S1356" s="263"/>
      <c r="T1356" s="263"/>
      <c r="U1356" s="263"/>
      <c r="V1356" s="263"/>
      <c r="W1356" s="267"/>
      <c r="X1356" s="263"/>
    </row>
    <row r="1357" spans="1:53" ht="39.950000000000003" customHeight="1">
      <c r="E1357" s="271"/>
      <c r="F1357" s="272"/>
      <c r="G1357" s="263"/>
      <c r="H1357" s="263" t="s">
        <v>33</v>
      </c>
      <c r="I1357" s="263"/>
      <c r="J1357" s="263"/>
      <c r="K1357" s="263"/>
      <c r="L1357" s="263"/>
      <c r="M1357" s="263"/>
      <c r="N1357" s="263"/>
      <c r="O1357" s="263"/>
      <c r="P1357" s="263"/>
      <c r="Q1357" s="263"/>
      <c r="R1357" s="263"/>
      <c r="S1357" s="263"/>
      <c r="T1357" s="263"/>
      <c r="U1357" s="263"/>
      <c r="V1357" s="263"/>
      <c r="W1357" s="267"/>
      <c r="X1357" s="263"/>
    </row>
    <row r="1358" spans="1:53" ht="39.950000000000003" customHeight="1">
      <c r="E1358" s="271"/>
      <c r="F1358" s="272"/>
      <c r="G1358" s="263"/>
      <c r="H1358" s="263"/>
      <c r="I1358" s="263"/>
      <c r="J1358" s="263"/>
      <c r="K1358" s="263"/>
      <c r="L1358" s="263"/>
      <c r="M1358" s="263"/>
      <c r="N1358" s="263"/>
      <c r="O1358" s="263"/>
      <c r="P1358" s="263"/>
      <c r="Q1358" s="263"/>
      <c r="R1358" s="263"/>
      <c r="S1358" s="263"/>
      <c r="T1358" s="263"/>
      <c r="U1358" s="263"/>
      <c r="V1358" s="263"/>
      <c r="W1358" s="267"/>
      <c r="X1358" s="263"/>
    </row>
    <row r="1359" spans="1:53" ht="39.950000000000003" customHeight="1">
      <c r="E1359" s="271"/>
      <c r="F1359" s="272"/>
      <c r="G1359" s="263"/>
      <c r="H1359" s="263"/>
      <c r="I1359" s="496" t="str">
        <f>I1347</f>
        <v>MILAN Martin</v>
      </c>
      <c r="J1359" s="496"/>
      <c r="K1359" s="496"/>
      <c r="L1359" s="496"/>
      <c r="M1359" s="263"/>
      <c r="N1359" s="263"/>
      <c r="O1359" s="263"/>
      <c r="P1359" s="496" t="str">
        <f>I1350</f>
        <v>PACH Kamil</v>
      </c>
      <c r="Q1359" s="496"/>
      <c r="R1359" s="496"/>
      <c r="S1359" s="496"/>
      <c r="T1359" s="497"/>
      <c r="U1359" s="497"/>
      <c r="V1359" s="263"/>
      <c r="W1359" s="267"/>
      <c r="X1359" s="263"/>
    </row>
    <row r="1360" spans="1:53" ht="69.95" customHeight="1">
      <c r="E1360" s="264"/>
      <c r="F1360" s="265"/>
      <c r="G1360" s="263"/>
      <c r="H1360" s="275" t="s">
        <v>36</v>
      </c>
      <c r="I1360" s="483"/>
      <c r="J1360" s="494"/>
      <c r="K1360" s="494"/>
      <c r="L1360" s="495"/>
      <c r="M1360" s="263"/>
      <c r="N1360" s="263"/>
      <c r="O1360" s="275" t="s">
        <v>36</v>
      </c>
      <c r="P1360" s="486"/>
      <c r="Q1360" s="486"/>
      <c r="R1360" s="486"/>
      <c r="S1360" s="486"/>
      <c r="T1360" s="486"/>
      <c r="U1360" s="486"/>
      <c r="V1360" s="263"/>
      <c r="W1360" s="267"/>
      <c r="X1360" s="263"/>
    </row>
    <row r="1361" spans="1:53" ht="69.95" customHeight="1">
      <c r="E1361" s="264"/>
      <c r="F1361" s="265"/>
      <c r="G1361" s="263"/>
      <c r="H1361" s="275" t="s">
        <v>37</v>
      </c>
      <c r="I1361" s="486"/>
      <c r="J1361" s="486"/>
      <c r="K1361" s="486"/>
      <c r="L1361" s="486"/>
      <c r="M1361" s="263"/>
      <c r="N1361" s="263"/>
      <c r="O1361" s="275" t="s">
        <v>37</v>
      </c>
      <c r="P1361" s="486"/>
      <c r="Q1361" s="486"/>
      <c r="R1361" s="486"/>
      <c r="S1361" s="486"/>
      <c r="T1361" s="486"/>
      <c r="U1361" s="486"/>
      <c r="V1361" s="263"/>
      <c r="W1361" s="267"/>
      <c r="X1361" s="263"/>
    </row>
    <row r="1362" spans="1:53" ht="69.95" customHeight="1">
      <c r="E1362" s="264"/>
      <c r="F1362" s="265"/>
      <c r="G1362" s="263"/>
      <c r="H1362" s="275" t="s">
        <v>37</v>
      </c>
      <c r="I1362" s="486"/>
      <c r="J1362" s="486"/>
      <c r="K1362" s="486"/>
      <c r="L1362" s="486"/>
      <c r="M1362" s="263"/>
      <c r="N1362" s="263"/>
      <c r="O1362" s="275" t="s">
        <v>37</v>
      </c>
      <c r="P1362" s="486"/>
      <c r="Q1362" s="486"/>
      <c r="R1362" s="486"/>
      <c r="S1362" s="486"/>
      <c r="T1362" s="486"/>
      <c r="U1362" s="486"/>
      <c r="V1362" s="263"/>
      <c r="W1362" s="267"/>
      <c r="X1362" s="263"/>
    </row>
    <row r="1363" spans="1:53" ht="39.950000000000003" customHeight="1" thickBot="1">
      <c r="E1363" s="276"/>
      <c r="F1363" s="277"/>
      <c r="G1363" s="278"/>
      <c r="H1363" s="278"/>
      <c r="I1363" s="278"/>
      <c r="J1363" s="278"/>
      <c r="K1363" s="278"/>
      <c r="L1363" s="278"/>
      <c r="M1363" s="278"/>
      <c r="N1363" s="278"/>
      <c r="O1363" s="278"/>
      <c r="P1363" s="278"/>
      <c r="Q1363" s="278"/>
      <c r="R1363" s="278"/>
      <c r="S1363" s="278"/>
      <c r="T1363" s="279"/>
      <c r="U1363" s="279"/>
      <c r="V1363" s="279"/>
      <c r="W1363" s="280"/>
      <c r="X1363" s="263"/>
    </row>
    <row r="1364" spans="1:53" ht="62.25" thickBot="1"/>
    <row r="1365" spans="1:53" ht="39.950000000000003" customHeight="1">
      <c r="A1365" s="252" t="str">
        <f>CONCATENATE(F1372,F1374,F1376)</f>
        <v>CHG1-4</v>
      </c>
      <c r="E1365" s="259" t="s">
        <v>70</v>
      </c>
      <c r="F1365" s="260">
        <f>VLOOKUP(A1365,'zoznam zapasov'!$A$6:$K$77,3,0)</f>
        <v>69</v>
      </c>
      <c r="G1365" s="261"/>
      <c r="H1365" s="322" t="s">
        <v>501</v>
      </c>
      <c r="I1365" s="261"/>
      <c r="J1365" s="261"/>
      <c r="K1365" s="261"/>
      <c r="L1365" s="261"/>
      <c r="M1365" s="261"/>
      <c r="N1365" s="261"/>
      <c r="O1365" s="261"/>
      <c r="P1365" s="261"/>
      <c r="Q1365" s="261"/>
      <c r="R1365" s="261"/>
      <c r="S1365" s="261"/>
      <c r="T1365" s="261"/>
      <c r="U1365" s="261"/>
      <c r="V1365" s="261" t="s">
        <v>30</v>
      </c>
      <c r="W1365" s="262"/>
      <c r="X1365" s="263"/>
      <c r="Z1365" s="258" t="str">
        <f>CONCATENATE(V1367,":",V1370)</f>
        <v>2:3</v>
      </c>
      <c r="AE1365" s="253" t="s">
        <v>11</v>
      </c>
      <c r="AV1365" s="256" t="str">
        <f>CONCATENATE(AN1367,",",AO1367,",",AP1367,",",AQ1367,",",AR1367,",",AS1367,",",AT1367)</f>
        <v>-9,8,9,-7,-8,,</v>
      </c>
    </row>
    <row r="1366" spans="1:53" ht="39.950000000000003" customHeight="1">
      <c r="E1366" s="264"/>
      <c r="F1366" s="265"/>
      <c r="G1366" s="321" t="s">
        <v>500</v>
      </c>
      <c r="H1366" s="323" t="s">
        <v>502</v>
      </c>
      <c r="I1366" s="263"/>
      <c r="J1366" s="263"/>
      <c r="K1366" s="263"/>
      <c r="L1366" s="263"/>
      <c r="M1366" s="263"/>
      <c r="N1366" s="266">
        <v>1</v>
      </c>
      <c r="O1366" s="266">
        <v>2</v>
      </c>
      <c r="P1366" s="266">
        <v>3</v>
      </c>
      <c r="Q1366" s="266">
        <v>4</v>
      </c>
      <c r="R1366" s="266">
        <v>5</v>
      </c>
      <c r="S1366" s="266">
        <v>6</v>
      </c>
      <c r="T1366" s="266">
        <v>7</v>
      </c>
      <c r="U1366" s="263"/>
      <c r="V1366" s="266" t="s">
        <v>31</v>
      </c>
      <c r="W1366" s="267"/>
      <c r="X1366" s="263"/>
      <c r="AE1366" s="253" t="s">
        <v>68</v>
      </c>
      <c r="AV1366" s="256" t="str">
        <f>CONCATENATE(AN1368,",",AO1368,",",AP1368,",",AQ1368,",",AR1368,",",AS1368,",",AT1368)</f>
        <v>9,-8,-9,7,8,,</v>
      </c>
    </row>
    <row r="1367" spans="1:53" ht="39.950000000000003" customHeight="1">
      <c r="A1367" s="252" t="str">
        <f>CONCATENATE(F1372,VLOOKUP(F1374,$AZ$7:$BA$14,2,0),LEFT(F1376,1))</f>
        <v>CH71</v>
      </c>
      <c r="E1367" s="264" t="s">
        <v>29</v>
      </c>
      <c r="F1367" s="265">
        <f>VLOOKUP(A1365,'zoznam zapasov'!$A$6:$K$77,11,0)</f>
        <v>5</v>
      </c>
      <c r="G1367" s="508"/>
      <c r="H1367" s="495"/>
      <c r="I1367" s="487" t="str">
        <f>IF(ISERROR(VLOOKUP(A1367,vylosovanie!$A$8:$J$68,6,0))=TRUE,"",VLOOKUP(A1367,vylosovanie!$A$8:$J$68,6,0))</f>
        <v>TUREK Teodor</v>
      </c>
      <c r="J1367" s="487"/>
      <c r="K1367" s="487"/>
      <c r="L1367" s="487"/>
      <c r="M1367" s="263"/>
      <c r="N1367" s="489">
        <v>9</v>
      </c>
      <c r="O1367" s="489">
        <v>11</v>
      </c>
      <c r="P1367" s="489">
        <v>11</v>
      </c>
      <c r="Q1367" s="489">
        <v>7</v>
      </c>
      <c r="R1367" s="489">
        <v>8</v>
      </c>
      <c r="S1367" s="489"/>
      <c r="T1367" s="489"/>
      <c r="U1367" s="263"/>
      <c r="V1367" s="493">
        <f>IF(SUM(AF1367:AL1368)=0,"",SUM(AF1367:AL1367))</f>
        <v>2</v>
      </c>
      <c r="W1367" s="267"/>
      <c r="X1367" s="263"/>
      <c r="AE1367" s="253" t="str">
        <f>VLOOKUP(I1367,vylosovanie!$F$8:$L$190,7,0)</f>
        <v>CH71</v>
      </c>
      <c r="AF1367" s="268">
        <f>IF(N1367&gt;N1370,1,0)</f>
        <v>0</v>
      </c>
      <c r="AG1367" s="268">
        <f t="shared" ref="AG1367" si="942">IF(O1367&gt;O1370,1,0)</f>
        <v>1</v>
      </c>
      <c r="AH1367" s="268">
        <f t="shared" ref="AH1367" si="943">IF(P1367&gt;P1370,1,0)</f>
        <v>1</v>
      </c>
      <c r="AI1367" s="268">
        <f t="shared" ref="AI1367" si="944">IF(Q1367&gt;Q1370,1,0)</f>
        <v>0</v>
      </c>
      <c r="AJ1367" s="268">
        <f t="shared" ref="AJ1367" si="945">IF(R1367&gt;R1370,1,0)</f>
        <v>0</v>
      </c>
      <c r="AK1367" s="268">
        <f t="shared" ref="AK1367" si="946">IF(S1367&gt;S1370,1,0)</f>
        <v>0</v>
      </c>
      <c r="AL1367" s="268">
        <f t="shared" ref="AL1367" si="947">IF(T1367&gt;T1370,1,0)</f>
        <v>0</v>
      </c>
      <c r="AN1367" s="268">
        <f t="shared" ref="AN1367:AT1367" si="948">IF(ISBLANK(N1367)=TRUE,"",IF(AF1367=1,N1370,-N1367))</f>
        <v>-9</v>
      </c>
      <c r="AO1367" s="268">
        <f t="shared" si="948"/>
        <v>8</v>
      </c>
      <c r="AP1367" s="268">
        <f t="shared" si="948"/>
        <v>9</v>
      </c>
      <c r="AQ1367" s="268">
        <f t="shared" si="948"/>
        <v>-7</v>
      </c>
      <c r="AR1367" s="268">
        <f t="shared" si="948"/>
        <v>-8</v>
      </c>
      <c r="AS1367" s="268" t="str">
        <f t="shared" si="948"/>
        <v/>
      </c>
      <c r="AT1367" s="268" t="str">
        <f t="shared" si="948"/>
        <v/>
      </c>
      <c r="AZ1367" s="269" t="s">
        <v>12</v>
      </c>
      <c r="BA1367" s="269">
        <v>1</v>
      </c>
    </row>
    <row r="1368" spans="1:53" ht="39.950000000000003" customHeight="1">
      <c r="E1368" s="264"/>
      <c r="F1368" s="265"/>
      <c r="G1368" s="509"/>
      <c r="H1368" s="495"/>
      <c r="I1368" s="487"/>
      <c r="J1368" s="487"/>
      <c r="K1368" s="487"/>
      <c r="L1368" s="487"/>
      <c r="M1368" s="263"/>
      <c r="N1368" s="490"/>
      <c r="O1368" s="490"/>
      <c r="P1368" s="490"/>
      <c r="Q1368" s="490"/>
      <c r="R1368" s="490"/>
      <c r="S1368" s="490"/>
      <c r="T1368" s="490"/>
      <c r="U1368" s="263"/>
      <c r="V1368" s="493"/>
      <c r="W1368" s="267"/>
      <c r="X1368" s="263"/>
      <c r="AE1368" s="253" t="str">
        <f>VLOOKUP(I1370,vylosovanie!$F$8:$L$190,7,0)</f>
        <v>CH74</v>
      </c>
      <c r="AF1368" s="268">
        <f>IF(N1370&gt;N1367,1,0)</f>
        <v>1</v>
      </c>
      <c r="AG1368" s="268">
        <f t="shared" ref="AG1368" si="949">IF(O1370&gt;O1367,1,0)</f>
        <v>0</v>
      </c>
      <c r="AH1368" s="268">
        <f t="shared" ref="AH1368" si="950">IF(P1370&gt;P1367,1,0)</f>
        <v>0</v>
      </c>
      <c r="AI1368" s="268">
        <f t="shared" ref="AI1368" si="951">IF(Q1370&gt;Q1367,1,0)</f>
        <v>1</v>
      </c>
      <c r="AJ1368" s="268">
        <f t="shared" ref="AJ1368" si="952">IF(R1370&gt;R1367,1,0)</f>
        <v>1</v>
      </c>
      <c r="AK1368" s="268">
        <f t="shared" ref="AK1368" si="953">IF(S1370&gt;S1367,1,0)</f>
        <v>0</v>
      </c>
      <c r="AL1368" s="268">
        <f t="shared" ref="AL1368" si="954">IF(T1370&gt;T1367,1,0)</f>
        <v>0</v>
      </c>
      <c r="AN1368" s="268">
        <f t="shared" ref="AN1368:AT1368" si="955">IF(ISBLANK(N1370)=TRUE,"",IF(AF1368=1,N1367,-N1370))</f>
        <v>9</v>
      </c>
      <c r="AO1368" s="268">
        <f t="shared" si="955"/>
        <v>-8</v>
      </c>
      <c r="AP1368" s="268">
        <f t="shared" si="955"/>
        <v>-9</v>
      </c>
      <c r="AQ1368" s="268">
        <f t="shared" si="955"/>
        <v>7</v>
      </c>
      <c r="AR1368" s="268">
        <f t="shared" si="955"/>
        <v>8</v>
      </c>
      <c r="AS1368" s="268" t="str">
        <f t="shared" si="955"/>
        <v/>
      </c>
      <c r="AT1368" s="268" t="str">
        <f t="shared" si="955"/>
        <v/>
      </c>
      <c r="AZ1368" s="269" t="s">
        <v>18</v>
      </c>
      <c r="BA1368" s="269">
        <v>2</v>
      </c>
    </row>
    <row r="1369" spans="1:53" ht="39.950000000000003" customHeight="1">
      <c r="E1369" s="264" t="s">
        <v>35</v>
      </c>
      <c r="F1369" s="265" t="str">
        <f>VLOOKUP(A1365,'zoznam zapasov'!$A$6:$K$77,9,0)</f>
        <v>So</v>
      </c>
      <c r="G1369" s="263"/>
      <c r="H1369" s="263"/>
      <c r="I1369" s="263"/>
      <c r="J1369" s="263"/>
      <c r="K1369" s="263"/>
      <c r="L1369" s="263"/>
      <c r="M1369" s="263"/>
      <c r="N1369" s="263"/>
      <c r="O1369" s="263"/>
      <c r="P1369" s="263"/>
      <c r="Q1369" s="263"/>
      <c r="R1369" s="263"/>
      <c r="S1369" s="263"/>
      <c r="T1369" s="263"/>
      <c r="U1369" s="263"/>
      <c r="V1369" s="263"/>
      <c r="W1369" s="267"/>
      <c r="X1369" s="263"/>
      <c r="AZ1369" s="269" t="s">
        <v>38</v>
      </c>
      <c r="BA1369" s="269">
        <v>3</v>
      </c>
    </row>
    <row r="1370" spans="1:53" ht="39.950000000000003" customHeight="1">
      <c r="A1370" s="252" t="str">
        <f>CONCATENATE(F1372,VLOOKUP(F1374,$AZ$7:$BA$14,2,0),RIGHT(F1376,1))</f>
        <v>CH74</v>
      </c>
      <c r="E1370" s="264" t="s">
        <v>28</v>
      </c>
      <c r="F1370" s="270" t="str">
        <f>VLOOKUP(A1365,'zoznam zapasov'!$A$6:$K$77,10,0)</f>
        <v>12.50</v>
      </c>
      <c r="G1370" s="508"/>
      <c r="H1370" s="486"/>
      <c r="I1370" s="487" t="str">
        <f>IF(ISERROR(VLOOKUP(A1370,vylosovanie!$A$8:$J$68,6,0))=TRUE,"",VLOOKUP(A1370,vylosovanie!$A$8:$J$68,6,0))</f>
        <v>GREGOR Jakub</v>
      </c>
      <c r="J1370" s="487"/>
      <c r="K1370" s="487"/>
      <c r="L1370" s="487"/>
      <c r="M1370" s="263"/>
      <c r="N1370" s="489">
        <v>11</v>
      </c>
      <c r="O1370" s="489">
        <v>8</v>
      </c>
      <c r="P1370" s="489">
        <v>9</v>
      </c>
      <c r="Q1370" s="489">
        <v>11</v>
      </c>
      <c r="R1370" s="489">
        <v>11</v>
      </c>
      <c r="S1370" s="489"/>
      <c r="T1370" s="489"/>
      <c r="U1370" s="263"/>
      <c r="V1370" s="493">
        <f>IF(SUM(AF1367:AL1368)=0,"",SUM(AF1368:AL1368))</f>
        <v>3</v>
      </c>
      <c r="W1370" s="267"/>
      <c r="X1370" s="263"/>
      <c r="AZ1370" s="269" t="s">
        <v>39</v>
      </c>
      <c r="BA1370" s="269">
        <v>4</v>
      </c>
    </row>
    <row r="1371" spans="1:53" ht="39.950000000000003" customHeight="1">
      <c r="E1371" s="271"/>
      <c r="F1371" s="272"/>
      <c r="G1371" s="509"/>
      <c r="H1371" s="486"/>
      <c r="I1371" s="487"/>
      <c r="J1371" s="487"/>
      <c r="K1371" s="487"/>
      <c r="L1371" s="487"/>
      <c r="M1371" s="263"/>
      <c r="N1371" s="490"/>
      <c r="O1371" s="490"/>
      <c r="P1371" s="490"/>
      <c r="Q1371" s="490"/>
      <c r="R1371" s="490"/>
      <c r="S1371" s="490"/>
      <c r="T1371" s="490"/>
      <c r="U1371" s="263"/>
      <c r="V1371" s="493"/>
      <c r="W1371" s="267"/>
      <c r="X1371" s="263"/>
      <c r="AZ1371" s="269" t="s">
        <v>40</v>
      </c>
      <c r="BA1371" s="269">
        <v>5</v>
      </c>
    </row>
    <row r="1372" spans="1:53" ht="39.950000000000003" customHeight="1">
      <c r="E1372" s="264" t="s">
        <v>66</v>
      </c>
      <c r="F1372" s="265" t="s">
        <v>65</v>
      </c>
      <c r="G1372" s="263"/>
      <c r="H1372" s="263"/>
      <c r="I1372" s="263"/>
      <c r="J1372" s="263"/>
      <c r="K1372" s="263"/>
      <c r="L1372" s="263"/>
      <c r="M1372" s="263"/>
      <c r="N1372" s="263"/>
      <c r="O1372" s="263"/>
      <c r="P1372" s="263"/>
      <c r="Q1372" s="263"/>
      <c r="R1372" s="263"/>
      <c r="S1372" s="263"/>
      <c r="T1372" s="263"/>
      <c r="U1372" s="263"/>
      <c r="V1372" s="263"/>
      <c r="W1372" s="267"/>
      <c r="X1372" s="263"/>
      <c r="AZ1372" s="269" t="s">
        <v>41</v>
      </c>
      <c r="BA1372" s="269">
        <v>6</v>
      </c>
    </row>
    <row r="1373" spans="1:53" ht="39.950000000000003" customHeight="1">
      <c r="E1373" s="271"/>
      <c r="F1373" s="272"/>
      <c r="G1373" s="263"/>
      <c r="H1373" s="263"/>
      <c r="I1373" s="263" t="s">
        <v>32</v>
      </c>
      <c r="J1373" s="263"/>
      <c r="K1373" s="263"/>
      <c r="L1373" s="263"/>
      <c r="M1373" s="263"/>
      <c r="N1373" s="273"/>
      <c r="O1373" s="266"/>
      <c r="P1373" s="266" t="s">
        <v>34</v>
      </c>
      <c r="Q1373" s="266"/>
      <c r="R1373" s="266"/>
      <c r="S1373" s="266"/>
      <c r="T1373" s="266"/>
      <c r="U1373" s="263"/>
      <c r="V1373" s="263"/>
      <c r="W1373" s="267"/>
      <c r="X1373" s="263"/>
      <c r="AZ1373" s="269" t="s">
        <v>42</v>
      </c>
      <c r="BA1373" s="269">
        <v>7</v>
      </c>
    </row>
    <row r="1374" spans="1:53" ht="39.950000000000003" customHeight="1">
      <c r="E1374" s="264" t="s">
        <v>26</v>
      </c>
      <c r="F1374" s="265" t="s">
        <v>42</v>
      </c>
      <c r="G1374" s="263"/>
      <c r="H1374" s="263"/>
      <c r="I1374" s="486"/>
      <c r="J1374" s="486"/>
      <c r="K1374" s="486"/>
      <c r="L1374" s="486"/>
      <c r="M1374" s="263"/>
      <c r="N1374" s="486" t="str">
        <f>IF(V1367&gt;V1370,I1367,IF(V1370&gt;V1367,I1370,""))</f>
        <v>GREGOR Jakub</v>
      </c>
      <c r="O1374" s="486"/>
      <c r="P1374" s="486"/>
      <c r="Q1374" s="486"/>
      <c r="R1374" s="486"/>
      <c r="S1374" s="486"/>
      <c r="T1374" s="263"/>
      <c r="U1374" s="263"/>
      <c r="V1374" s="263"/>
      <c r="W1374" s="267"/>
      <c r="X1374" s="263"/>
      <c r="AZ1374" s="269" t="s">
        <v>43</v>
      </c>
      <c r="BA1374" s="269">
        <v>8</v>
      </c>
    </row>
    <row r="1375" spans="1:53" ht="39.950000000000003" customHeight="1">
      <c r="E1375" s="271"/>
      <c r="F1375" s="272"/>
      <c r="G1375" s="263"/>
      <c r="H1375" s="263"/>
      <c r="I1375" s="486"/>
      <c r="J1375" s="486"/>
      <c r="K1375" s="486"/>
      <c r="L1375" s="486"/>
      <c r="M1375" s="263"/>
      <c r="N1375" s="486"/>
      <c r="O1375" s="486"/>
      <c r="P1375" s="486"/>
      <c r="Q1375" s="486"/>
      <c r="R1375" s="486"/>
      <c r="S1375" s="486"/>
      <c r="T1375" s="263"/>
      <c r="U1375" s="263"/>
      <c r="V1375" s="263"/>
      <c r="W1375" s="267"/>
      <c r="X1375" s="263"/>
    </row>
    <row r="1376" spans="1:53" ht="39.950000000000003" customHeight="1">
      <c r="E1376" s="264" t="s">
        <v>27</v>
      </c>
      <c r="F1376" s="274" t="s">
        <v>24</v>
      </c>
      <c r="G1376" s="263"/>
      <c r="H1376" s="263"/>
      <c r="I1376" s="263"/>
      <c r="J1376" s="263"/>
      <c r="K1376" s="263"/>
      <c r="L1376" s="263"/>
      <c r="M1376" s="263"/>
      <c r="N1376" s="263"/>
      <c r="O1376" s="263"/>
      <c r="P1376" s="263"/>
      <c r="Q1376" s="263"/>
      <c r="R1376" s="263"/>
      <c r="S1376" s="263"/>
      <c r="T1376" s="263"/>
      <c r="U1376" s="263"/>
      <c r="V1376" s="263"/>
      <c r="W1376" s="267"/>
      <c r="X1376" s="263"/>
    </row>
    <row r="1377" spans="1:53" ht="39.950000000000003" customHeight="1">
      <c r="E1377" s="271"/>
      <c r="F1377" s="272"/>
      <c r="G1377" s="263"/>
      <c r="H1377" s="263" t="s">
        <v>33</v>
      </c>
      <c r="I1377" s="263"/>
      <c r="J1377" s="263"/>
      <c r="K1377" s="263"/>
      <c r="L1377" s="263"/>
      <c r="M1377" s="263"/>
      <c r="N1377" s="263"/>
      <c r="O1377" s="263"/>
      <c r="P1377" s="263"/>
      <c r="Q1377" s="263"/>
      <c r="R1377" s="263"/>
      <c r="S1377" s="263"/>
      <c r="T1377" s="263"/>
      <c r="U1377" s="263"/>
      <c r="V1377" s="263"/>
      <c r="W1377" s="267"/>
      <c r="X1377" s="263"/>
    </row>
    <row r="1378" spans="1:53" ht="39.950000000000003" customHeight="1">
      <c r="E1378" s="271"/>
      <c r="F1378" s="272"/>
      <c r="G1378" s="263"/>
      <c r="H1378" s="263"/>
      <c r="I1378" s="263"/>
      <c r="J1378" s="263"/>
      <c r="K1378" s="263"/>
      <c r="L1378" s="263"/>
      <c r="M1378" s="263"/>
      <c r="N1378" s="263"/>
      <c r="O1378" s="263"/>
      <c r="P1378" s="263"/>
      <c r="Q1378" s="263"/>
      <c r="R1378" s="263"/>
      <c r="S1378" s="263"/>
      <c r="T1378" s="263"/>
      <c r="U1378" s="263"/>
      <c r="V1378" s="263"/>
      <c r="W1378" s="267"/>
      <c r="X1378" s="263"/>
    </row>
    <row r="1379" spans="1:53" ht="39.950000000000003" customHeight="1">
      <c r="E1379" s="271"/>
      <c r="F1379" s="272"/>
      <c r="G1379" s="263"/>
      <c r="H1379" s="263"/>
      <c r="I1379" s="496" t="str">
        <f>I1367</f>
        <v>TUREK Teodor</v>
      </c>
      <c r="J1379" s="496"/>
      <c r="K1379" s="496"/>
      <c r="L1379" s="496"/>
      <c r="M1379" s="263"/>
      <c r="N1379" s="263"/>
      <c r="O1379" s="263"/>
      <c r="P1379" s="496" t="str">
        <f>I1370</f>
        <v>GREGOR Jakub</v>
      </c>
      <c r="Q1379" s="496"/>
      <c r="R1379" s="496"/>
      <c r="S1379" s="496"/>
      <c r="T1379" s="497"/>
      <c r="U1379" s="497"/>
      <c r="V1379" s="263"/>
      <c r="W1379" s="267"/>
      <c r="X1379" s="263"/>
    </row>
    <row r="1380" spans="1:53" ht="69.95" customHeight="1">
      <c r="E1380" s="264"/>
      <c r="F1380" s="265"/>
      <c r="G1380" s="263"/>
      <c r="H1380" s="275" t="s">
        <v>36</v>
      </c>
      <c r="I1380" s="483"/>
      <c r="J1380" s="494"/>
      <c r="K1380" s="494"/>
      <c r="L1380" s="495"/>
      <c r="M1380" s="263"/>
      <c r="N1380" s="263"/>
      <c r="O1380" s="275" t="s">
        <v>36</v>
      </c>
      <c r="P1380" s="486"/>
      <c r="Q1380" s="486"/>
      <c r="R1380" s="486"/>
      <c r="S1380" s="486"/>
      <c r="T1380" s="486"/>
      <c r="U1380" s="486"/>
      <c r="V1380" s="263"/>
      <c r="W1380" s="267"/>
      <c r="X1380" s="263"/>
    </row>
    <row r="1381" spans="1:53" ht="69.95" customHeight="1">
      <c r="E1381" s="264"/>
      <c r="F1381" s="265"/>
      <c r="G1381" s="263"/>
      <c r="H1381" s="275" t="s">
        <v>37</v>
      </c>
      <c r="I1381" s="486"/>
      <c r="J1381" s="486"/>
      <c r="K1381" s="486"/>
      <c r="L1381" s="486"/>
      <c r="M1381" s="263"/>
      <c r="N1381" s="263"/>
      <c r="O1381" s="275" t="s">
        <v>37</v>
      </c>
      <c r="P1381" s="486"/>
      <c r="Q1381" s="486"/>
      <c r="R1381" s="486"/>
      <c r="S1381" s="486"/>
      <c r="T1381" s="486"/>
      <c r="U1381" s="486"/>
      <c r="V1381" s="263"/>
      <c r="W1381" s="267"/>
      <c r="X1381" s="263"/>
    </row>
    <row r="1382" spans="1:53" ht="69.95" customHeight="1">
      <c r="E1382" s="264"/>
      <c r="F1382" s="265"/>
      <c r="G1382" s="263"/>
      <c r="H1382" s="275" t="s">
        <v>37</v>
      </c>
      <c r="I1382" s="486"/>
      <c r="J1382" s="486"/>
      <c r="K1382" s="486"/>
      <c r="L1382" s="486"/>
      <c r="M1382" s="263"/>
      <c r="N1382" s="263"/>
      <c r="O1382" s="275" t="s">
        <v>37</v>
      </c>
      <c r="P1382" s="486"/>
      <c r="Q1382" s="486"/>
      <c r="R1382" s="486"/>
      <c r="S1382" s="486"/>
      <c r="T1382" s="486"/>
      <c r="U1382" s="486"/>
      <c r="V1382" s="263"/>
      <c r="W1382" s="267"/>
      <c r="X1382" s="263"/>
    </row>
    <row r="1383" spans="1:53" ht="39.950000000000003" customHeight="1" thickBot="1">
      <c r="E1383" s="276"/>
      <c r="F1383" s="277"/>
      <c r="G1383" s="278"/>
      <c r="H1383" s="278"/>
      <c r="I1383" s="278"/>
      <c r="J1383" s="278"/>
      <c r="K1383" s="278"/>
      <c r="L1383" s="278"/>
      <c r="M1383" s="278"/>
      <c r="N1383" s="278"/>
      <c r="O1383" s="278"/>
      <c r="P1383" s="278"/>
      <c r="Q1383" s="278"/>
      <c r="R1383" s="278"/>
      <c r="S1383" s="278"/>
      <c r="T1383" s="279"/>
      <c r="U1383" s="279"/>
      <c r="V1383" s="279"/>
      <c r="W1383" s="280"/>
      <c r="X1383" s="263"/>
    </row>
    <row r="1384" spans="1:53" ht="62.25" thickBot="1"/>
    <row r="1385" spans="1:53" ht="39.950000000000003" customHeight="1">
      <c r="A1385" s="252" t="str">
        <f>CONCATENATE(F1392,F1394,F1396)</f>
        <v>CHG2-3</v>
      </c>
      <c r="E1385" s="259" t="s">
        <v>70</v>
      </c>
      <c r="F1385" s="260">
        <f>VLOOKUP(A1385,'zoznam zapasov'!$A$6:$K$77,3,0)</f>
        <v>70</v>
      </c>
      <c r="G1385" s="261"/>
      <c r="H1385" s="322" t="s">
        <v>501</v>
      </c>
      <c r="I1385" s="261"/>
      <c r="J1385" s="261"/>
      <c r="K1385" s="261"/>
      <c r="L1385" s="261"/>
      <c r="M1385" s="261"/>
      <c r="N1385" s="261"/>
      <c r="O1385" s="261"/>
      <c r="P1385" s="261"/>
      <c r="Q1385" s="261"/>
      <c r="R1385" s="261"/>
      <c r="S1385" s="261"/>
      <c r="T1385" s="261"/>
      <c r="U1385" s="261"/>
      <c r="V1385" s="261" t="s">
        <v>30</v>
      </c>
      <c r="W1385" s="262"/>
      <c r="X1385" s="263"/>
      <c r="Z1385" s="258" t="str">
        <f>CONCATENATE(V1387,":",V1390)</f>
        <v>2:3</v>
      </c>
      <c r="AE1385" s="253" t="s">
        <v>11</v>
      </c>
      <c r="AV1385" s="256" t="str">
        <f>CONCATENATE(AN1387,",",AO1387,",",AP1387,",",AQ1387,",",AR1387,",",AS1387,",",AT1387)</f>
        <v>-8,7,-9,11,-6,,</v>
      </c>
    </row>
    <row r="1386" spans="1:53" ht="39.950000000000003" customHeight="1">
      <c r="E1386" s="264"/>
      <c r="F1386" s="265"/>
      <c r="G1386" s="321" t="s">
        <v>500</v>
      </c>
      <c r="H1386" s="323" t="s">
        <v>502</v>
      </c>
      <c r="I1386" s="263"/>
      <c r="J1386" s="263"/>
      <c r="K1386" s="263"/>
      <c r="L1386" s="263"/>
      <c r="M1386" s="263"/>
      <c r="N1386" s="266">
        <v>1</v>
      </c>
      <c r="O1386" s="266">
        <v>2</v>
      </c>
      <c r="P1386" s="266">
        <v>3</v>
      </c>
      <c r="Q1386" s="266">
        <v>4</v>
      </c>
      <c r="R1386" s="266">
        <v>5</v>
      </c>
      <c r="S1386" s="266">
        <v>6</v>
      </c>
      <c r="T1386" s="266">
        <v>7</v>
      </c>
      <c r="U1386" s="263"/>
      <c r="V1386" s="266" t="s">
        <v>31</v>
      </c>
      <c r="W1386" s="267"/>
      <c r="X1386" s="263"/>
      <c r="AE1386" s="253" t="s">
        <v>68</v>
      </c>
      <c r="AV1386" s="256" t="str">
        <f>CONCATENATE(AN1388,",",AO1388,",",AP1388,",",AQ1388,",",AR1388,",",AS1388,",",AT1388)</f>
        <v>8,-7,9,-11,6,,</v>
      </c>
    </row>
    <row r="1387" spans="1:53" ht="39.950000000000003" customHeight="1">
      <c r="A1387" s="252" t="str">
        <f>CONCATENATE(F1392,VLOOKUP(F1394,$AZ$7:$BA$14,2,0),LEFT(F1396,1))</f>
        <v>CH72</v>
      </c>
      <c r="E1387" s="264" t="s">
        <v>29</v>
      </c>
      <c r="F1387" s="265">
        <f>VLOOKUP(A1385,'zoznam zapasov'!$A$6:$K$77,11,0)</f>
        <v>6</v>
      </c>
      <c r="G1387" s="508"/>
      <c r="H1387" s="495"/>
      <c r="I1387" s="487" t="str">
        <f>IF(ISERROR(VLOOKUP(A1387,vylosovanie!$A$8:$J$68,6,0))=TRUE,"",VLOOKUP(A1387,vylosovanie!$A$8:$J$68,6,0))</f>
        <v>JALOVECKÝ Marek</v>
      </c>
      <c r="J1387" s="487"/>
      <c r="K1387" s="487"/>
      <c r="L1387" s="487"/>
      <c r="M1387" s="263"/>
      <c r="N1387" s="489">
        <v>8</v>
      </c>
      <c r="O1387" s="489">
        <v>11</v>
      </c>
      <c r="P1387" s="489">
        <v>9</v>
      </c>
      <c r="Q1387" s="489">
        <v>13</v>
      </c>
      <c r="R1387" s="489">
        <v>6</v>
      </c>
      <c r="S1387" s="489"/>
      <c r="T1387" s="489"/>
      <c r="U1387" s="263"/>
      <c r="V1387" s="493">
        <f>IF(SUM(AF1387:AL1388)=0,"",SUM(AF1387:AL1387))</f>
        <v>2</v>
      </c>
      <c r="W1387" s="267"/>
      <c r="X1387" s="263"/>
      <c r="AE1387" s="253" t="str">
        <f>VLOOKUP(I1387,vylosovanie!$F$8:$L$190,7,0)</f>
        <v>CH72</v>
      </c>
      <c r="AF1387" s="268">
        <f>IF(N1387&gt;N1390,1,0)</f>
        <v>0</v>
      </c>
      <c r="AG1387" s="268">
        <f t="shared" ref="AG1387" si="956">IF(O1387&gt;O1390,1,0)</f>
        <v>1</v>
      </c>
      <c r="AH1387" s="268">
        <f t="shared" ref="AH1387" si="957">IF(P1387&gt;P1390,1,0)</f>
        <v>0</v>
      </c>
      <c r="AI1387" s="268">
        <f t="shared" ref="AI1387" si="958">IF(Q1387&gt;Q1390,1,0)</f>
        <v>1</v>
      </c>
      <c r="AJ1387" s="268">
        <f t="shared" ref="AJ1387" si="959">IF(R1387&gt;R1390,1,0)</f>
        <v>0</v>
      </c>
      <c r="AK1387" s="268">
        <f t="shared" ref="AK1387" si="960">IF(S1387&gt;S1390,1,0)</f>
        <v>0</v>
      </c>
      <c r="AL1387" s="268">
        <f t="shared" ref="AL1387" si="961">IF(T1387&gt;T1390,1,0)</f>
        <v>0</v>
      </c>
      <c r="AN1387" s="268">
        <f t="shared" ref="AN1387:AT1387" si="962">IF(ISBLANK(N1387)=TRUE,"",IF(AF1387=1,N1390,-N1387))</f>
        <v>-8</v>
      </c>
      <c r="AO1387" s="268">
        <f t="shared" si="962"/>
        <v>7</v>
      </c>
      <c r="AP1387" s="268">
        <f t="shared" si="962"/>
        <v>-9</v>
      </c>
      <c r="AQ1387" s="268">
        <f t="shared" si="962"/>
        <v>11</v>
      </c>
      <c r="AR1387" s="268">
        <f t="shared" si="962"/>
        <v>-6</v>
      </c>
      <c r="AS1387" s="268" t="str">
        <f t="shared" si="962"/>
        <v/>
      </c>
      <c r="AT1387" s="268" t="str">
        <f t="shared" si="962"/>
        <v/>
      </c>
      <c r="AZ1387" s="269" t="s">
        <v>12</v>
      </c>
      <c r="BA1387" s="269">
        <v>1</v>
      </c>
    </row>
    <row r="1388" spans="1:53" ht="39.950000000000003" customHeight="1">
      <c r="E1388" s="264"/>
      <c r="F1388" s="265"/>
      <c r="G1388" s="509"/>
      <c r="H1388" s="495"/>
      <c r="I1388" s="487"/>
      <c r="J1388" s="487"/>
      <c r="K1388" s="487"/>
      <c r="L1388" s="487"/>
      <c r="M1388" s="263"/>
      <c r="N1388" s="490"/>
      <c r="O1388" s="490"/>
      <c r="P1388" s="490"/>
      <c r="Q1388" s="490"/>
      <c r="R1388" s="490"/>
      <c r="S1388" s="490"/>
      <c r="T1388" s="490"/>
      <c r="U1388" s="263"/>
      <c r="V1388" s="493"/>
      <c r="W1388" s="267"/>
      <c r="X1388" s="263"/>
      <c r="AE1388" s="253" t="str">
        <f>VLOOKUP(I1390,vylosovanie!$F$8:$L$190,7,0)</f>
        <v>CH73</v>
      </c>
      <c r="AF1388" s="268">
        <f>IF(N1390&gt;N1387,1,0)</f>
        <v>1</v>
      </c>
      <c r="AG1388" s="268">
        <f t="shared" ref="AG1388" si="963">IF(O1390&gt;O1387,1,0)</f>
        <v>0</v>
      </c>
      <c r="AH1388" s="268">
        <f t="shared" ref="AH1388" si="964">IF(P1390&gt;P1387,1,0)</f>
        <v>1</v>
      </c>
      <c r="AI1388" s="268">
        <f t="shared" ref="AI1388" si="965">IF(Q1390&gt;Q1387,1,0)</f>
        <v>0</v>
      </c>
      <c r="AJ1388" s="268">
        <f t="shared" ref="AJ1388" si="966">IF(R1390&gt;R1387,1,0)</f>
        <v>1</v>
      </c>
      <c r="AK1388" s="268">
        <f t="shared" ref="AK1388" si="967">IF(S1390&gt;S1387,1,0)</f>
        <v>0</v>
      </c>
      <c r="AL1388" s="268">
        <f t="shared" ref="AL1388" si="968">IF(T1390&gt;T1387,1,0)</f>
        <v>0</v>
      </c>
      <c r="AN1388" s="268">
        <f t="shared" ref="AN1388:AT1388" si="969">IF(ISBLANK(N1390)=TRUE,"",IF(AF1388=1,N1387,-N1390))</f>
        <v>8</v>
      </c>
      <c r="AO1388" s="268">
        <f t="shared" si="969"/>
        <v>-7</v>
      </c>
      <c r="AP1388" s="268">
        <f t="shared" si="969"/>
        <v>9</v>
      </c>
      <c r="AQ1388" s="268">
        <f t="shared" si="969"/>
        <v>-11</v>
      </c>
      <c r="AR1388" s="268">
        <f t="shared" si="969"/>
        <v>6</v>
      </c>
      <c r="AS1388" s="268" t="str">
        <f t="shared" si="969"/>
        <v/>
      </c>
      <c r="AT1388" s="268" t="str">
        <f t="shared" si="969"/>
        <v/>
      </c>
      <c r="AZ1388" s="269" t="s">
        <v>18</v>
      </c>
      <c r="BA1388" s="269">
        <v>2</v>
      </c>
    </row>
    <row r="1389" spans="1:53" ht="39.950000000000003" customHeight="1">
      <c r="E1389" s="264" t="s">
        <v>35</v>
      </c>
      <c r="F1389" s="265" t="str">
        <f>VLOOKUP(A1385,'zoznam zapasov'!$A$6:$K$77,9,0)</f>
        <v>So</v>
      </c>
      <c r="G1389" s="263"/>
      <c r="H1389" s="263"/>
      <c r="I1389" s="263"/>
      <c r="J1389" s="263"/>
      <c r="K1389" s="263"/>
      <c r="L1389" s="263"/>
      <c r="M1389" s="263"/>
      <c r="N1389" s="263"/>
      <c r="O1389" s="263"/>
      <c r="P1389" s="263"/>
      <c r="Q1389" s="263"/>
      <c r="R1389" s="263"/>
      <c r="S1389" s="263"/>
      <c r="T1389" s="263"/>
      <c r="U1389" s="263"/>
      <c r="V1389" s="263"/>
      <c r="W1389" s="267"/>
      <c r="X1389" s="263"/>
      <c r="AZ1389" s="269" t="s">
        <v>38</v>
      </c>
      <c r="BA1389" s="269">
        <v>3</v>
      </c>
    </row>
    <row r="1390" spans="1:53" ht="39.950000000000003" customHeight="1">
      <c r="A1390" s="252" t="str">
        <f>CONCATENATE(F1392,VLOOKUP(F1394,$AZ$7:$BA$14,2,0),RIGHT(F1396,1))</f>
        <v>CH73</v>
      </c>
      <c r="E1390" s="264" t="s">
        <v>28</v>
      </c>
      <c r="F1390" s="270" t="str">
        <f>VLOOKUP(A1385,'zoznam zapasov'!$A$6:$K$77,10,0)</f>
        <v>12.50</v>
      </c>
      <c r="G1390" s="508"/>
      <c r="H1390" s="486"/>
      <c r="I1390" s="487" t="str">
        <f>IF(ISERROR(VLOOKUP(A1390,vylosovanie!$A$8:$J$68,6,0))=TRUE,"",VLOOKUP(A1390,vylosovanie!$A$8:$J$68,6,0))</f>
        <v>FEČO Michal</v>
      </c>
      <c r="J1390" s="487"/>
      <c r="K1390" s="487"/>
      <c r="L1390" s="487"/>
      <c r="M1390" s="263"/>
      <c r="N1390" s="489">
        <v>11</v>
      </c>
      <c r="O1390" s="489">
        <v>7</v>
      </c>
      <c r="P1390" s="489">
        <v>11</v>
      </c>
      <c r="Q1390" s="489">
        <v>11</v>
      </c>
      <c r="R1390" s="489">
        <v>11</v>
      </c>
      <c r="S1390" s="489"/>
      <c r="T1390" s="489"/>
      <c r="U1390" s="263"/>
      <c r="V1390" s="493">
        <f>IF(SUM(AF1387:AL1388)=0,"",SUM(AF1388:AL1388))</f>
        <v>3</v>
      </c>
      <c r="W1390" s="267"/>
      <c r="X1390" s="263"/>
      <c r="AZ1390" s="269" t="s">
        <v>39</v>
      </c>
      <c r="BA1390" s="269">
        <v>4</v>
      </c>
    </row>
    <row r="1391" spans="1:53" ht="39.950000000000003" customHeight="1">
      <c r="E1391" s="271"/>
      <c r="F1391" s="272"/>
      <c r="G1391" s="509"/>
      <c r="H1391" s="486"/>
      <c r="I1391" s="487"/>
      <c r="J1391" s="487"/>
      <c r="K1391" s="487"/>
      <c r="L1391" s="487"/>
      <c r="M1391" s="263"/>
      <c r="N1391" s="490"/>
      <c r="O1391" s="490"/>
      <c r="P1391" s="490"/>
      <c r="Q1391" s="490"/>
      <c r="R1391" s="490"/>
      <c r="S1391" s="490"/>
      <c r="T1391" s="490"/>
      <c r="U1391" s="263"/>
      <c r="V1391" s="493"/>
      <c r="W1391" s="267"/>
      <c r="X1391" s="263"/>
      <c r="AZ1391" s="269" t="s">
        <v>40</v>
      </c>
      <c r="BA1391" s="269">
        <v>5</v>
      </c>
    </row>
    <row r="1392" spans="1:53" ht="39.950000000000003" customHeight="1">
      <c r="E1392" s="264" t="s">
        <v>66</v>
      </c>
      <c r="F1392" s="265" t="s">
        <v>65</v>
      </c>
      <c r="G1392" s="263"/>
      <c r="H1392" s="263"/>
      <c r="I1392" s="263"/>
      <c r="J1392" s="263"/>
      <c r="K1392" s="263"/>
      <c r="L1392" s="263"/>
      <c r="M1392" s="263"/>
      <c r="N1392" s="263"/>
      <c r="O1392" s="263"/>
      <c r="P1392" s="263"/>
      <c r="Q1392" s="263"/>
      <c r="R1392" s="263"/>
      <c r="S1392" s="263"/>
      <c r="T1392" s="263"/>
      <c r="U1392" s="263"/>
      <c r="V1392" s="263"/>
      <c r="W1392" s="267"/>
      <c r="X1392" s="263"/>
      <c r="AZ1392" s="269" t="s">
        <v>41</v>
      </c>
      <c r="BA1392" s="269">
        <v>6</v>
      </c>
    </row>
    <row r="1393" spans="1:53" ht="39.950000000000003" customHeight="1">
      <c r="E1393" s="271"/>
      <c r="F1393" s="272"/>
      <c r="G1393" s="263"/>
      <c r="H1393" s="263"/>
      <c r="I1393" s="263" t="s">
        <v>32</v>
      </c>
      <c r="J1393" s="263"/>
      <c r="K1393" s="263"/>
      <c r="L1393" s="263"/>
      <c r="M1393" s="263"/>
      <c r="N1393" s="273"/>
      <c r="O1393" s="266"/>
      <c r="P1393" s="266" t="s">
        <v>34</v>
      </c>
      <c r="Q1393" s="266"/>
      <c r="R1393" s="266"/>
      <c r="S1393" s="266"/>
      <c r="T1393" s="266"/>
      <c r="U1393" s="263"/>
      <c r="V1393" s="263"/>
      <c r="W1393" s="267"/>
      <c r="X1393" s="263"/>
      <c r="AZ1393" s="269" t="s">
        <v>42</v>
      </c>
      <c r="BA1393" s="269">
        <v>7</v>
      </c>
    </row>
    <row r="1394" spans="1:53" ht="39.950000000000003" customHeight="1">
      <c r="E1394" s="264" t="s">
        <v>26</v>
      </c>
      <c r="F1394" s="265" t="s">
        <v>42</v>
      </c>
      <c r="G1394" s="263"/>
      <c r="H1394" s="263"/>
      <c r="I1394" s="486"/>
      <c r="J1394" s="486"/>
      <c r="K1394" s="486"/>
      <c r="L1394" s="486"/>
      <c r="M1394" s="263"/>
      <c r="N1394" s="486" t="str">
        <f>IF(V1387&gt;V1390,I1387,IF(V1390&gt;V1387,I1390,""))</f>
        <v>FEČO Michal</v>
      </c>
      <c r="O1394" s="486"/>
      <c r="P1394" s="486"/>
      <c r="Q1394" s="486"/>
      <c r="R1394" s="486"/>
      <c r="S1394" s="486"/>
      <c r="T1394" s="263"/>
      <c r="U1394" s="263"/>
      <c r="V1394" s="263"/>
      <c r="W1394" s="267"/>
      <c r="X1394" s="263"/>
      <c r="AZ1394" s="269" t="s">
        <v>43</v>
      </c>
      <c r="BA1394" s="269">
        <v>8</v>
      </c>
    </row>
    <row r="1395" spans="1:53" ht="39.950000000000003" customHeight="1">
      <c r="E1395" s="271"/>
      <c r="F1395" s="272"/>
      <c r="G1395" s="263"/>
      <c r="H1395" s="263"/>
      <c r="I1395" s="486"/>
      <c r="J1395" s="486"/>
      <c r="K1395" s="486"/>
      <c r="L1395" s="486"/>
      <c r="M1395" s="263"/>
      <c r="N1395" s="486"/>
      <c r="O1395" s="486"/>
      <c r="P1395" s="486"/>
      <c r="Q1395" s="486"/>
      <c r="R1395" s="486"/>
      <c r="S1395" s="486"/>
      <c r="T1395" s="263"/>
      <c r="U1395" s="263"/>
      <c r="V1395" s="263"/>
      <c r="W1395" s="267"/>
      <c r="X1395" s="263"/>
    </row>
    <row r="1396" spans="1:53" ht="39.950000000000003" customHeight="1">
      <c r="E1396" s="264" t="s">
        <v>27</v>
      </c>
      <c r="F1396" s="274" t="s">
        <v>25</v>
      </c>
      <c r="G1396" s="263"/>
      <c r="H1396" s="263"/>
      <c r="I1396" s="263"/>
      <c r="J1396" s="263"/>
      <c r="K1396" s="263"/>
      <c r="L1396" s="263"/>
      <c r="M1396" s="263"/>
      <c r="N1396" s="263"/>
      <c r="O1396" s="263"/>
      <c r="P1396" s="263"/>
      <c r="Q1396" s="263"/>
      <c r="R1396" s="263"/>
      <c r="S1396" s="263"/>
      <c r="T1396" s="263"/>
      <c r="U1396" s="263"/>
      <c r="V1396" s="263"/>
      <c r="W1396" s="267"/>
      <c r="X1396" s="263"/>
    </row>
    <row r="1397" spans="1:53" ht="39.950000000000003" customHeight="1">
      <c r="E1397" s="271"/>
      <c r="F1397" s="272"/>
      <c r="G1397" s="263"/>
      <c r="H1397" s="263" t="s">
        <v>33</v>
      </c>
      <c r="I1397" s="263"/>
      <c r="J1397" s="263"/>
      <c r="K1397" s="263"/>
      <c r="L1397" s="263"/>
      <c r="M1397" s="263"/>
      <c r="N1397" s="263"/>
      <c r="O1397" s="263"/>
      <c r="P1397" s="263"/>
      <c r="Q1397" s="263"/>
      <c r="R1397" s="263"/>
      <c r="S1397" s="263"/>
      <c r="T1397" s="263"/>
      <c r="U1397" s="263"/>
      <c r="V1397" s="263"/>
      <c r="W1397" s="267"/>
      <c r="X1397" s="263"/>
    </row>
    <row r="1398" spans="1:53" ht="39.950000000000003" customHeight="1">
      <c r="E1398" s="271"/>
      <c r="F1398" s="272"/>
      <c r="G1398" s="263"/>
      <c r="H1398" s="263"/>
      <c r="I1398" s="263"/>
      <c r="J1398" s="263"/>
      <c r="K1398" s="263"/>
      <c r="L1398" s="263"/>
      <c r="M1398" s="263"/>
      <c r="N1398" s="263"/>
      <c r="O1398" s="263"/>
      <c r="P1398" s="263"/>
      <c r="Q1398" s="263"/>
      <c r="R1398" s="263"/>
      <c r="S1398" s="263"/>
      <c r="T1398" s="263"/>
      <c r="U1398" s="263"/>
      <c r="V1398" s="263"/>
      <c r="W1398" s="267"/>
      <c r="X1398" s="263"/>
    </row>
    <row r="1399" spans="1:53" ht="39.950000000000003" customHeight="1">
      <c r="E1399" s="271"/>
      <c r="F1399" s="272"/>
      <c r="G1399" s="263"/>
      <c r="H1399" s="263"/>
      <c r="I1399" s="496" t="str">
        <f>I1387</f>
        <v>JALOVECKÝ Marek</v>
      </c>
      <c r="J1399" s="496"/>
      <c r="K1399" s="496"/>
      <c r="L1399" s="496"/>
      <c r="M1399" s="263"/>
      <c r="N1399" s="263"/>
      <c r="O1399" s="263"/>
      <c r="P1399" s="496" t="str">
        <f>I1390</f>
        <v>FEČO Michal</v>
      </c>
      <c r="Q1399" s="496"/>
      <c r="R1399" s="496"/>
      <c r="S1399" s="496"/>
      <c r="T1399" s="497"/>
      <c r="U1399" s="497"/>
      <c r="V1399" s="263"/>
      <c r="W1399" s="267"/>
      <c r="X1399" s="263"/>
    </row>
    <row r="1400" spans="1:53" ht="69.95" customHeight="1">
      <c r="E1400" s="264"/>
      <c r="F1400" s="265"/>
      <c r="G1400" s="263"/>
      <c r="H1400" s="275" t="s">
        <v>36</v>
      </c>
      <c r="I1400" s="483"/>
      <c r="J1400" s="494"/>
      <c r="K1400" s="494"/>
      <c r="L1400" s="495"/>
      <c r="M1400" s="263"/>
      <c r="N1400" s="263"/>
      <c r="O1400" s="275" t="s">
        <v>36</v>
      </c>
      <c r="P1400" s="486"/>
      <c r="Q1400" s="486"/>
      <c r="R1400" s="486"/>
      <c r="S1400" s="486"/>
      <c r="T1400" s="486"/>
      <c r="U1400" s="486"/>
      <c r="V1400" s="263"/>
      <c r="W1400" s="267"/>
      <c r="X1400" s="263"/>
    </row>
    <row r="1401" spans="1:53" ht="69.95" customHeight="1">
      <c r="E1401" s="264"/>
      <c r="F1401" s="265"/>
      <c r="G1401" s="263"/>
      <c r="H1401" s="275" t="s">
        <v>37</v>
      </c>
      <c r="I1401" s="486"/>
      <c r="J1401" s="486"/>
      <c r="K1401" s="486"/>
      <c r="L1401" s="486"/>
      <c r="M1401" s="263"/>
      <c r="N1401" s="263"/>
      <c r="O1401" s="275" t="s">
        <v>37</v>
      </c>
      <c r="P1401" s="486"/>
      <c r="Q1401" s="486"/>
      <c r="R1401" s="486"/>
      <c r="S1401" s="486"/>
      <c r="T1401" s="486"/>
      <c r="U1401" s="486"/>
      <c r="V1401" s="263"/>
      <c r="W1401" s="267"/>
      <c r="X1401" s="263"/>
    </row>
    <row r="1402" spans="1:53" ht="69.95" customHeight="1">
      <c r="E1402" s="264"/>
      <c r="F1402" s="265"/>
      <c r="G1402" s="263"/>
      <c r="H1402" s="275" t="s">
        <v>37</v>
      </c>
      <c r="I1402" s="486"/>
      <c r="J1402" s="486"/>
      <c r="K1402" s="486"/>
      <c r="L1402" s="486"/>
      <c r="M1402" s="263"/>
      <c r="N1402" s="263"/>
      <c r="O1402" s="275" t="s">
        <v>37</v>
      </c>
      <c r="P1402" s="486"/>
      <c r="Q1402" s="486"/>
      <c r="R1402" s="486"/>
      <c r="S1402" s="486"/>
      <c r="T1402" s="486"/>
      <c r="U1402" s="486"/>
      <c r="V1402" s="263"/>
      <c r="W1402" s="267"/>
      <c r="X1402" s="263"/>
    </row>
    <row r="1403" spans="1:53" ht="39.950000000000003" customHeight="1" thickBot="1">
      <c r="E1403" s="276"/>
      <c r="F1403" s="277"/>
      <c r="G1403" s="278"/>
      <c r="H1403" s="278"/>
      <c r="I1403" s="278"/>
      <c r="J1403" s="278"/>
      <c r="K1403" s="278"/>
      <c r="L1403" s="278"/>
      <c r="M1403" s="278"/>
      <c r="N1403" s="278"/>
      <c r="O1403" s="278"/>
      <c r="P1403" s="278"/>
      <c r="Q1403" s="278"/>
      <c r="R1403" s="278"/>
      <c r="S1403" s="278"/>
      <c r="T1403" s="279"/>
      <c r="U1403" s="279"/>
      <c r="V1403" s="279"/>
      <c r="W1403" s="280"/>
      <c r="X1403" s="263"/>
    </row>
    <row r="1404" spans="1:53" ht="62.25" thickBot="1"/>
    <row r="1405" spans="1:53" ht="39.950000000000003" customHeight="1">
      <c r="A1405" s="252" t="str">
        <f>CONCATENATE(F1412,F1414,F1416)</f>
        <v>CHH1-4</v>
      </c>
      <c r="E1405" s="259" t="s">
        <v>70</v>
      </c>
      <c r="F1405" s="260">
        <f>VLOOKUP(A1405,'zoznam zapasov'!$A$6:$K$77,3,0)</f>
        <v>71</v>
      </c>
      <c r="G1405" s="261"/>
      <c r="H1405" s="322" t="s">
        <v>501</v>
      </c>
      <c r="I1405" s="261"/>
      <c r="J1405" s="261"/>
      <c r="K1405" s="261"/>
      <c r="L1405" s="261"/>
      <c r="M1405" s="261"/>
      <c r="N1405" s="261"/>
      <c r="O1405" s="261"/>
      <c r="P1405" s="261"/>
      <c r="Q1405" s="261"/>
      <c r="R1405" s="261"/>
      <c r="S1405" s="261"/>
      <c r="T1405" s="261"/>
      <c r="U1405" s="261"/>
      <c r="V1405" s="261" t="s">
        <v>30</v>
      </c>
      <c r="W1405" s="262"/>
      <c r="X1405" s="263"/>
      <c r="Z1405" s="258" t="str">
        <f>CONCATENATE(V1407,":",V1410)</f>
        <v>3:2</v>
      </c>
      <c r="AE1405" s="253" t="s">
        <v>11</v>
      </c>
      <c r="AV1405" s="256" t="str">
        <f>CONCATENATE(AN1407,",",AO1407,",",AP1407,",",AQ1407,",",AR1407,",",AS1407,",",AT1407)</f>
        <v>-6,8,5,-9,7,,</v>
      </c>
    </row>
    <row r="1406" spans="1:53" ht="39.950000000000003" customHeight="1">
      <c r="E1406" s="264"/>
      <c r="F1406" s="265"/>
      <c r="G1406" s="321" t="s">
        <v>500</v>
      </c>
      <c r="H1406" s="323" t="s">
        <v>502</v>
      </c>
      <c r="I1406" s="263"/>
      <c r="J1406" s="263"/>
      <c r="K1406" s="263"/>
      <c r="L1406" s="263"/>
      <c r="M1406" s="263"/>
      <c r="N1406" s="266">
        <v>1</v>
      </c>
      <c r="O1406" s="266">
        <v>2</v>
      </c>
      <c r="P1406" s="266">
        <v>3</v>
      </c>
      <c r="Q1406" s="266">
        <v>4</v>
      </c>
      <c r="R1406" s="266">
        <v>5</v>
      </c>
      <c r="S1406" s="266">
        <v>6</v>
      </c>
      <c r="T1406" s="266">
        <v>7</v>
      </c>
      <c r="U1406" s="263"/>
      <c r="V1406" s="266" t="s">
        <v>31</v>
      </c>
      <c r="W1406" s="267"/>
      <c r="X1406" s="263"/>
      <c r="AE1406" s="253" t="s">
        <v>68</v>
      </c>
      <c r="AV1406" s="256" t="str">
        <f>CONCATENATE(AN1408,",",AO1408,",",AP1408,",",AQ1408,",",AR1408,",",AS1408,",",AT1408)</f>
        <v>6,-8,-5,9,-7,,</v>
      </c>
    </row>
    <row r="1407" spans="1:53" ht="39.950000000000003" customHeight="1">
      <c r="A1407" s="252" t="str">
        <f>CONCATENATE(F1412,VLOOKUP(F1414,$AZ$7:$BA$14,2,0),LEFT(F1416,1))</f>
        <v>CH81</v>
      </c>
      <c r="E1407" s="264" t="s">
        <v>29</v>
      </c>
      <c r="F1407" s="265">
        <f>VLOOKUP(A1405,'zoznam zapasov'!$A$6:$K$77,11,0)</f>
        <v>7</v>
      </c>
      <c r="G1407" s="508"/>
      <c r="H1407" s="495"/>
      <c r="I1407" s="487" t="str">
        <f>IF(ISERROR(VLOOKUP(A1407,vylosovanie!$A$8:$J$68,6,0))=TRUE,"",VLOOKUP(A1407,vylosovanie!$A$8:$J$68,6,0))</f>
        <v>PAPÁNEK Martin</v>
      </c>
      <c r="J1407" s="487"/>
      <c r="K1407" s="487"/>
      <c r="L1407" s="487"/>
      <c r="M1407" s="263"/>
      <c r="N1407" s="489">
        <v>6</v>
      </c>
      <c r="O1407" s="489">
        <v>11</v>
      </c>
      <c r="P1407" s="489">
        <v>11</v>
      </c>
      <c r="Q1407" s="489">
        <v>9</v>
      </c>
      <c r="R1407" s="489">
        <v>11</v>
      </c>
      <c r="S1407" s="489"/>
      <c r="T1407" s="489"/>
      <c r="U1407" s="263"/>
      <c r="V1407" s="493">
        <f>IF(SUM(AF1407:AL1408)=0,"",SUM(AF1407:AL1407))</f>
        <v>3</v>
      </c>
      <c r="W1407" s="267"/>
      <c r="X1407" s="263"/>
      <c r="AE1407" s="253" t="str">
        <f>VLOOKUP(I1407,vylosovanie!$F$8:$L$190,7,0)</f>
        <v>CH81</v>
      </c>
      <c r="AF1407" s="268">
        <f>IF(N1407&gt;N1410,1,0)</f>
        <v>0</v>
      </c>
      <c r="AG1407" s="268">
        <f t="shared" ref="AG1407" si="970">IF(O1407&gt;O1410,1,0)</f>
        <v>1</v>
      </c>
      <c r="AH1407" s="268">
        <f t="shared" ref="AH1407" si="971">IF(P1407&gt;P1410,1,0)</f>
        <v>1</v>
      </c>
      <c r="AI1407" s="268">
        <f t="shared" ref="AI1407" si="972">IF(Q1407&gt;Q1410,1,0)</f>
        <v>0</v>
      </c>
      <c r="AJ1407" s="268">
        <f t="shared" ref="AJ1407" si="973">IF(R1407&gt;R1410,1,0)</f>
        <v>1</v>
      </c>
      <c r="AK1407" s="268">
        <f t="shared" ref="AK1407" si="974">IF(S1407&gt;S1410,1,0)</f>
        <v>0</v>
      </c>
      <c r="AL1407" s="268">
        <f t="shared" ref="AL1407" si="975">IF(T1407&gt;T1410,1,0)</f>
        <v>0</v>
      </c>
      <c r="AN1407" s="268">
        <f t="shared" ref="AN1407:AT1407" si="976">IF(ISBLANK(N1407)=TRUE,"",IF(AF1407=1,N1410,-N1407))</f>
        <v>-6</v>
      </c>
      <c r="AO1407" s="268">
        <f t="shared" si="976"/>
        <v>8</v>
      </c>
      <c r="AP1407" s="268">
        <f t="shared" si="976"/>
        <v>5</v>
      </c>
      <c r="AQ1407" s="268">
        <f t="shared" si="976"/>
        <v>-9</v>
      </c>
      <c r="AR1407" s="268">
        <f t="shared" si="976"/>
        <v>7</v>
      </c>
      <c r="AS1407" s="268" t="str">
        <f t="shared" si="976"/>
        <v/>
      </c>
      <c r="AT1407" s="268" t="str">
        <f t="shared" si="976"/>
        <v/>
      </c>
      <c r="AZ1407" s="269" t="s">
        <v>12</v>
      </c>
      <c r="BA1407" s="269">
        <v>1</v>
      </c>
    </row>
    <row r="1408" spans="1:53" ht="39.950000000000003" customHeight="1">
      <c r="E1408" s="264"/>
      <c r="F1408" s="265"/>
      <c r="G1408" s="509"/>
      <c r="H1408" s="495"/>
      <c r="I1408" s="487"/>
      <c r="J1408" s="487"/>
      <c r="K1408" s="487"/>
      <c r="L1408" s="487"/>
      <c r="M1408" s="263"/>
      <c r="N1408" s="490"/>
      <c r="O1408" s="490"/>
      <c r="P1408" s="490"/>
      <c r="Q1408" s="490"/>
      <c r="R1408" s="490"/>
      <c r="S1408" s="490"/>
      <c r="T1408" s="490"/>
      <c r="U1408" s="263"/>
      <c r="V1408" s="493"/>
      <c r="W1408" s="267"/>
      <c r="X1408" s="263"/>
      <c r="AE1408" s="253" t="str">
        <f>VLOOKUP(I1410,vylosovanie!$F$8:$L$190,7,0)</f>
        <v>CH84</v>
      </c>
      <c r="AF1408" s="268">
        <f>IF(N1410&gt;N1407,1,0)</f>
        <v>1</v>
      </c>
      <c r="AG1408" s="268">
        <f t="shared" ref="AG1408" si="977">IF(O1410&gt;O1407,1,0)</f>
        <v>0</v>
      </c>
      <c r="AH1408" s="268">
        <f t="shared" ref="AH1408" si="978">IF(P1410&gt;P1407,1,0)</f>
        <v>0</v>
      </c>
      <c r="AI1408" s="268">
        <f t="shared" ref="AI1408" si="979">IF(Q1410&gt;Q1407,1,0)</f>
        <v>1</v>
      </c>
      <c r="AJ1408" s="268">
        <f t="shared" ref="AJ1408" si="980">IF(R1410&gt;R1407,1,0)</f>
        <v>0</v>
      </c>
      <c r="AK1408" s="268">
        <f t="shared" ref="AK1408" si="981">IF(S1410&gt;S1407,1,0)</f>
        <v>0</v>
      </c>
      <c r="AL1408" s="268">
        <f t="shared" ref="AL1408" si="982">IF(T1410&gt;T1407,1,0)</f>
        <v>0</v>
      </c>
      <c r="AN1408" s="268">
        <f t="shared" ref="AN1408:AT1408" si="983">IF(ISBLANK(N1410)=TRUE,"",IF(AF1408=1,N1407,-N1410))</f>
        <v>6</v>
      </c>
      <c r="AO1408" s="268">
        <f t="shared" si="983"/>
        <v>-8</v>
      </c>
      <c r="AP1408" s="268">
        <f t="shared" si="983"/>
        <v>-5</v>
      </c>
      <c r="AQ1408" s="268">
        <f t="shared" si="983"/>
        <v>9</v>
      </c>
      <c r="AR1408" s="268">
        <f t="shared" si="983"/>
        <v>-7</v>
      </c>
      <c r="AS1408" s="268" t="str">
        <f t="shared" si="983"/>
        <v/>
      </c>
      <c r="AT1408" s="268" t="str">
        <f t="shared" si="983"/>
        <v/>
      </c>
      <c r="AZ1408" s="269" t="s">
        <v>18</v>
      </c>
      <c r="BA1408" s="269">
        <v>2</v>
      </c>
    </row>
    <row r="1409" spans="1:53" ht="39.950000000000003" customHeight="1">
      <c r="E1409" s="264" t="s">
        <v>35</v>
      </c>
      <c r="F1409" s="265" t="str">
        <f>VLOOKUP(A1405,'zoznam zapasov'!$A$6:$K$77,9,0)</f>
        <v>So</v>
      </c>
      <c r="G1409" s="263"/>
      <c r="H1409" s="263"/>
      <c r="I1409" s="263"/>
      <c r="J1409" s="263"/>
      <c r="K1409" s="263"/>
      <c r="L1409" s="263"/>
      <c r="M1409" s="263"/>
      <c r="N1409" s="263"/>
      <c r="O1409" s="263"/>
      <c r="P1409" s="263"/>
      <c r="Q1409" s="263"/>
      <c r="R1409" s="263"/>
      <c r="S1409" s="263"/>
      <c r="T1409" s="263"/>
      <c r="U1409" s="263"/>
      <c r="V1409" s="263"/>
      <c r="W1409" s="267"/>
      <c r="X1409" s="263"/>
      <c r="AZ1409" s="269" t="s">
        <v>38</v>
      </c>
      <c r="BA1409" s="269">
        <v>3</v>
      </c>
    </row>
    <row r="1410" spans="1:53" ht="39.950000000000003" customHeight="1">
      <c r="A1410" s="252" t="str">
        <f>CONCATENATE(F1412,VLOOKUP(F1414,$AZ$7:$BA$14,2,0),RIGHT(F1416,1))</f>
        <v>CH84</v>
      </c>
      <c r="E1410" s="264" t="s">
        <v>28</v>
      </c>
      <c r="F1410" s="270" t="str">
        <f>VLOOKUP(A1405,'zoznam zapasov'!$A$6:$K$77,10,0)</f>
        <v>12.50</v>
      </c>
      <c r="G1410" s="508"/>
      <c r="H1410" s="486"/>
      <c r="I1410" s="487" t="str">
        <f>IF(ISERROR(VLOOKUP(A1410,vylosovanie!$A$8:$J$68,6,0))=TRUE,"",VLOOKUP(A1410,vylosovanie!$A$8:$J$68,6,0))</f>
        <v>TRUBÁČIK Tomáš</v>
      </c>
      <c r="J1410" s="487"/>
      <c r="K1410" s="487"/>
      <c r="L1410" s="487"/>
      <c r="M1410" s="263"/>
      <c r="N1410" s="489">
        <v>11</v>
      </c>
      <c r="O1410" s="489">
        <v>8</v>
      </c>
      <c r="P1410" s="489">
        <v>5</v>
      </c>
      <c r="Q1410" s="489">
        <v>11</v>
      </c>
      <c r="R1410" s="489">
        <v>7</v>
      </c>
      <c r="S1410" s="489"/>
      <c r="T1410" s="489"/>
      <c r="U1410" s="263"/>
      <c r="V1410" s="493">
        <f>IF(SUM(AF1407:AL1408)=0,"",SUM(AF1408:AL1408))</f>
        <v>2</v>
      </c>
      <c r="W1410" s="267"/>
      <c r="X1410" s="263"/>
      <c r="AZ1410" s="269" t="s">
        <v>39</v>
      </c>
      <c r="BA1410" s="269">
        <v>4</v>
      </c>
    </row>
    <row r="1411" spans="1:53" ht="39.950000000000003" customHeight="1">
      <c r="E1411" s="271"/>
      <c r="F1411" s="272"/>
      <c r="G1411" s="509"/>
      <c r="H1411" s="486"/>
      <c r="I1411" s="487"/>
      <c r="J1411" s="487"/>
      <c r="K1411" s="487"/>
      <c r="L1411" s="487"/>
      <c r="M1411" s="263"/>
      <c r="N1411" s="490"/>
      <c r="O1411" s="490"/>
      <c r="P1411" s="490"/>
      <c r="Q1411" s="490"/>
      <c r="R1411" s="490"/>
      <c r="S1411" s="490"/>
      <c r="T1411" s="490"/>
      <c r="U1411" s="263"/>
      <c r="V1411" s="493"/>
      <c r="W1411" s="267"/>
      <c r="X1411" s="263"/>
      <c r="AZ1411" s="269" t="s">
        <v>40</v>
      </c>
      <c r="BA1411" s="269">
        <v>5</v>
      </c>
    </row>
    <row r="1412" spans="1:53" ht="39.950000000000003" customHeight="1">
      <c r="E1412" s="264" t="s">
        <v>66</v>
      </c>
      <c r="F1412" s="265" t="s">
        <v>65</v>
      </c>
      <c r="G1412" s="263"/>
      <c r="H1412" s="263"/>
      <c r="I1412" s="263"/>
      <c r="J1412" s="263"/>
      <c r="K1412" s="263"/>
      <c r="L1412" s="263"/>
      <c r="M1412" s="263"/>
      <c r="N1412" s="263"/>
      <c r="O1412" s="263"/>
      <c r="P1412" s="263"/>
      <c r="Q1412" s="263"/>
      <c r="R1412" s="263"/>
      <c r="S1412" s="263"/>
      <c r="T1412" s="263"/>
      <c r="U1412" s="263"/>
      <c r="V1412" s="263"/>
      <c r="W1412" s="267"/>
      <c r="X1412" s="263"/>
      <c r="AZ1412" s="269" t="s">
        <v>41</v>
      </c>
      <c r="BA1412" s="269">
        <v>6</v>
      </c>
    </row>
    <row r="1413" spans="1:53" ht="39.950000000000003" customHeight="1">
      <c r="E1413" s="271"/>
      <c r="F1413" s="272"/>
      <c r="G1413" s="263"/>
      <c r="H1413" s="263"/>
      <c r="I1413" s="263" t="s">
        <v>32</v>
      </c>
      <c r="J1413" s="263"/>
      <c r="K1413" s="263"/>
      <c r="L1413" s="263"/>
      <c r="M1413" s="263"/>
      <c r="N1413" s="273"/>
      <c r="O1413" s="266"/>
      <c r="P1413" s="266" t="s">
        <v>34</v>
      </c>
      <c r="Q1413" s="266"/>
      <c r="R1413" s="266"/>
      <c r="S1413" s="266"/>
      <c r="T1413" s="266"/>
      <c r="U1413" s="263"/>
      <c r="V1413" s="263"/>
      <c r="W1413" s="267"/>
      <c r="X1413" s="263"/>
      <c r="AZ1413" s="269" t="s">
        <v>42</v>
      </c>
      <c r="BA1413" s="269">
        <v>7</v>
      </c>
    </row>
    <row r="1414" spans="1:53" ht="39.950000000000003" customHeight="1">
      <c r="E1414" s="264" t="s">
        <v>26</v>
      </c>
      <c r="F1414" s="265" t="s">
        <v>43</v>
      </c>
      <c r="G1414" s="263"/>
      <c r="H1414" s="263"/>
      <c r="I1414" s="486"/>
      <c r="J1414" s="486"/>
      <c r="K1414" s="486"/>
      <c r="L1414" s="486"/>
      <c r="M1414" s="263"/>
      <c r="N1414" s="486" t="str">
        <f>IF(V1407&gt;V1410,I1407,IF(V1410&gt;V1407,I1410,""))</f>
        <v>PAPÁNEK Martin</v>
      </c>
      <c r="O1414" s="486"/>
      <c r="P1414" s="486"/>
      <c r="Q1414" s="486"/>
      <c r="R1414" s="486"/>
      <c r="S1414" s="486"/>
      <c r="T1414" s="263"/>
      <c r="U1414" s="263"/>
      <c r="V1414" s="263"/>
      <c r="W1414" s="267"/>
      <c r="X1414" s="263"/>
      <c r="AZ1414" s="269" t="s">
        <v>43</v>
      </c>
      <c r="BA1414" s="269">
        <v>8</v>
      </c>
    </row>
    <row r="1415" spans="1:53" ht="39.950000000000003" customHeight="1">
      <c r="E1415" s="271"/>
      <c r="F1415" s="272"/>
      <c r="G1415" s="263"/>
      <c r="H1415" s="263"/>
      <c r="I1415" s="486"/>
      <c r="J1415" s="486"/>
      <c r="K1415" s="486"/>
      <c r="L1415" s="486"/>
      <c r="M1415" s="263"/>
      <c r="N1415" s="486"/>
      <c r="O1415" s="486"/>
      <c r="P1415" s="486"/>
      <c r="Q1415" s="486"/>
      <c r="R1415" s="486"/>
      <c r="S1415" s="486"/>
      <c r="T1415" s="263"/>
      <c r="U1415" s="263"/>
      <c r="V1415" s="263"/>
      <c r="W1415" s="267"/>
      <c r="X1415" s="263"/>
    </row>
    <row r="1416" spans="1:53" ht="39.950000000000003" customHeight="1">
      <c r="E1416" s="264" t="s">
        <v>27</v>
      </c>
      <c r="F1416" s="274" t="s">
        <v>24</v>
      </c>
      <c r="G1416" s="263"/>
      <c r="H1416" s="263"/>
      <c r="I1416" s="263"/>
      <c r="J1416" s="263"/>
      <c r="K1416" s="263"/>
      <c r="L1416" s="263"/>
      <c r="M1416" s="263"/>
      <c r="N1416" s="263"/>
      <c r="O1416" s="263"/>
      <c r="P1416" s="263"/>
      <c r="Q1416" s="263"/>
      <c r="R1416" s="263"/>
      <c r="S1416" s="263"/>
      <c r="T1416" s="263"/>
      <c r="U1416" s="263"/>
      <c r="V1416" s="263"/>
      <c r="W1416" s="267"/>
      <c r="X1416" s="263"/>
    </row>
    <row r="1417" spans="1:53" ht="39.950000000000003" customHeight="1">
      <c r="E1417" s="271"/>
      <c r="F1417" s="272"/>
      <c r="G1417" s="263"/>
      <c r="H1417" s="263" t="s">
        <v>33</v>
      </c>
      <c r="I1417" s="263"/>
      <c r="J1417" s="263"/>
      <c r="K1417" s="263"/>
      <c r="L1417" s="263"/>
      <c r="M1417" s="263"/>
      <c r="N1417" s="263"/>
      <c r="O1417" s="263"/>
      <c r="P1417" s="263"/>
      <c r="Q1417" s="263"/>
      <c r="R1417" s="263"/>
      <c r="S1417" s="263"/>
      <c r="T1417" s="263"/>
      <c r="U1417" s="263"/>
      <c r="V1417" s="263"/>
      <c r="W1417" s="267"/>
      <c r="X1417" s="263"/>
    </row>
    <row r="1418" spans="1:53" ht="39.950000000000003" customHeight="1">
      <c r="E1418" s="271"/>
      <c r="F1418" s="272"/>
      <c r="G1418" s="263"/>
      <c r="H1418" s="263"/>
      <c r="I1418" s="263"/>
      <c r="J1418" s="263"/>
      <c r="K1418" s="263"/>
      <c r="L1418" s="263"/>
      <c r="M1418" s="263"/>
      <c r="N1418" s="263"/>
      <c r="O1418" s="263"/>
      <c r="P1418" s="263"/>
      <c r="Q1418" s="263"/>
      <c r="R1418" s="263"/>
      <c r="S1418" s="263"/>
      <c r="T1418" s="263"/>
      <c r="U1418" s="263"/>
      <c r="V1418" s="263"/>
      <c r="W1418" s="267"/>
      <c r="X1418" s="263"/>
    </row>
    <row r="1419" spans="1:53" ht="39.950000000000003" customHeight="1">
      <c r="E1419" s="271"/>
      <c r="F1419" s="272"/>
      <c r="G1419" s="263"/>
      <c r="H1419" s="263"/>
      <c r="I1419" s="496" t="str">
        <f>I1407</f>
        <v>PAPÁNEK Martin</v>
      </c>
      <c r="J1419" s="496"/>
      <c r="K1419" s="496"/>
      <c r="L1419" s="496"/>
      <c r="M1419" s="263"/>
      <c r="N1419" s="263"/>
      <c r="O1419" s="263"/>
      <c r="P1419" s="496" t="str">
        <f>I1410</f>
        <v>TRUBÁČIK Tomáš</v>
      </c>
      <c r="Q1419" s="496"/>
      <c r="R1419" s="496"/>
      <c r="S1419" s="496"/>
      <c r="T1419" s="497"/>
      <c r="U1419" s="497"/>
      <c r="V1419" s="263"/>
      <c r="W1419" s="267"/>
      <c r="X1419" s="263"/>
    </row>
    <row r="1420" spans="1:53" ht="69.95" customHeight="1">
      <c r="E1420" s="264"/>
      <c r="F1420" s="265"/>
      <c r="G1420" s="263"/>
      <c r="H1420" s="275" t="s">
        <v>36</v>
      </c>
      <c r="I1420" s="483"/>
      <c r="J1420" s="494"/>
      <c r="K1420" s="494"/>
      <c r="L1420" s="495"/>
      <c r="M1420" s="263"/>
      <c r="N1420" s="263"/>
      <c r="O1420" s="275" t="s">
        <v>36</v>
      </c>
      <c r="P1420" s="486"/>
      <c r="Q1420" s="486"/>
      <c r="R1420" s="486"/>
      <c r="S1420" s="486"/>
      <c r="T1420" s="486"/>
      <c r="U1420" s="486"/>
      <c r="V1420" s="263"/>
      <c r="W1420" s="267"/>
      <c r="X1420" s="263"/>
    </row>
    <row r="1421" spans="1:53" ht="69.95" customHeight="1">
      <c r="E1421" s="264"/>
      <c r="F1421" s="265"/>
      <c r="G1421" s="263"/>
      <c r="H1421" s="275" t="s">
        <v>37</v>
      </c>
      <c r="I1421" s="486"/>
      <c r="J1421" s="486"/>
      <c r="K1421" s="486"/>
      <c r="L1421" s="486"/>
      <c r="M1421" s="263"/>
      <c r="N1421" s="263"/>
      <c r="O1421" s="275" t="s">
        <v>37</v>
      </c>
      <c r="P1421" s="486"/>
      <c r="Q1421" s="486"/>
      <c r="R1421" s="486"/>
      <c r="S1421" s="486"/>
      <c r="T1421" s="486"/>
      <c r="U1421" s="486"/>
      <c r="V1421" s="263"/>
      <c r="W1421" s="267"/>
      <c r="X1421" s="263"/>
    </row>
    <row r="1422" spans="1:53" ht="69.95" customHeight="1">
      <c r="E1422" s="264"/>
      <c r="F1422" s="265"/>
      <c r="G1422" s="263"/>
      <c r="H1422" s="275" t="s">
        <v>37</v>
      </c>
      <c r="I1422" s="486"/>
      <c r="J1422" s="486"/>
      <c r="K1422" s="486"/>
      <c r="L1422" s="486"/>
      <c r="M1422" s="263"/>
      <c r="N1422" s="263"/>
      <c r="O1422" s="275" t="s">
        <v>37</v>
      </c>
      <c r="P1422" s="486"/>
      <c r="Q1422" s="486"/>
      <c r="R1422" s="486"/>
      <c r="S1422" s="486"/>
      <c r="T1422" s="486"/>
      <c r="U1422" s="486"/>
      <c r="V1422" s="263"/>
      <c r="W1422" s="267"/>
      <c r="X1422" s="263"/>
    </row>
    <row r="1423" spans="1:53" ht="39.950000000000003" customHeight="1" thickBot="1">
      <c r="E1423" s="276"/>
      <c r="F1423" s="277"/>
      <c r="G1423" s="278"/>
      <c r="H1423" s="278"/>
      <c r="I1423" s="278"/>
      <c r="J1423" s="278"/>
      <c r="K1423" s="278"/>
      <c r="L1423" s="278"/>
      <c r="M1423" s="278"/>
      <c r="N1423" s="278"/>
      <c r="O1423" s="278"/>
      <c r="P1423" s="278"/>
      <c r="Q1423" s="278"/>
      <c r="R1423" s="278"/>
      <c r="S1423" s="278"/>
      <c r="T1423" s="279"/>
      <c r="U1423" s="279"/>
      <c r="V1423" s="279"/>
      <c r="W1423" s="280"/>
      <c r="X1423" s="263"/>
    </row>
    <row r="1424" spans="1:53" ht="62.25" thickBot="1"/>
    <row r="1425" spans="1:53" ht="39.950000000000003" customHeight="1">
      <c r="A1425" s="252" t="str">
        <f>CONCATENATE(F1432,F1434,F1436)</f>
        <v>CHH2-3</v>
      </c>
      <c r="E1425" s="259" t="s">
        <v>70</v>
      </c>
      <c r="F1425" s="260">
        <f>VLOOKUP(A1425,'zoznam zapasov'!$A$6:$K$77,3,0)</f>
        <v>72</v>
      </c>
      <c r="G1425" s="261"/>
      <c r="H1425" s="322" t="s">
        <v>501</v>
      </c>
      <c r="I1425" s="261"/>
      <c r="J1425" s="261"/>
      <c r="K1425" s="261"/>
      <c r="L1425" s="261"/>
      <c r="M1425" s="261"/>
      <c r="N1425" s="261"/>
      <c r="O1425" s="261"/>
      <c r="P1425" s="261"/>
      <c r="Q1425" s="261"/>
      <c r="R1425" s="261"/>
      <c r="S1425" s="261"/>
      <c r="T1425" s="261"/>
      <c r="U1425" s="261"/>
      <c r="V1425" s="261" t="s">
        <v>30</v>
      </c>
      <c r="W1425" s="262"/>
      <c r="X1425" s="263"/>
      <c r="Z1425" s="258" t="str">
        <f>CONCATENATE(V1427,":",V1430)</f>
        <v>3:0</v>
      </c>
      <c r="AE1425" s="253" t="s">
        <v>11</v>
      </c>
      <c r="AV1425" s="256" t="str">
        <f>CONCATENATE(AN1427,",",AO1427,",",AP1427,",",AQ1427,",",AR1427,",",AS1427,",",AT1427)</f>
        <v>7,7,11,,,,</v>
      </c>
    </row>
    <row r="1426" spans="1:53" ht="39.950000000000003" customHeight="1">
      <c r="E1426" s="264"/>
      <c r="F1426" s="265"/>
      <c r="G1426" s="321" t="s">
        <v>500</v>
      </c>
      <c r="H1426" s="323" t="s">
        <v>502</v>
      </c>
      <c r="I1426" s="263"/>
      <c r="J1426" s="263"/>
      <c r="K1426" s="263"/>
      <c r="L1426" s="263"/>
      <c r="M1426" s="263"/>
      <c r="N1426" s="266">
        <v>1</v>
      </c>
      <c r="O1426" s="266">
        <v>2</v>
      </c>
      <c r="P1426" s="266">
        <v>3</v>
      </c>
      <c r="Q1426" s="266">
        <v>4</v>
      </c>
      <c r="R1426" s="266">
        <v>5</v>
      </c>
      <c r="S1426" s="266">
        <v>6</v>
      </c>
      <c r="T1426" s="266">
        <v>7</v>
      </c>
      <c r="U1426" s="263"/>
      <c r="V1426" s="266" t="s">
        <v>31</v>
      </c>
      <c r="W1426" s="267"/>
      <c r="X1426" s="263"/>
      <c r="AE1426" s="253" t="s">
        <v>68</v>
      </c>
      <c r="AV1426" s="256" t="str">
        <f>CONCATENATE(AN1428,",",AO1428,",",AP1428,",",AQ1428,",",AR1428,",",AS1428,",",AT1428)</f>
        <v>-7,-7,-11,,,,</v>
      </c>
    </row>
    <row r="1427" spans="1:53" ht="39.950000000000003" customHeight="1">
      <c r="A1427" s="252" t="str">
        <f>CONCATENATE(F1432,VLOOKUP(F1434,$AZ$7:$BA$14,2,0),LEFT(F1436,1))</f>
        <v>CH82</v>
      </c>
      <c r="E1427" s="264" t="s">
        <v>29</v>
      </c>
      <c r="F1427" s="265">
        <f>VLOOKUP(A1425,'zoznam zapasov'!$A$6:$K$77,11,0)</f>
        <v>8</v>
      </c>
      <c r="G1427" s="508"/>
      <c r="H1427" s="495"/>
      <c r="I1427" s="487" t="str">
        <f>IF(ISERROR(VLOOKUP(A1427,vylosovanie!$A$8:$J$68,6,0))=TRUE,"",VLOOKUP(A1427,vylosovanie!$A$8:$J$68,6,0))</f>
        <v>FUSEK Patrik</v>
      </c>
      <c r="J1427" s="487"/>
      <c r="K1427" s="487"/>
      <c r="L1427" s="487"/>
      <c r="M1427" s="263"/>
      <c r="N1427" s="489">
        <v>11</v>
      </c>
      <c r="O1427" s="489">
        <v>11</v>
      </c>
      <c r="P1427" s="489">
        <v>13</v>
      </c>
      <c r="Q1427" s="489"/>
      <c r="R1427" s="489"/>
      <c r="S1427" s="489"/>
      <c r="T1427" s="489"/>
      <c r="U1427" s="263"/>
      <c r="V1427" s="493">
        <f>IF(SUM(AF1427:AL1428)=0,"",SUM(AF1427:AL1427))</f>
        <v>3</v>
      </c>
      <c r="W1427" s="267"/>
      <c r="X1427" s="263"/>
      <c r="AE1427" s="253" t="str">
        <f>VLOOKUP(I1427,vylosovanie!$F$8:$L$190,7,0)</f>
        <v>CH82</v>
      </c>
      <c r="AF1427" s="268">
        <f>IF(N1427&gt;N1430,1,0)</f>
        <v>1</v>
      </c>
      <c r="AG1427" s="268">
        <f t="shared" ref="AG1427" si="984">IF(O1427&gt;O1430,1,0)</f>
        <v>1</v>
      </c>
      <c r="AH1427" s="268">
        <f t="shared" ref="AH1427" si="985">IF(P1427&gt;P1430,1,0)</f>
        <v>1</v>
      </c>
      <c r="AI1427" s="268">
        <f t="shared" ref="AI1427" si="986">IF(Q1427&gt;Q1430,1,0)</f>
        <v>0</v>
      </c>
      <c r="AJ1427" s="268">
        <f t="shared" ref="AJ1427" si="987">IF(R1427&gt;R1430,1,0)</f>
        <v>0</v>
      </c>
      <c r="AK1427" s="268">
        <f t="shared" ref="AK1427" si="988">IF(S1427&gt;S1430,1,0)</f>
        <v>0</v>
      </c>
      <c r="AL1427" s="268">
        <f t="shared" ref="AL1427" si="989">IF(T1427&gt;T1430,1,0)</f>
        <v>0</v>
      </c>
      <c r="AN1427" s="268">
        <f t="shared" ref="AN1427:AT1427" si="990">IF(ISBLANK(N1427)=TRUE,"",IF(AF1427=1,N1430,-N1427))</f>
        <v>7</v>
      </c>
      <c r="AO1427" s="268">
        <f t="shared" si="990"/>
        <v>7</v>
      </c>
      <c r="AP1427" s="268">
        <f t="shared" si="990"/>
        <v>11</v>
      </c>
      <c r="AQ1427" s="268" t="str">
        <f t="shared" si="990"/>
        <v/>
      </c>
      <c r="AR1427" s="268" t="str">
        <f t="shared" si="990"/>
        <v/>
      </c>
      <c r="AS1427" s="268" t="str">
        <f t="shared" si="990"/>
        <v/>
      </c>
      <c r="AT1427" s="268" t="str">
        <f t="shared" si="990"/>
        <v/>
      </c>
      <c r="AZ1427" s="269" t="s">
        <v>12</v>
      </c>
      <c r="BA1427" s="269">
        <v>1</v>
      </c>
    </row>
    <row r="1428" spans="1:53" ht="39.950000000000003" customHeight="1">
      <c r="E1428" s="264"/>
      <c r="F1428" s="265"/>
      <c r="G1428" s="509"/>
      <c r="H1428" s="495"/>
      <c r="I1428" s="487"/>
      <c r="J1428" s="487"/>
      <c r="K1428" s="487"/>
      <c r="L1428" s="487"/>
      <c r="M1428" s="263"/>
      <c r="N1428" s="490"/>
      <c r="O1428" s="490"/>
      <c r="P1428" s="490"/>
      <c r="Q1428" s="490"/>
      <c r="R1428" s="490"/>
      <c r="S1428" s="490"/>
      <c r="T1428" s="490"/>
      <c r="U1428" s="263"/>
      <c r="V1428" s="493"/>
      <c r="W1428" s="267"/>
      <c r="X1428" s="263"/>
      <c r="AE1428" s="253" t="str">
        <f>VLOOKUP(I1430,vylosovanie!$F$8:$L$190,7,0)</f>
        <v>CH83</v>
      </c>
      <c r="AF1428" s="268">
        <f>IF(N1430&gt;N1427,1,0)</f>
        <v>0</v>
      </c>
      <c r="AG1428" s="268">
        <f t="shared" ref="AG1428" si="991">IF(O1430&gt;O1427,1,0)</f>
        <v>0</v>
      </c>
      <c r="AH1428" s="268">
        <f t="shared" ref="AH1428" si="992">IF(P1430&gt;P1427,1,0)</f>
        <v>0</v>
      </c>
      <c r="AI1428" s="268">
        <f t="shared" ref="AI1428" si="993">IF(Q1430&gt;Q1427,1,0)</f>
        <v>0</v>
      </c>
      <c r="AJ1428" s="268">
        <f t="shared" ref="AJ1428" si="994">IF(R1430&gt;R1427,1,0)</f>
        <v>0</v>
      </c>
      <c r="AK1428" s="268">
        <f t="shared" ref="AK1428" si="995">IF(S1430&gt;S1427,1,0)</f>
        <v>0</v>
      </c>
      <c r="AL1428" s="268">
        <f t="shared" ref="AL1428" si="996">IF(T1430&gt;T1427,1,0)</f>
        <v>0</v>
      </c>
      <c r="AN1428" s="268">
        <f t="shared" ref="AN1428:AT1428" si="997">IF(ISBLANK(N1430)=TRUE,"",IF(AF1428=1,N1427,-N1430))</f>
        <v>-7</v>
      </c>
      <c r="AO1428" s="268">
        <f t="shared" si="997"/>
        <v>-7</v>
      </c>
      <c r="AP1428" s="268">
        <f t="shared" si="997"/>
        <v>-11</v>
      </c>
      <c r="AQ1428" s="268" t="str">
        <f t="shared" si="997"/>
        <v/>
      </c>
      <c r="AR1428" s="268" t="str">
        <f t="shared" si="997"/>
        <v/>
      </c>
      <c r="AS1428" s="268" t="str">
        <f t="shared" si="997"/>
        <v/>
      </c>
      <c r="AT1428" s="268" t="str">
        <f t="shared" si="997"/>
        <v/>
      </c>
      <c r="AZ1428" s="269" t="s">
        <v>18</v>
      </c>
      <c r="BA1428" s="269">
        <v>2</v>
      </c>
    </row>
    <row r="1429" spans="1:53" ht="39.950000000000003" customHeight="1">
      <c r="E1429" s="264" t="s">
        <v>35</v>
      </c>
      <c r="F1429" s="265" t="str">
        <f>VLOOKUP(A1425,'zoznam zapasov'!$A$6:$K$77,9,0)</f>
        <v>So</v>
      </c>
      <c r="G1429" s="263"/>
      <c r="H1429" s="263"/>
      <c r="I1429" s="263"/>
      <c r="J1429" s="263"/>
      <c r="K1429" s="263"/>
      <c r="L1429" s="263"/>
      <c r="M1429" s="263"/>
      <c r="N1429" s="263"/>
      <c r="O1429" s="263"/>
      <c r="P1429" s="263"/>
      <c r="Q1429" s="263"/>
      <c r="R1429" s="263"/>
      <c r="S1429" s="263"/>
      <c r="T1429" s="263"/>
      <c r="U1429" s="263"/>
      <c r="V1429" s="263"/>
      <c r="W1429" s="267"/>
      <c r="X1429" s="263"/>
      <c r="AZ1429" s="269" t="s">
        <v>38</v>
      </c>
      <c r="BA1429" s="269">
        <v>3</v>
      </c>
    </row>
    <row r="1430" spans="1:53" ht="39.950000000000003" customHeight="1">
      <c r="A1430" s="252" t="str">
        <f>CONCATENATE(F1432,VLOOKUP(F1434,$AZ$7:$BA$14,2,0),RIGHT(F1436,1))</f>
        <v>CH83</v>
      </c>
      <c r="E1430" s="264" t="s">
        <v>28</v>
      </c>
      <c r="F1430" s="270" t="str">
        <f>VLOOKUP(A1425,'zoznam zapasov'!$A$6:$K$77,10,0)</f>
        <v>12.50</v>
      </c>
      <c r="G1430" s="508"/>
      <c r="H1430" s="486"/>
      <c r="I1430" s="487" t="str">
        <f>IF(ISERROR(VLOOKUP(A1430,vylosovanie!$A$8:$J$68,6,0))=TRUE,"",VLOOKUP(A1430,vylosovanie!$A$8:$J$68,6,0))</f>
        <v>MAKÚCH Damian</v>
      </c>
      <c r="J1430" s="487"/>
      <c r="K1430" s="487"/>
      <c r="L1430" s="487"/>
      <c r="M1430" s="263"/>
      <c r="N1430" s="489">
        <v>7</v>
      </c>
      <c r="O1430" s="489">
        <v>7</v>
      </c>
      <c r="P1430" s="489">
        <v>11</v>
      </c>
      <c r="Q1430" s="489"/>
      <c r="R1430" s="489"/>
      <c r="S1430" s="489"/>
      <c r="T1430" s="489"/>
      <c r="U1430" s="263"/>
      <c r="V1430" s="493">
        <f>IF(SUM(AF1427:AL1428)=0,"",SUM(AF1428:AL1428))</f>
        <v>0</v>
      </c>
      <c r="W1430" s="267"/>
      <c r="X1430" s="263"/>
      <c r="AZ1430" s="269" t="s">
        <v>39</v>
      </c>
      <c r="BA1430" s="269">
        <v>4</v>
      </c>
    </row>
    <row r="1431" spans="1:53" ht="39.950000000000003" customHeight="1">
      <c r="E1431" s="271"/>
      <c r="F1431" s="272"/>
      <c r="G1431" s="509"/>
      <c r="H1431" s="486"/>
      <c r="I1431" s="487"/>
      <c r="J1431" s="487"/>
      <c r="K1431" s="487"/>
      <c r="L1431" s="487"/>
      <c r="M1431" s="263"/>
      <c r="N1431" s="490"/>
      <c r="O1431" s="490"/>
      <c r="P1431" s="490"/>
      <c r="Q1431" s="490"/>
      <c r="R1431" s="490"/>
      <c r="S1431" s="490"/>
      <c r="T1431" s="490"/>
      <c r="U1431" s="263"/>
      <c r="V1431" s="493"/>
      <c r="W1431" s="267"/>
      <c r="X1431" s="263"/>
      <c r="AZ1431" s="269" t="s">
        <v>40</v>
      </c>
      <c r="BA1431" s="269">
        <v>5</v>
      </c>
    </row>
    <row r="1432" spans="1:53" ht="39.950000000000003" customHeight="1">
      <c r="E1432" s="264" t="s">
        <v>66</v>
      </c>
      <c r="F1432" s="265" t="s">
        <v>65</v>
      </c>
      <c r="G1432" s="263"/>
      <c r="H1432" s="263"/>
      <c r="I1432" s="263"/>
      <c r="J1432" s="263"/>
      <c r="K1432" s="263"/>
      <c r="L1432" s="263"/>
      <c r="M1432" s="263"/>
      <c r="N1432" s="263"/>
      <c r="O1432" s="263"/>
      <c r="P1432" s="263"/>
      <c r="Q1432" s="263"/>
      <c r="R1432" s="263"/>
      <c r="S1432" s="263"/>
      <c r="T1432" s="263"/>
      <c r="U1432" s="263"/>
      <c r="V1432" s="263"/>
      <c r="W1432" s="267"/>
      <c r="X1432" s="263"/>
      <c r="AZ1432" s="269" t="s">
        <v>41</v>
      </c>
      <c r="BA1432" s="269">
        <v>6</v>
      </c>
    </row>
    <row r="1433" spans="1:53" ht="39.950000000000003" customHeight="1">
      <c r="E1433" s="271"/>
      <c r="F1433" s="272"/>
      <c r="G1433" s="263"/>
      <c r="H1433" s="263"/>
      <c r="I1433" s="263" t="s">
        <v>32</v>
      </c>
      <c r="J1433" s="263"/>
      <c r="K1433" s="263"/>
      <c r="L1433" s="263"/>
      <c r="M1433" s="263"/>
      <c r="N1433" s="273"/>
      <c r="O1433" s="266"/>
      <c r="P1433" s="266" t="s">
        <v>34</v>
      </c>
      <c r="Q1433" s="266"/>
      <c r="R1433" s="266"/>
      <c r="S1433" s="266"/>
      <c r="T1433" s="266"/>
      <c r="U1433" s="263"/>
      <c r="V1433" s="263"/>
      <c r="W1433" s="267"/>
      <c r="X1433" s="263"/>
      <c r="AZ1433" s="269" t="s">
        <v>42</v>
      </c>
      <c r="BA1433" s="269">
        <v>7</v>
      </c>
    </row>
    <row r="1434" spans="1:53" ht="39.950000000000003" customHeight="1">
      <c r="E1434" s="264" t="s">
        <v>26</v>
      </c>
      <c r="F1434" s="265" t="s">
        <v>43</v>
      </c>
      <c r="G1434" s="263"/>
      <c r="H1434" s="263"/>
      <c r="I1434" s="486"/>
      <c r="J1434" s="486"/>
      <c r="K1434" s="486"/>
      <c r="L1434" s="486"/>
      <c r="M1434" s="263"/>
      <c r="N1434" s="486" t="str">
        <f>IF(V1427&gt;V1430,I1427,IF(V1430&gt;V1427,I1430,""))</f>
        <v>FUSEK Patrik</v>
      </c>
      <c r="O1434" s="486"/>
      <c r="P1434" s="486"/>
      <c r="Q1434" s="486"/>
      <c r="R1434" s="486"/>
      <c r="S1434" s="486"/>
      <c r="T1434" s="263"/>
      <c r="U1434" s="263"/>
      <c r="V1434" s="263"/>
      <c r="W1434" s="267"/>
      <c r="X1434" s="263"/>
      <c r="AZ1434" s="269" t="s">
        <v>43</v>
      </c>
      <c r="BA1434" s="269">
        <v>8</v>
      </c>
    </row>
    <row r="1435" spans="1:53" ht="39.950000000000003" customHeight="1">
      <c r="E1435" s="271"/>
      <c r="F1435" s="272"/>
      <c r="G1435" s="263"/>
      <c r="H1435" s="263"/>
      <c r="I1435" s="486"/>
      <c r="J1435" s="486"/>
      <c r="K1435" s="486"/>
      <c r="L1435" s="486"/>
      <c r="M1435" s="263"/>
      <c r="N1435" s="486"/>
      <c r="O1435" s="486"/>
      <c r="P1435" s="486"/>
      <c r="Q1435" s="486"/>
      <c r="R1435" s="486"/>
      <c r="S1435" s="486"/>
      <c r="T1435" s="263"/>
      <c r="U1435" s="263"/>
      <c r="V1435" s="263"/>
      <c r="W1435" s="267"/>
      <c r="X1435" s="263"/>
    </row>
    <row r="1436" spans="1:53" ht="39.950000000000003" customHeight="1">
      <c r="E1436" s="264" t="s">
        <v>27</v>
      </c>
      <c r="F1436" s="274" t="s">
        <v>25</v>
      </c>
      <c r="G1436" s="263"/>
      <c r="H1436" s="263"/>
      <c r="I1436" s="263"/>
      <c r="J1436" s="263"/>
      <c r="K1436" s="263"/>
      <c r="L1436" s="263"/>
      <c r="M1436" s="263"/>
      <c r="N1436" s="263"/>
      <c r="O1436" s="263"/>
      <c r="P1436" s="263"/>
      <c r="Q1436" s="263"/>
      <c r="R1436" s="263"/>
      <c r="S1436" s="263"/>
      <c r="T1436" s="263"/>
      <c r="U1436" s="263"/>
      <c r="V1436" s="263"/>
      <c r="W1436" s="267"/>
      <c r="X1436" s="263"/>
    </row>
    <row r="1437" spans="1:53" ht="39.950000000000003" customHeight="1">
      <c r="E1437" s="271"/>
      <c r="F1437" s="272"/>
      <c r="G1437" s="263"/>
      <c r="H1437" s="263" t="s">
        <v>33</v>
      </c>
      <c r="I1437" s="263"/>
      <c r="J1437" s="263"/>
      <c r="K1437" s="263"/>
      <c r="L1437" s="263"/>
      <c r="M1437" s="263"/>
      <c r="N1437" s="263"/>
      <c r="O1437" s="263"/>
      <c r="P1437" s="263"/>
      <c r="Q1437" s="263"/>
      <c r="R1437" s="263"/>
      <c r="S1437" s="263"/>
      <c r="T1437" s="263"/>
      <c r="U1437" s="263"/>
      <c r="V1437" s="263"/>
      <c r="W1437" s="267"/>
      <c r="X1437" s="263"/>
    </row>
    <row r="1438" spans="1:53" ht="39.950000000000003" customHeight="1">
      <c r="E1438" s="271"/>
      <c r="F1438" s="272"/>
      <c r="G1438" s="263"/>
      <c r="H1438" s="263"/>
      <c r="I1438" s="263"/>
      <c r="J1438" s="263"/>
      <c r="K1438" s="263"/>
      <c r="L1438" s="263"/>
      <c r="M1438" s="263"/>
      <c r="N1438" s="263"/>
      <c r="O1438" s="263"/>
      <c r="P1438" s="263"/>
      <c r="Q1438" s="263"/>
      <c r="R1438" s="263"/>
      <c r="S1438" s="263"/>
      <c r="T1438" s="263"/>
      <c r="U1438" s="263"/>
      <c r="V1438" s="263"/>
      <c r="W1438" s="267"/>
      <c r="X1438" s="263"/>
    </row>
    <row r="1439" spans="1:53" ht="39.950000000000003" customHeight="1">
      <c r="E1439" s="271"/>
      <c r="F1439" s="272"/>
      <c r="G1439" s="263"/>
      <c r="H1439" s="263"/>
      <c r="I1439" s="496" t="str">
        <f>I1427</f>
        <v>FUSEK Patrik</v>
      </c>
      <c r="J1439" s="496"/>
      <c r="K1439" s="496"/>
      <c r="L1439" s="496"/>
      <c r="M1439" s="263"/>
      <c r="N1439" s="263"/>
      <c r="O1439" s="263"/>
      <c r="P1439" s="496" t="str">
        <f>I1430</f>
        <v>MAKÚCH Damian</v>
      </c>
      <c r="Q1439" s="496"/>
      <c r="R1439" s="496"/>
      <c r="S1439" s="496"/>
      <c r="T1439" s="497"/>
      <c r="U1439" s="497"/>
      <c r="V1439" s="263"/>
      <c r="W1439" s="267"/>
      <c r="X1439" s="263"/>
    </row>
    <row r="1440" spans="1:53" ht="69.95" customHeight="1">
      <c r="E1440" s="264"/>
      <c r="F1440" s="265"/>
      <c r="G1440" s="263"/>
      <c r="H1440" s="275" t="s">
        <v>36</v>
      </c>
      <c r="I1440" s="483"/>
      <c r="J1440" s="494"/>
      <c r="K1440" s="494"/>
      <c r="L1440" s="495"/>
      <c r="M1440" s="263"/>
      <c r="N1440" s="263"/>
      <c r="O1440" s="275" t="s">
        <v>36</v>
      </c>
      <c r="P1440" s="486"/>
      <c r="Q1440" s="486"/>
      <c r="R1440" s="486"/>
      <c r="S1440" s="486"/>
      <c r="T1440" s="486"/>
      <c r="U1440" s="486"/>
      <c r="V1440" s="263"/>
      <c r="W1440" s="267"/>
      <c r="X1440" s="263"/>
    </row>
    <row r="1441" spans="1:53" ht="69.95" customHeight="1">
      <c r="E1441" s="264"/>
      <c r="F1441" s="265"/>
      <c r="G1441" s="263"/>
      <c r="H1441" s="275" t="s">
        <v>37</v>
      </c>
      <c r="I1441" s="486"/>
      <c r="J1441" s="486"/>
      <c r="K1441" s="486"/>
      <c r="L1441" s="486"/>
      <c r="M1441" s="263"/>
      <c r="N1441" s="263"/>
      <c r="O1441" s="275" t="s">
        <v>37</v>
      </c>
      <c r="P1441" s="486"/>
      <c r="Q1441" s="486"/>
      <c r="R1441" s="486"/>
      <c r="S1441" s="486"/>
      <c r="T1441" s="486"/>
      <c r="U1441" s="486"/>
      <c r="V1441" s="263"/>
      <c r="W1441" s="267"/>
      <c r="X1441" s="263"/>
    </row>
    <row r="1442" spans="1:53" ht="69.95" customHeight="1">
      <c r="E1442" s="264"/>
      <c r="F1442" s="265"/>
      <c r="G1442" s="263"/>
      <c r="H1442" s="275" t="s">
        <v>37</v>
      </c>
      <c r="I1442" s="486"/>
      <c r="J1442" s="486"/>
      <c r="K1442" s="486"/>
      <c r="L1442" s="486"/>
      <c r="M1442" s="263"/>
      <c r="N1442" s="263"/>
      <c r="O1442" s="275" t="s">
        <v>37</v>
      </c>
      <c r="P1442" s="486"/>
      <c r="Q1442" s="486"/>
      <c r="R1442" s="486"/>
      <c r="S1442" s="486"/>
      <c r="T1442" s="486"/>
      <c r="U1442" s="486"/>
      <c r="V1442" s="263"/>
      <c r="W1442" s="267"/>
      <c r="X1442" s="263"/>
    </row>
    <row r="1443" spans="1:53" ht="39.950000000000003" customHeight="1" thickBot="1">
      <c r="E1443" s="276"/>
      <c r="F1443" s="277"/>
      <c r="G1443" s="278"/>
      <c r="H1443" s="278"/>
      <c r="I1443" s="278"/>
      <c r="J1443" s="278"/>
      <c r="K1443" s="278"/>
      <c r="L1443" s="278"/>
      <c r="M1443" s="278"/>
      <c r="N1443" s="278"/>
      <c r="O1443" s="278"/>
      <c r="P1443" s="278"/>
      <c r="Q1443" s="278"/>
      <c r="R1443" s="278"/>
      <c r="S1443" s="278"/>
      <c r="T1443" s="279"/>
      <c r="U1443" s="279"/>
      <c r="V1443" s="279"/>
      <c r="W1443" s="280"/>
      <c r="X1443" s="263"/>
    </row>
    <row r="1444" spans="1:53" ht="62.25" customHeight="1" thickBot="1"/>
    <row r="1445" spans="1:53" ht="39.950000000000003" customHeight="1">
      <c r="A1445" s="252" t="str">
        <f>CONCATENATE(F1452,F1454,F1456)</f>
        <v>D4P2</v>
      </c>
      <c r="C1445" s="223"/>
      <c r="D1445" s="223"/>
      <c r="E1445" s="259" t="s">
        <v>70</v>
      </c>
      <c r="F1445" s="260">
        <f>VLOOKUP(CONCATENATE(A1445,1),'zoznam zapasov'!$A$6:$K$160,3,0)</f>
        <v>73</v>
      </c>
      <c r="G1445" s="261"/>
      <c r="H1445" s="322" t="s">
        <v>501</v>
      </c>
      <c r="I1445" s="261"/>
      <c r="J1445" s="261"/>
      <c r="K1445" s="261"/>
      <c r="L1445" s="261"/>
      <c r="M1445" s="261"/>
      <c r="N1445" s="261"/>
      <c r="O1445" s="261"/>
      <c r="P1445" s="261"/>
      <c r="Q1445" s="261"/>
      <c r="R1445" s="261"/>
      <c r="S1445" s="261"/>
      <c r="T1445" s="261"/>
      <c r="U1445" s="261"/>
      <c r="V1445" s="261" t="s">
        <v>30</v>
      </c>
      <c r="W1445" s="262"/>
      <c r="X1445" s="263"/>
      <c r="Y1445" s="253" t="str">
        <f>A1447</f>
        <v>D4P21</v>
      </c>
      <c r="Z1445" s="258" t="str">
        <f>CONCATENATE(V1447,":",V1450)</f>
        <v>3:1</v>
      </c>
      <c r="AA1445" s="255" t="str">
        <f>IF(V1447&gt;V1450,B1447,IF(V1450&gt;V1447,B1450,""))</f>
        <v>PISARČIKOVÁ / HUDÁKOVÁ</v>
      </c>
      <c r="AB1445" s="255" t="str">
        <f>IF(V1447&gt;V1450,AV1445,IF(V1450&gt;V1447,AV1446,""))</f>
        <v xml:space="preserve">3:1 ( 7,-11,10,10,,, ) </v>
      </c>
      <c r="AC1445" s="255" t="str">
        <f>CONCATENATE("Tbl.: ",F1447,"   H: ",F1450,"   D: ",F1449)</f>
        <v>Tbl.: 1   H: 13.30   D: So</v>
      </c>
      <c r="AE1445" s="253" t="s">
        <v>11</v>
      </c>
      <c r="AV1445" s="256" t="str">
        <f>CONCATENATE(V1447,":",V1450, " ( ",AN1447,",",AO1447,",",AP1447,",",AQ1447,",",AR1447,",",AS1447,",",AT1447," ) ")</f>
        <v xml:space="preserve">3:1 ( 7,-11,10,10,,, ) </v>
      </c>
    </row>
    <row r="1446" spans="1:53" ht="39.950000000000003" customHeight="1">
      <c r="C1446" s="223"/>
      <c r="D1446" s="223"/>
      <c r="E1446" s="264"/>
      <c r="F1446" s="265"/>
      <c r="G1446" s="321" t="s">
        <v>500</v>
      </c>
      <c r="H1446" s="323" t="s">
        <v>502</v>
      </c>
      <c r="I1446" s="263"/>
      <c r="J1446" s="263"/>
      <c r="K1446" s="263"/>
      <c r="L1446" s="263"/>
      <c r="M1446" s="263"/>
      <c r="N1446" s="266">
        <v>1</v>
      </c>
      <c r="O1446" s="266">
        <v>2</v>
      </c>
      <c r="P1446" s="266">
        <v>3</v>
      </c>
      <c r="Q1446" s="266">
        <v>4</v>
      </c>
      <c r="R1446" s="266">
        <v>5</v>
      </c>
      <c r="S1446" s="266">
        <v>6</v>
      </c>
      <c r="T1446" s="266">
        <v>7</v>
      </c>
      <c r="U1446" s="263"/>
      <c r="V1446" s="266" t="s">
        <v>31</v>
      </c>
      <c r="W1446" s="267"/>
      <c r="X1446" s="263"/>
      <c r="AE1446" s="253" t="s">
        <v>68</v>
      </c>
      <c r="AV1446" s="256" t="str">
        <f>CONCATENATE(V1450,":",V1447, " ( ",AN1448,",",AO1448,",",AP1448,",",AQ1448,",",AR1448,",",AS1448,",",AT1448," ) ")</f>
        <v xml:space="preserve">1:3 ( -7,11,-10,-10,,, ) </v>
      </c>
    </row>
    <row r="1447" spans="1:53" ht="39.950000000000003" customHeight="1">
      <c r="A1447" s="252" t="str">
        <f>CONCATENATE(A1445,1)</f>
        <v>D4P21</v>
      </c>
      <c r="B1447" s="252" t="str">
        <f>VLOOKUP(A1447,'KO KODY SPOLU'!$A$3:$B$189,2,0)</f>
        <v>PISARČIKOVÁ / HUDÁKOVÁ</v>
      </c>
      <c r="C1447" s="223"/>
      <c r="D1447" s="223"/>
      <c r="E1447" s="264" t="s">
        <v>29</v>
      </c>
      <c r="F1447" s="265">
        <f>VLOOKUP(CONCATENATE(A1445,1),'zoznam zapasov'!$A$6:$K$160,11,0)</f>
        <v>1</v>
      </c>
      <c r="G1447" s="508"/>
      <c r="H1447" s="281"/>
      <c r="I1447" s="487" t="str">
        <f>IF(ISERROR(VLOOKUP(B1447,vylosovanie!$N$75:$Q$191,3,0))=TRUE," ",VLOOKUP(B1447,vylosovanie!$N$75:$Q$191,3,0))</f>
        <v>PISARČIKOVÁ Frederika</v>
      </c>
      <c r="J1447" s="488"/>
      <c r="K1447" s="488"/>
      <c r="L1447" s="488"/>
      <c r="M1447" s="263"/>
      <c r="N1447" s="489">
        <v>11</v>
      </c>
      <c r="O1447" s="489">
        <v>11</v>
      </c>
      <c r="P1447" s="489">
        <v>12</v>
      </c>
      <c r="Q1447" s="489">
        <v>12</v>
      </c>
      <c r="R1447" s="489"/>
      <c r="S1447" s="491"/>
      <c r="T1447" s="491"/>
      <c r="U1447" s="263"/>
      <c r="V1447" s="493">
        <f>IF(SUM(AF1447:AL1448)=0,"",SUM(AF1447:AL1447))</f>
        <v>3</v>
      </c>
      <c r="W1447" s="267"/>
      <c r="X1447" s="263"/>
      <c r="AE1447" s="253" t="str">
        <f>VLOOKUP(I1447,vylosovanie!$F$8:$L$190,7,0)</f>
        <v>D83</v>
      </c>
      <c r="AF1447" s="268">
        <f>IF(N1447&gt;N1450,1,0)</f>
        <v>1</v>
      </c>
      <c r="AG1447" s="268">
        <f t="shared" ref="AG1447" si="998">IF(O1447&gt;O1450,1,0)</f>
        <v>0</v>
      </c>
      <c r="AH1447" s="268">
        <f t="shared" ref="AH1447" si="999">IF(P1447&gt;P1450,1,0)</f>
        <v>1</v>
      </c>
      <c r="AI1447" s="268">
        <f t="shared" ref="AI1447" si="1000">IF(Q1447&gt;Q1450,1,0)</f>
        <v>1</v>
      </c>
      <c r="AJ1447" s="268">
        <f t="shared" ref="AJ1447" si="1001">IF(R1447&gt;R1450,1,0)</f>
        <v>0</v>
      </c>
      <c r="AK1447" s="268">
        <f t="shared" ref="AK1447" si="1002">IF(S1447&gt;S1450,1,0)</f>
        <v>0</v>
      </c>
      <c r="AL1447" s="268">
        <f t="shared" ref="AL1447" si="1003">IF(T1447&gt;T1450,1,0)</f>
        <v>0</v>
      </c>
      <c r="AN1447" s="268">
        <f t="shared" ref="AN1447" si="1004">IF(ISBLANK(N1447)=TRUE,"",IF(AF1447=1,N1450,-N1447))</f>
        <v>7</v>
      </c>
      <c r="AO1447" s="268">
        <f t="shared" ref="AO1447" si="1005">IF(ISBLANK(O1447)=TRUE,"",IF(AG1447=1,O1450,-O1447))</f>
        <v>-11</v>
      </c>
      <c r="AP1447" s="268">
        <f t="shared" ref="AP1447" si="1006">IF(ISBLANK(P1447)=TRUE,"",IF(AH1447=1,P1450,-P1447))</f>
        <v>10</v>
      </c>
      <c r="AQ1447" s="268">
        <f t="shared" ref="AQ1447" si="1007">IF(ISBLANK(Q1447)=TRUE,"",IF(AI1447=1,Q1450,-Q1447))</f>
        <v>10</v>
      </c>
      <c r="AR1447" s="268" t="str">
        <f t="shared" ref="AR1447" si="1008">IF(ISBLANK(R1447)=TRUE,"",IF(AJ1447=1,R1450,-R1447))</f>
        <v/>
      </c>
      <c r="AS1447" s="268" t="str">
        <f t="shared" ref="AS1447" si="1009">IF(ISBLANK(S1447)=TRUE,"",IF(AK1447=1,S1450,-S1447))</f>
        <v/>
      </c>
      <c r="AT1447" s="268" t="str">
        <f t="shared" ref="AT1447" si="1010">IF(ISBLANK(T1447)=TRUE,"",IF(AL1447=1,T1450,-T1447))</f>
        <v/>
      </c>
      <c r="AZ1447" s="269" t="s">
        <v>12</v>
      </c>
      <c r="BA1447" s="269">
        <v>1</v>
      </c>
    </row>
    <row r="1448" spans="1:53" ht="39.950000000000003" customHeight="1">
      <c r="C1448" s="223"/>
      <c r="D1448" s="223"/>
      <c r="E1448" s="264"/>
      <c r="F1448" s="265"/>
      <c r="G1448" s="509"/>
      <c r="H1448" s="281"/>
      <c r="I1448" s="487" t="str">
        <f>IF(ISERROR(VLOOKUP(B1447,vylosovanie!$N$75:$Q$191,3,0))=TRUE," ",VLOOKUP(B1447,vylosovanie!$N$75:$Q$191,4,0))</f>
        <v>HUDÁKOVÁ Ivana</v>
      </c>
      <c r="J1448" s="488"/>
      <c r="K1448" s="488"/>
      <c r="L1448" s="488"/>
      <c r="M1448" s="263"/>
      <c r="N1448" s="490"/>
      <c r="O1448" s="490"/>
      <c r="P1448" s="490"/>
      <c r="Q1448" s="490"/>
      <c r="R1448" s="490"/>
      <c r="S1448" s="492"/>
      <c r="T1448" s="492"/>
      <c r="U1448" s="263"/>
      <c r="V1448" s="493"/>
      <c r="W1448" s="267"/>
      <c r="X1448" s="263"/>
      <c r="AE1448" s="253" t="str">
        <f>VLOOKUP(I1450,vylosovanie!$F$8:$L$190,7,0)</f>
        <v>D12</v>
      </c>
      <c r="AF1448" s="268">
        <f>IF(N1450&gt;N1447,1,0)</f>
        <v>0</v>
      </c>
      <c r="AG1448" s="268">
        <f t="shared" ref="AG1448" si="1011">IF(O1450&gt;O1447,1,0)</f>
        <v>1</v>
      </c>
      <c r="AH1448" s="268">
        <f t="shared" ref="AH1448" si="1012">IF(P1450&gt;P1447,1,0)</f>
        <v>0</v>
      </c>
      <c r="AI1448" s="268">
        <f t="shared" ref="AI1448" si="1013">IF(Q1450&gt;Q1447,1,0)</f>
        <v>0</v>
      </c>
      <c r="AJ1448" s="268">
        <f t="shared" ref="AJ1448" si="1014">IF(R1450&gt;R1447,1,0)</f>
        <v>0</v>
      </c>
      <c r="AK1448" s="268">
        <f t="shared" ref="AK1448" si="1015">IF(S1450&gt;S1447,1,0)</f>
        <v>0</v>
      </c>
      <c r="AL1448" s="268">
        <f t="shared" ref="AL1448" si="1016">IF(T1450&gt;T1447,1,0)</f>
        <v>0</v>
      </c>
      <c r="AN1448" s="268">
        <f t="shared" ref="AN1448" si="1017">IF(ISBLANK(N1450)=TRUE,"",IF(AF1448=1,N1447,-N1450))</f>
        <v>-7</v>
      </c>
      <c r="AO1448" s="268">
        <f t="shared" ref="AO1448" si="1018">IF(ISBLANK(O1450)=TRUE,"",IF(AG1448=1,O1447,-O1450))</f>
        <v>11</v>
      </c>
      <c r="AP1448" s="268">
        <f t="shared" ref="AP1448" si="1019">IF(ISBLANK(P1450)=TRUE,"",IF(AH1448=1,P1447,-P1450))</f>
        <v>-10</v>
      </c>
      <c r="AQ1448" s="268">
        <f t="shared" ref="AQ1448" si="1020">IF(ISBLANK(Q1450)=TRUE,"",IF(AI1448=1,Q1447,-Q1450))</f>
        <v>-10</v>
      </c>
      <c r="AR1448" s="268" t="str">
        <f t="shared" ref="AR1448" si="1021">IF(ISBLANK(R1450)=TRUE,"",IF(AJ1448=1,R1447,-R1450))</f>
        <v/>
      </c>
      <c r="AS1448" s="268" t="str">
        <f t="shared" ref="AS1448" si="1022">IF(ISBLANK(S1450)=TRUE,"",IF(AK1448=1,S1447,-S1450))</f>
        <v/>
      </c>
      <c r="AT1448" s="268" t="str">
        <f t="shared" ref="AT1448" si="1023">IF(ISBLANK(T1450)=TRUE,"",IF(AL1448=1,T1447,-T1450))</f>
        <v/>
      </c>
      <c r="AZ1448" s="269" t="s">
        <v>18</v>
      </c>
      <c r="BA1448" s="269">
        <v>2</v>
      </c>
    </row>
    <row r="1449" spans="1:53" ht="39.950000000000003" customHeight="1">
      <c r="C1449" s="223"/>
      <c r="D1449" s="223"/>
      <c r="E1449" s="264" t="s">
        <v>35</v>
      </c>
      <c r="F1449" s="265" t="str">
        <f>VLOOKUP(CONCATENATE(A1445,1),'zoznam zapasov'!$A$6:$K$160,9,0)</f>
        <v>So</v>
      </c>
      <c r="G1449" s="263"/>
      <c r="H1449" s="263"/>
      <c r="I1449" s="263"/>
      <c r="J1449" s="263"/>
      <c r="K1449" s="263"/>
      <c r="L1449" s="263"/>
      <c r="M1449" s="263"/>
      <c r="N1449" s="263"/>
      <c r="O1449" s="263"/>
      <c r="P1449" s="263"/>
      <c r="Q1449" s="263"/>
      <c r="R1449" s="263"/>
      <c r="S1449" s="263"/>
      <c r="T1449" s="263"/>
      <c r="U1449" s="263"/>
      <c r="V1449" s="263"/>
      <c r="W1449" s="267"/>
      <c r="X1449" s="263"/>
      <c r="AZ1449" s="269" t="s">
        <v>38</v>
      </c>
      <c r="BA1449" s="269">
        <v>3</v>
      </c>
    </row>
    <row r="1450" spans="1:53" ht="39.950000000000003" customHeight="1">
      <c r="A1450" s="252" t="str">
        <f>CONCATENATE(A1445,2)</f>
        <v>D4P22</v>
      </c>
      <c r="B1450" s="252" t="str">
        <f>VLOOKUP(A1450,'KO KODY SPOLU'!$A$3:$B$189,2,0)</f>
        <v>CHYLOVÁ / PAPCUNOVÁ</v>
      </c>
      <c r="C1450" s="223"/>
      <c r="D1450" s="223"/>
      <c r="E1450" s="264" t="s">
        <v>28</v>
      </c>
      <c r="F1450" s="270" t="str">
        <f>VLOOKUP(CONCATENATE(A1445,1),'zoznam zapasov'!$A$6:$K$160,10,0)</f>
        <v>13.30</v>
      </c>
      <c r="G1450" s="508"/>
      <c r="H1450" s="281"/>
      <c r="I1450" s="487" t="str">
        <f>IF(ISERROR(VLOOKUP(B1450,vylosovanie!$N$75:$Q$191,3,0))=TRUE," ",VLOOKUP(B1450,vylosovanie!$N$75:$Q$191,3,0))</f>
        <v>CHYLOVÁ Sabína</v>
      </c>
      <c r="J1450" s="488"/>
      <c r="K1450" s="488"/>
      <c r="L1450" s="488"/>
      <c r="M1450" s="263"/>
      <c r="N1450" s="489">
        <v>7</v>
      </c>
      <c r="O1450" s="489">
        <v>13</v>
      </c>
      <c r="P1450" s="489">
        <v>10</v>
      </c>
      <c r="Q1450" s="489">
        <v>10</v>
      </c>
      <c r="R1450" s="489"/>
      <c r="S1450" s="491"/>
      <c r="T1450" s="491"/>
      <c r="U1450" s="263"/>
      <c r="V1450" s="493">
        <f>IF(SUM(AF1447:AL1448)=0,"",SUM(AF1448:AL1448))</f>
        <v>1</v>
      </c>
      <c r="W1450" s="267"/>
      <c r="X1450" s="263"/>
      <c r="AZ1450" s="269" t="s">
        <v>39</v>
      </c>
      <c r="BA1450" s="269">
        <v>4</v>
      </c>
    </row>
    <row r="1451" spans="1:53" ht="39.950000000000003" customHeight="1">
      <c r="C1451" s="223"/>
      <c r="D1451" s="223"/>
      <c r="E1451" s="271"/>
      <c r="F1451" s="272"/>
      <c r="G1451" s="509"/>
      <c r="H1451" s="281"/>
      <c r="I1451" s="487" t="str">
        <f>IF(ISERROR(VLOOKUP(B1450,vylosovanie!$N$75:$Q$191,3,0))=TRUE," ",VLOOKUP(B1450,vylosovanie!$N$75:$Q$191,4,0))</f>
        <v>PAPCUNOVÁ Viktória</v>
      </c>
      <c r="J1451" s="488"/>
      <c r="K1451" s="488"/>
      <c r="L1451" s="488"/>
      <c r="M1451" s="263"/>
      <c r="N1451" s="490"/>
      <c r="O1451" s="490"/>
      <c r="P1451" s="490"/>
      <c r="Q1451" s="490"/>
      <c r="R1451" s="490"/>
      <c r="S1451" s="492"/>
      <c r="T1451" s="492"/>
      <c r="U1451" s="263"/>
      <c r="V1451" s="493"/>
      <c r="W1451" s="267"/>
      <c r="X1451" s="263"/>
      <c r="AZ1451" s="269" t="s">
        <v>40</v>
      </c>
      <c r="BA1451" s="269">
        <v>5</v>
      </c>
    </row>
    <row r="1452" spans="1:53" ht="39.950000000000003" customHeight="1">
      <c r="C1452" s="223"/>
      <c r="D1452" s="223"/>
      <c r="E1452" s="264" t="s">
        <v>66</v>
      </c>
      <c r="F1452" s="265" t="s">
        <v>95</v>
      </c>
      <c r="G1452" s="263"/>
      <c r="H1452" s="263"/>
      <c r="I1452" s="263"/>
      <c r="J1452" s="263"/>
      <c r="K1452" s="263"/>
      <c r="L1452" s="263"/>
      <c r="M1452" s="263"/>
      <c r="N1452" s="263"/>
      <c r="O1452" s="263"/>
      <c r="P1452" s="263"/>
      <c r="Q1452" s="263"/>
      <c r="R1452" s="263"/>
      <c r="S1452" s="263"/>
      <c r="T1452" s="263"/>
      <c r="U1452" s="263"/>
      <c r="V1452" s="263"/>
      <c r="W1452" s="267"/>
      <c r="X1452" s="263"/>
      <c r="AZ1452" s="269" t="s">
        <v>41</v>
      </c>
      <c r="BA1452" s="269">
        <v>6</v>
      </c>
    </row>
    <row r="1453" spans="1:53" ht="39.950000000000003" customHeight="1">
      <c r="C1453" s="223"/>
      <c r="D1453" s="223"/>
      <c r="E1453" s="271"/>
      <c r="F1453" s="272"/>
      <c r="G1453" s="263"/>
      <c r="H1453" s="263"/>
      <c r="I1453" s="263" t="s">
        <v>32</v>
      </c>
      <c r="J1453" s="263"/>
      <c r="K1453" s="263"/>
      <c r="L1453" s="263"/>
      <c r="M1453" s="263"/>
      <c r="N1453" s="273"/>
      <c r="O1453" s="266"/>
      <c r="P1453" s="266" t="s">
        <v>34</v>
      </c>
      <c r="Q1453" s="266"/>
      <c r="R1453" s="266"/>
      <c r="S1453" s="266"/>
      <c r="T1453" s="266"/>
      <c r="U1453" s="263"/>
      <c r="V1453" s="263"/>
      <c r="W1453" s="267"/>
      <c r="X1453" s="263"/>
      <c r="AZ1453" s="269" t="s">
        <v>42</v>
      </c>
      <c r="BA1453" s="269">
        <v>7</v>
      </c>
    </row>
    <row r="1454" spans="1:53" ht="39.950000000000003" customHeight="1">
      <c r="E1454" s="264" t="s">
        <v>26</v>
      </c>
      <c r="F1454" s="265" t="s">
        <v>128</v>
      </c>
      <c r="G1454" s="263"/>
      <c r="H1454" s="263"/>
      <c r="I1454" s="486"/>
      <c r="J1454" s="486"/>
      <c r="K1454" s="486"/>
      <c r="L1454" s="486"/>
      <c r="M1454" s="263"/>
      <c r="N1454" s="483" t="str">
        <f>IF(V1447&gt;V1450,I1447,IF(V1450&gt;V1447,I1450,""))</f>
        <v>PISARČIKOVÁ Frederika</v>
      </c>
      <c r="O1454" s="494"/>
      <c r="P1454" s="494"/>
      <c r="Q1454" s="494"/>
      <c r="R1454" s="494"/>
      <c r="S1454" s="495"/>
      <c r="T1454" s="263"/>
      <c r="U1454" s="263"/>
      <c r="V1454" s="263"/>
      <c r="W1454" s="267"/>
      <c r="X1454" s="263"/>
      <c r="AZ1454" s="269" t="s">
        <v>43</v>
      </c>
      <c r="BA1454" s="269">
        <v>8</v>
      </c>
    </row>
    <row r="1455" spans="1:53" ht="39.950000000000003" customHeight="1">
      <c r="E1455" s="271"/>
      <c r="F1455" s="272"/>
      <c r="G1455" s="263"/>
      <c r="H1455" s="263"/>
      <c r="I1455" s="486"/>
      <c r="J1455" s="486"/>
      <c r="K1455" s="486"/>
      <c r="L1455" s="486"/>
      <c r="M1455" s="263"/>
      <c r="N1455" s="483" t="str">
        <f>IF(V1447&gt;V1450,I1448,IF(V1450&gt;V1447,I1451,""))</f>
        <v>HUDÁKOVÁ Ivana</v>
      </c>
      <c r="O1455" s="494"/>
      <c r="P1455" s="494"/>
      <c r="Q1455" s="494"/>
      <c r="R1455" s="494"/>
      <c r="S1455" s="495"/>
      <c r="T1455" s="263"/>
      <c r="U1455" s="263"/>
      <c r="V1455" s="263"/>
      <c r="W1455" s="267"/>
      <c r="X1455" s="263"/>
    </row>
    <row r="1456" spans="1:53" ht="39.950000000000003" customHeight="1">
      <c r="E1456" s="264" t="s">
        <v>27</v>
      </c>
      <c r="F1456" s="274" t="s">
        <v>162</v>
      </c>
      <c r="G1456" s="263"/>
      <c r="H1456" s="263"/>
      <c r="I1456" s="263"/>
      <c r="J1456" s="263"/>
      <c r="K1456" s="263"/>
      <c r="L1456" s="263"/>
      <c r="M1456" s="263"/>
      <c r="N1456" s="263"/>
      <c r="O1456" s="263"/>
      <c r="P1456" s="263"/>
      <c r="Q1456" s="263"/>
      <c r="R1456" s="263"/>
      <c r="S1456" s="263"/>
      <c r="T1456" s="263"/>
      <c r="U1456" s="263"/>
      <c r="V1456" s="263"/>
      <c r="W1456" s="267"/>
      <c r="X1456" s="263"/>
    </row>
    <row r="1457" spans="1:53" ht="39.950000000000003" customHeight="1">
      <c r="E1457" s="271"/>
      <c r="F1457" s="272"/>
      <c r="G1457" s="263"/>
      <c r="H1457" s="263" t="s">
        <v>33</v>
      </c>
      <c r="I1457" s="263"/>
      <c r="J1457" s="263"/>
      <c r="K1457" s="263"/>
      <c r="L1457" s="263"/>
      <c r="M1457" s="263"/>
      <c r="N1457" s="263"/>
      <c r="O1457" s="263"/>
      <c r="P1457" s="263"/>
      <c r="Q1457" s="263"/>
      <c r="R1457" s="263"/>
      <c r="S1457" s="263"/>
      <c r="T1457" s="263"/>
      <c r="U1457" s="263"/>
      <c r="V1457" s="263"/>
      <c r="W1457" s="267"/>
      <c r="X1457" s="263"/>
    </row>
    <row r="1458" spans="1:53" ht="39.950000000000003" customHeight="1">
      <c r="E1458" s="271"/>
      <c r="F1458" s="272"/>
      <c r="G1458" s="263"/>
      <c r="H1458" s="263"/>
      <c r="I1458" s="263"/>
      <c r="J1458" s="263"/>
      <c r="K1458" s="263"/>
      <c r="L1458" s="263"/>
      <c r="M1458" s="263"/>
      <c r="N1458" s="263"/>
      <c r="O1458" s="263"/>
      <c r="P1458" s="263"/>
      <c r="Q1458" s="263"/>
      <c r="R1458" s="263"/>
      <c r="S1458" s="263"/>
      <c r="T1458" s="263"/>
      <c r="U1458" s="263"/>
      <c r="V1458" s="263"/>
      <c r="W1458" s="267"/>
      <c r="X1458" s="263"/>
    </row>
    <row r="1459" spans="1:53" ht="39.950000000000003" customHeight="1">
      <c r="E1459" s="271"/>
      <c r="F1459" s="272"/>
      <c r="G1459" s="263"/>
      <c r="H1459" s="263"/>
      <c r="I1459" s="496" t="str">
        <f>I1447</f>
        <v>PISARČIKOVÁ Frederika</v>
      </c>
      <c r="J1459" s="496"/>
      <c r="K1459" s="496"/>
      <c r="L1459" s="496"/>
      <c r="M1459" s="263"/>
      <c r="N1459" s="263"/>
      <c r="P1459" s="496" t="str">
        <f>I1450</f>
        <v>CHYLOVÁ Sabína</v>
      </c>
      <c r="Q1459" s="496"/>
      <c r="R1459" s="496"/>
      <c r="S1459" s="496"/>
      <c r="T1459" s="497"/>
      <c r="U1459" s="497"/>
      <c r="V1459" s="263"/>
      <c r="W1459" s="267"/>
      <c r="X1459" s="263"/>
    </row>
    <row r="1460" spans="1:53" ht="39.950000000000003" customHeight="1">
      <c r="E1460" s="271"/>
      <c r="F1460" s="272"/>
      <c r="G1460" s="263"/>
      <c r="H1460" s="263"/>
      <c r="I1460" s="496" t="str">
        <f>I1448</f>
        <v>HUDÁKOVÁ Ivana</v>
      </c>
      <c r="J1460" s="496"/>
      <c r="K1460" s="496"/>
      <c r="L1460" s="496"/>
      <c r="M1460" s="263"/>
      <c r="N1460" s="263"/>
      <c r="O1460" s="263"/>
      <c r="P1460" s="496" t="str">
        <f>I1451</f>
        <v>PAPCUNOVÁ Viktória</v>
      </c>
      <c r="Q1460" s="496"/>
      <c r="R1460" s="496"/>
      <c r="S1460" s="496"/>
      <c r="T1460" s="497"/>
      <c r="U1460" s="497"/>
      <c r="V1460" s="263"/>
      <c r="W1460" s="267"/>
      <c r="X1460" s="263"/>
    </row>
    <row r="1461" spans="1:53" ht="69.95" customHeight="1">
      <c r="E1461" s="264"/>
      <c r="F1461" s="265"/>
      <c r="G1461" s="263"/>
      <c r="H1461" s="275" t="s">
        <v>36</v>
      </c>
      <c r="I1461" s="483"/>
      <c r="J1461" s="484"/>
      <c r="K1461" s="484"/>
      <c r="L1461" s="485"/>
      <c r="M1461" s="263"/>
      <c r="N1461" s="263"/>
      <c r="O1461" s="275" t="s">
        <v>36</v>
      </c>
      <c r="P1461" s="486"/>
      <c r="Q1461" s="486"/>
      <c r="R1461" s="486"/>
      <c r="S1461" s="486"/>
      <c r="T1461" s="486"/>
      <c r="U1461" s="486"/>
      <c r="V1461" s="263"/>
      <c r="W1461" s="267"/>
      <c r="X1461" s="263"/>
    </row>
    <row r="1462" spans="1:53" ht="69.95" customHeight="1">
      <c r="E1462" s="264"/>
      <c r="F1462" s="265"/>
      <c r="G1462" s="263"/>
      <c r="H1462" s="275" t="s">
        <v>37</v>
      </c>
      <c r="I1462" s="486"/>
      <c r="J1462" s="486"/>
      <c r="K1462" s="486"/>
      <c r="L1462" s="486"/>
      <c r="M1462" s="263"/>
      <c r="N1462" s="263"/>
      <c r="O1462" s="275" t="s">
        <v>37</v>
      </c>
      <c r="P1462" s="486"/>
      <c r="Q1462" s="486"/>
      <c r="R1462" s="486"/>
      <c r="S1462" s="486"/>
      <c r="T1462" s="486"/>
      <c r="U1462" s="486"/>
      <c r="V1462" s="263"/>
      <c r="W1462" s="267"/>
      <c r="X1462" s="263"/>
    </row>
    <row r="1463" spans="1:53" ht="69.95" customHeight="1">
      <c r="E1463" s="264"/>
      <c r="F1463" s="265"/>
      <c r="G1463" s="263"/>
      <c r="H1463" s="275" t="s">
        <v>37</v>
      </c>
      <c r="I1463" s="486"/>
      <c r="J1463" s="486"/>
      <c r="K1463" s="486"/>
      <c r="L1463" s="486"/>
      <c r="M1463" s="263"/>
      <c r="N1463" s="263"/>
      <c r="O1463" s="275" t="s">
        <v>37</v>
      </c>
      <c r="P1463" s="486"/>
      <c r="Q1463" s="486"/>
      <c r="R1463" s="486"/>
      <c r="S1463" s="486"/>
      <c r="T1463" s="486"/>
      <c r="U1463" s="486"/>
      <c r="V1463" s="263"/>
      <c r="W1463" s="267"/>
      <c r="X1463" s="263"/>
    </row>
    <row r="1464" spans="1:53" ht="39.950000000000003" customHeight="1" thickBot="1">
      <c r="E1464" s="276"/>
      <c r="F1464" s="277"/>
      <c r="G1464" s="278"/>
      <c r="H1464" s="278"/>
      <c r="I1464" s="278"/>
      <c r="J1464" s="278"/>
      <c r="K1464" s="278"/>
      <c r="L1464" s="278"/>
      <c r="M1464" s="278"/>
      <c r="N1464" s="278"/>
      <c r="O1464" s="278"/>
      <c r="P1464" s="278"/>
      <c r="Q1464" s="278"/>
      <c r="R1464" s="278"/>
      <c r="S1464" s="278"/>
      <c r="T1464" s="279"/>
      <c r="U1464" s="279"/>
      <c r="V1464" s="279"/>
      <c r="W1464" s="280"/>
      <c r="X1464" s="263"/>
    </row>
    <row r="1465" spans="1:53" ht="62.25" thickBot="1"/>
    <row r="1466" spans="1:53" ht="39.950000000000003" customHeight="1">
      <c r="A1466" s="252" t="str">
        <f>CONCATENATE(F1473,F1475,F1477)</f>
        <v>D4P3</v>
      </c>
      <c r="C1466" s="223"/>
      <c r="D1466" s="223"/>
      <c r="E1466" s="259" t="s">
        <v>70</v>
      </c>
      <c r="F1466" s="260">
        <f>VLOOKUP(CONCATENATE(A1466,1),'zoznam zapasov'!$A$6:$K$160,3,0)</f>
        <v>74</v>
      </c>
      <c r="G1466" s="261"/>
      <c r="H1466" s="322" t="s">
        <v>501</v>
      </c>
      <c r="I1466" s="261"/>
      <c r="J1466" s="261"/>
      <c r="K1466" s="261"/>
      <c r="L1466" s="261"/>
      <c r="M1466" s="261"/>
      <c r="N1466" s="261"/>
      <c r="O1466" s="261"/>
      <c r="P1466" s="261"/>
      <c r="Q1466" s="261"/>
      <c r="R1466" s="261"/>
      <c r="S1466" s="261"/>
      <c r="T1466" s="261"/>
      <c r="U1466" s="261"/>
      <c r="V1466" s="261" t="s">
        <v>30</v>
      </c>
      <c r="W1466" s="262"/>
      <c r="X1466" s="263"/>
      <c r="Y1466" s="253" t="str">
        <f>A1468</f>
        <v>D4P31</v>
      </c>
      <c r="Z1466" s="258" t="str">
        <f>CONCATENATE(V1468,":",V1471)</f>
        <v>3:0</v>
      </c>
      <c r="AA1466" s="255" t="str">
        <f>IF(V1468&gt;V1471,B1468,IF(V1471&gt;V1468,B1471,""))</f>
        <v>ŠVAJDLENKOVÁ / HURBANOVÁ</v>
      </c>
      <c r="AB1466" s="255" t="str">
        <f>IF(V1468&gt;V1471,AV1466,IF(V1471&gt;V1468,AV1467,""))</f>
        <v xml:space="preserve">3:0 ( 8,4,6,,,, ) </v>
      </c>
      <c r="AC1466" s="255" t="str">
        <f>CONCATENATE("Tbl.: ",F1468,"   H: ",F1471,"   D: ",F1470)</f>
        <v>Tbl.: 3   H: 13.30   D: So</v>
      </c>
      <c r="AE1466" s="253" t="s">
        <v>11</v>
      </c>
      <c r="AV1466" s="256" t="str">
        <f>CONCATENATE(V1468,":",V1471, " ( ",AN1468,",",AO1468,",",AP1468,",",AQ1468,",",AR1468,",",AS1468,",",AT1468," ) ")</f>
        <v xml:space="preserve">3:0 ( 8,4,6,,,, ) </v>
      </c>
    </row>
    <row r="1467" spans="1:53" ht="39.950000000000003" customHeight="1">
      <c r="C1467" s="223"/>
      <c r="D1467" s="223"/>
      <c r="E1467" s="264"/>
      <c r="F1467" s="265"/>
      <c r="G1467" s="321" t="s">
        <v>500</v>
      </c>
      <c r="H1467" s="323" t="s">
        <v>502</v>
      </c>
      <c r="I1467" s="263"/>
      <c r="J1467" s="263"/>
      <c r="K1467" s="263"/>
      <c r="L1467" s="263"/>
      <c r="M1467" s="263"/>
      <c r="N1467" s="266">
        <v>1</v>
      </c>
      <c r="O1467" s="266">
        <v>2</v>
      </c>
      <c r="P1467" s="266">
        <v>3</v>
      </c>
      <c r="Q1467" s="266">
        <v>4</v>
      </c>
      <c r="R1467" s="266">
        <v>5</v>
      </c>
      <c r="S1467" s="266">
        <v>6</v>
      </c>
      <c r="T1467" s="266">
        <v>7</v>
      </c>
      <c r="U1467" s="263"/>
      <c r="V1467" s="266" t="s">
        <v>31</v>
      </c>
      <c r="W1467" s="267"/>
      <c r="X1467" s="263"/>
      <c r="AE1467" s="253" t="s">
        <v>68</v>
      </c>
      <c r="AV1467" s="256" t="str">
        <f>CONCATENATE(V1471,":",V1468, " ( ",AN1469,",",AO1469,",",AP1469,",",AQ1469,",",AR1469,",",AS1469,",",AT1469," ) ")</f>
        <v xml:space="preserve">0:3 ( -8,-4,-6,,,, ) </v>
      </c>
    </row>
    <row r="1468" spans="1:53" ht="39.950000000000003" customHeight="1">
      <c r="A1468" s="252" t="str">
        <f>CONCATENATE(A1466,1)</f>
        <v>D4P31</v>
      </c>
      <c r="B1468" s="252" t="str">
        <f>VLOOKUP(A1468,'KO KODY SPOLU'!$A$3:$B$189,2,0)</f>
        <v>ŠVAJDLENKOVÁ / HURBANOVÁ</v>
      </c>
      <c r="C1468" s="223"/>
      <c r="D1468" s="223"/>
      <c r="E1468" s="264" t="s">
        <v>29</v>
      </c>
      <c r="F1468" s="265">
        <f>VLOOKUP(CONCATENATE(A1466,1),'zoznam zapasov'!$A$6:$K$160,11,0)</f>
        <v>3</v>
      </c>
      <c r="G1468" s="508"/>
      <c r="H1468" s="319"/>
      <c r="I1468" s="504" t="str">
        <f>IF(ISERROR(VLOOKUP(B1468,vylosovanie!$N$75:$Q$191,3,0))=TRUE," ",VLOOKUP(B1468,vylosovanie!$N$75:$Q$191,3,0))</f>
        <v>ŠVAJDLENKOVÁ Laura</v>
      </c>
      <c r="J1468" s="505"/>
      <c r="K1468" s="505"/>
      <c r="L1468" s="506"/>
      <c r="M1468" s="263"/>
      <c r="N1468" s="489">
        <v>11</v>
      </c>
      <c r="O1468" s="489">
        <v>11</v>
      </c>
      <c r="P1468" s="489">
        <v>11</v>
      </c>
      <c r="Q1468" s="489"/>
      <c r="R1468" s="489"/>
      <c r="S1468" s="491"/>
      <c r="T1468" s="491"/>
      <c r="U1468" s="263"/>
      <c r="V1468" s="493">
        <f>IF(SUM(AF1468:AL1469)=0,"",SUM(AF1468:AL1468))</f>
        <v>3</v>
      </c>
      <c r="W1468" s="267"/>
      <c r="X1468" s="263"/>
      <c r="AE1468" s="253" t="str">
        <f>VLOOKUP(I1468,vylosovanie!$F$8:$L$190,7,0)</f>
        <v>D61</v>
      </c>
      <c r="AF1468" s="268">
        <f>IF(N1468&gt;N1471,1,0)</f>
        <v>1</v>
      </c>
      <c r="AG1468" s="268">
        <f t="shared" ref="AG1468" si="1024">IF(O1468&gt;O1471,1,0)</f>
        <v>1</v>
      </c>
      <c r="AH1468" s="268">
        <f t="shared" ref="AH1468" si="1025">IF(P1468&gt;P1471,1,0)</f>
        <v>1</v>
      </c>
      <c r="AI1468" s="268">
        <f t="shared" ref="AI1468" si="1026">IF(Q1468&gt;Q1471,1,0)</f>
        <v>0</v>
      </c>
      <c r="AJ1468" s="268">
        <f t="shared" ref="AJ1468" si="1027">IF(R1468&gt;R1471,1,0)</f>
        <v>0</v>
      </c>
      <c r="AK1468" s="268">
        <f t="shared" ref="AK1468" si="1028">IF(S1468&gt;S1471,1,0)</f>
        <v>0</v>
      </c>
      <c r="AL1468" s="268">
        <f t="shared" ref="AL1468" si="1029">IF(T1468&gt;T1471,1,0)</f>
        <v>0</v>
      </c>
      <c r="AN1468" s="268">
        <f t="shared" ref="AN1468" si="1030">IF(ISBLANK(N1468)=TRUE,"",IF(AF1468=1,N1471,-N1468))</f>
        <v>8</v>
      </c>
      <c r="AO1468" s="268">
        <f t="shared" ref="AO1468" si="1031">IF(ISBLANK(O1468)=TRUE,"",IF(AG1468=1,O1471,-O1468))</f>
        <v>4</v>
      </c>
      <c r="AP1468" s="268">
        <f t="shared" ref="AP1468" si="1032">IF(ISBLANK(P1468)=TRUE,"",IF(AH1468=1,P1471,-P1468))</f>
        <v>6</v>
      </c>
      <c r="AQ1468" s="268" t="str">
        <f t="shared" ref="AQ1468" si="1033">IF(ISBLANK(Q1468)=TRUE,"",IF(AI1468=1,Q1471,-Q1468))</f>
        <v/>
      </c>
      <c r="AR1468" s="268" t="str">
        <f t="shared" ref="AR1468" si="1034">IF(ISBLANK(R1468)=TRUE,"",IF(AJ1468=1,R1471,-R1468))</f>
        <v/>
      </c>
      <c r="AS1468" s="268" t="str">
        <f t="shared" ref="AS1468" si="1035">IF(ISBLANK(S1468)=TRUE,"",IF(AK1468=1,S1471,-S1468))</f>
        <v/>
      </c>
      <c r="AT1468" s="268" t="str">
        <f t="shared" ref="AT1468" si="1036">IF(ISBLANK(T1468)=TRUE,"",IF(AL1468=1,T1471,-T1468))</f>
        <v/>
      </c>
      <c r="AZ1468" s="269" t="s">
        <v>12</v>
      </c>
      <c r="BA1468" s="269">
        <v>1</v>
      </c>
    </row>
    <row r="1469" spans="1:53" ht="39.950000000000003" customHeight="1">
      <c r="C1469" s="223"/>
      <c r="D1469" s="223"/>
      <c r="E1469" s="264"/>
      <c r="F1469" s="265"/>
      <c r="G1469" s="509"/>
      <c r="H1469" s="319"/>
      <c r="I1469" s="504" t="str">
        <f>IF(ISERROR(VLOOKUP(B1468,vylosovanie!$N$75:$Q$191,3,0))=TRUE," ",VLOOKUP(B1468,vylosovanie!$N$75:$Q$191,4,0))</f>
        <v>HURBANOVÁ Isabella</v>
      </c>
      <c r="J1469" s="505"/>
      <c r="K1469" s="505"/>
      <c r="L1469" s="506"/>
      <c r="M1469" s="263"/>
      <c r="N1469" s="490"/>
      <c r="O1469" s="490"/>
      <c r="P1469" s="490"/>
      <c r="Q1469" s="490"/>
      <c r="R1469" s="490"/>
      <c r="S1469" s="492"/>
      <c r="T1469" s="492"/>
      <c r="U1469" s="263"/>
      <c r="V1469" s="493"/>
      <c r="W1469" s="267"/>
      <c r="X1469" s="263"/>
      <c r="AE1469" s="253" t="str">
        <f>VLOOKUP(I1471,vylosovanie!$F$8:$L$190,7,0)</f>
        <v>D33</v>
      </c>
      <c r="AF1469" s="268">
        <f>IF(N1471&gt;N1468,1,0)</f>
        <v>0</v>
      </c>
      <c r="AG1469" s="268">
        <f t="shared" ref="AG1469" si="1037">IF(O1471&gt;O1468,1,0)</f>
        <v>0</v>
      </c>
      <c r="AH1469" s="268">
        <f t="shared" ref="AH1469" si="1038">IF(P1471&gt;P1468,1,0)</f>
        <v>0</v>
      </c>
      <c r="AI1469" s="268">
        <f t="shared" ref="AI1469" si="1039">IF(Q1471&gt;Q1468,1,0)</f>
        <v>0</v>
      </c>
      <c r="AJ1469" s="268">
        <f t="shared" ref="AJ1469" si="1040">IF(R1471&gt;R1468,1,0)</f>
        <v>0</v>
      </c>
      <c r="AK1469" s="268">
        <f t="shared" ref="AK1469" si="1041">IF(S1471&gt;S1468,1,0)</f>
        <v>0</v>
      </c>
      <c r="AL1469" s="268">
        <f t="shared" ref="AL1469" si="1042">IF(T1471&gt;T1468,1,0)</f>
        <v>0</v>
      </c>
      <c r="AN1469" s="268">
        <f t="shared" ref="AN1469" si="1043">IF(ISBLANK(N1471)=TRUE,"",IF(AF1469=1,N1468,-N1471))</f>
        <v>-8</v>
      </c>
      <c r="AO1469" s="268">
        <f t="shared" ref="AO1469" si="1044">IF(ISBLANK(O1471)=TRUE,"",IF(AG1469=1,O1468,-O1471))</f>
        <v>-4</v>
      </c>
      <c r="AP1469" s="268">
        <f t="shared" ref="AP1469" si="1045">IF(ISBLANK(P1471)=TRUE,"",IF(AH1469=1,P1468,-P1471))</f>
        <v>-6</v>
      </c>
      <c r="AQ1469" s="268" t="str">
        <f t="shared" ref="AQ1469" si="1046">IF(ISBLANK(Q1471)=TRUE,"",IF(AI1469=1,Q1468,-Q1471))</f>
        <v/>
      </c>
      <c r="AR1469" s="268" t="str">
        <f t="shared" ref="AR1469" si="1047">IF(ISBLANK(R1471)=TRUE,"",IF(AJ1469=1,R1468,-R1471))</f>
        <v/>
      </c>
      <c r="AS1469" s="268" t="str">
        <f t="shared" ref="AS1469" si="1048">IF(ISBLANK(S1471)=TRUE,"",IF(AK1469=1,S1468,-S1471))</f>
        <v/>
      </c>
      <c r="AT1469" s="268" t="str">
        <f t="shared" ref="AT1469" si="1049">IF(ISBLANK(T1471)=TRUE,"",IF(AL1469=1,T1468,-T1471))</f>
        <v/>
      </c>
      <c r="AZ1469" s="269" t="s">
        <v>18</v>
      </c>
      <c r="BA1469" s="269">
        <v>2</v>
      </c>
    </row>
    <row r="1470" spans="1:53" ht="39.950000000000003" customHeight="1">
      <c r="C1470" s="223"/>
      <c r="D1470" s="223"/>
      <c r="E1470" s="264" t="s">
        <v>35</v>
      </c>
      <c r="F1470" s="265" t="str">
        <f>VLOOKUP(CONCATENATE(A1466,1),'zoznam zapasov'!$A$6:$K$160,9,0)</f>
        <v>So</v>
      </c>
      <c r="G1470" s="263"/>
      <c r="H1470" s="263"/>
      <c r="I1470" s="263"/>
      <c r="J1470" s="263"/>
      <c r="K1470" s="263"/>
      <c r="L1470" s="263"/>
      <c r="M1470" s="263"/>
      <c r="N1470" s="263"/>
      <c r="O1470" s="263"/>
      <c r="P1470" s="263"/>
      <c r="Q1470" s="263"/>
      <c r="R1470" s="263"/>
      <c r="S1470" s="263"/>
      <c r="T1470" s="263"/>
      <c r="U1470" s="263"/>
      <c r="V1470" s="263"/>
      <c r="W1470" s="267"/>
      <c r="X1470" s="263"/>
      <c r="AZ1470" s="269" t="s">
        <v>38</v>
      </c>
      <c r="BA1470" s="269">
        <v>3</v>
      </c>
    </row>
    <row r="1471" spans="1:53" ht="39.950000000000003" customHeight="1">
      <c r="A1471" s="252" t="str">
        <f>CONCATENATE(A1466,2)</f>
        <v>D4P32</v>
      </c>
      <c r="B1471" s="252" t="str">
        <f>VLOOKUP(A1471,'KO KODY SPOLU'!$A$3:$B$189,2,0)</f>
        <v>SISKOVÁ / GORFOLOVÁ</v>
      </c>
      <c r="C1471" s="223"/>
      <c r="D1471" s="223"/>
      <c r="E1471" s="264" t="s">
        <v>28</v>
      </c>
      <c r="F1471" s="270" t="str">
        <f>VLOOKUP(CONCATENATE(A1466,1),'zoznam zapasov'!$A$6:$K$160,10,0)</f>
        <v>13.30</v>
      </c>
      <c r="G1471" s="508"/>
      <c r="H1471" s="319"/>
      <c r="I1471" s="504" t="str">
        <f>IF(ISERROR(VLOOKUP(B1471,vylosovanie!$N$75:$Q$191,3,0))=TRUE," ",VLOOKUP(B1471,vylosovanie!$N$75:$Q$191,3,0))</f>
        <v>SISKOVÁ Zuzana</v>
      </c>
      <c r="J1471" s="505"/>
      <c r="K1471" s="505"/>
      <c r="L1471" s="506"/>
      <c r="M1471" s="263"/>
      <c r="N1471" s="489">
        <v>8</v>
      </c>
      <c r="O1471" s="489">
        <v>4</v>
      </c>
      <c r="P1471" s="489">
        <v>6</v>
      </c>
      <c r="Q1471" s="489"/>
      <c r="R1471" s="489"/>
      <c r="S1471" s="491"/>
      <c r="T1471" s="491"/>
      <c r="U1471" s="263"/>
      <c r="V1471" s="493">
        <f>IF(SUM(AF1468:AL1469)=0,"",SUM(AF1469:AL1469))</f>
        <v>0</v>
      </c>
      <c r="W1471" s="267"/>
      <c r="X1471" s="263"/>
      <c r="AZ1471" s="269" t="s">
        <v>39</v>
      </c>
      <c r="BA1471" s="269">
        <v>4</v>
      </c>
    </row>
    <row r="1472" spans="1:53" ht="39.950000000000003" customHeight="1">
      <c r="C1472" s="223"/>
      <c r="D1472" s="223"/>
      <c r="E1472" s="271"/>
      <c r="F1472" s="272"/>
      <c r="G1472" s="509"/>
      <c r="H1472" s="319"/>
      <c r="I1472" s="504" t="str">
        <f>IF(ISERROR(VLOOKUP(B1471,vylosovanie!$N$75:$Q$191,3,0))=TRUE," ",VLOOKUP(B1471,vylosovanie!$N$75:$Q$191,4,0))</f>
        <v>GORFOLOVÁ Viktória</v>
      </c>
      <c r="J1472" s="505"/>
      <c r="K1472" s="505"/>
      <c r="L1472" s="506"/>
      <c r="M1472" s="263"/>
      <c r="N1472" s="490"/>
      <c r="O1472" s="490"/>
      <c r="P1472" s="490"/>
      <c r="Q1472" s="490"/>
      <c r="R1472" s="490"/>
      <c r="S1472" s="492"/>
      <c r="T1472" s="492"/>
      <c r="U1472" s="263"/>
      <c r="V1472" s="493"/>
      <c r="W1472" s="267"/>
      <c r="X1472" s="263"/>
      <c r="AZ1472" s="269" t="s">
        <v>40</v>
      </c>
      <c r="BA1472" s="269">
        <v>5</v>
      </c>
    </row>
    <row r="1473" spans="1:53" ht="39.950000000000003" customHeight="1">
      <c r="C1473" s="223"/>
      <c r="D1473" s="223"/>
      <c r="E1473" s="264" t="s">
        <v>66</v>
      </c>
      <c r="F1473" s="265" t="s">
        <v>95</v>
      </c>
      <c r="G1473" s="263"/>
      <c r="H1473" s="263"/>
      <c r="I1473" s="263"/>
      <c r="J1473" s="263"/>
      <c r="K1473" s="263"/>
      <c r="L1473" s="263"/>
      <c r="M1473" s="263"/>
      <c r="N1473" s="263"/>
      <c r="O1473" s="263"/>
      <c r="P1473" s="263"/>
      <c r="Q1473" s="263"/>
      <c r="R1473" s="263"/>
      <c r="S1473" s="263"/>
      <c r="T1473" s="263"/>
      <c r="U1473" s="263"/>
      <c r="V1473" s="263"/>
      <c r="W1473" s="267"/>
      <c r="X1473" s="263"/>
      <c r="AZ1473" s="269" t="s">
        <v>41</v>
      </c>
      <c r="BA1473" s="269">
        <v>6</v>
      </c>
    </row>
    <row r="1474" spans="1:53" ht="39.950000000000003" customHeight="1">
      <c r="C1474" s="223"/>
      <c r="D1474" s="223"/>
      <c r="E1474" s="271"/>
      <c r="F1474" s="272"/>
      <c r="G1474" s="263"/>
      <c r="H1474" s="263"/>
      <c r="I1474" s="263" t="s">
        <v>32</v>
      </c>
      <c r="J1474" s="263"/>
      <c r="K1474" s="263"/>
      <c r="L1474" s="263"/>
      <c r="M1474" s="263"/>
      <c r="N1474" s="273"/>
      <c r="O1474" s="266"/>
      <c r="P1474" s="266" t="s">
        <v>34</v>
      </c>
      <c r="Q1474" s="266"/>
      <c r="R1474" s="266"/>
      <c r="S1474" s="266"/>
      <c r="T1474" s="266"/>
      <c r="U1474" s="263"/>
      <c r="V1474" s="263"/>
      <c r="W1474" s="267"/>
      <c r="X1474" s="263"/>
      <c r="AZ1474" s="269" t="s">
        <v>42</v>
      </c>
      <c r="BA1474" s="269">
        <v>7</v>
      </c>
    </row>
    <row r="1475" spans="1:53" ht="39.950000000000003" customHeight="1">
      <c r="E1475" s="264" t="s">
        <v>26</v>
      </c>
      <c r="F1475" s="265" t="s">
        <v>128</v>
      </c>
      <c r="G1475" s="263"/>
      <c r="H1475" s="263"/>
      <c r="I1475" s="486"/>
      <c r="J1475" s="486"/>
      <c r="K1475" s="486"/>
      <c r="L1475" s="486"/>
      <c r="M1475" s="263"/>
      <c r="N1475" s="483" t="str">
        <f>IF(V1468&gt;V1471,I1468,IF(V1471&gt;V1468,I1471,""))</f>
        <v>ŠVAJDLENKOVÁ Laura</v>
      </c>
      <c r="O1475" s="494"/>
      <c r="P1475" s="494"/>
      <c r="Q1475" s="494"/>
      <c r="R1475" s="494"/>
      <c r="S1475" s="495"/>
      <c r="T1475" s="263"/>
      <c r="U1475" s="263"/>
      <c r="V1475" s="263"/>
      <c r="W1475" s="267"/>
      <c r="X1475" s="263"/>
      <c r="AZ1475" s="269" t="s">
        <v>43</v>
      </c>
      <c r="BA1475" s="269">
        <v>8</v>
      </c>
    </row>
    <row r="1476" spans="1:53" ht="39.950000000000003" customHeight="1">
      <c r="E1476" s="271"/>
      <c r="F1476" s="272"/>
      <c r="G1476" s="263"/>
      <c r="H1476" s="263"/>
      <c r="I1476" s="486"/>
      <c r="J1476" s="486"/>
      <c r="K1476" s="486"/>
      <c r="L1476" s="486"/>
      <c r="M1476" s="263"/>
      <c r="N1476" s="483" t="str">
        <f>IF(V1468&gt;V1471,I1469,IF(V1471&gt;V1468,I1472,""))</f>
        <v>HURBANOVÁ Isabella</v>
      </c>
      <c r="O1476" s="494"/>
      <c r="P1476" s="494"/>
      <c r="Q1476" s="494"/>
      <c r="R1476" s="494"/>
      <c r="S1476" s="495"/>
      <c r="T1476" s="263"/>
      <c r="U1476" s="263"/>
      <c r="V1476" s="263"/>
      <c r="W1476" s="267"/>
      <c r="X1476" s="263"/>
    </row>
    <row r="1477" spans="1:53" ht="39.950000000000003" customHeight="1">
      <c r="E1477" s="264" t="s">
        <v>27</v>
      </c>
      <c r="F1477" s="274" t="s">
        <v>163</v>
      </c>
      <c r="G1477" s="263"/>
      <c r="H1477" s="263"/>
      <c r="I1477" s="263"/>
      <c r="J1477" s="263"/>
      <c r="K1477" s="263"/>
      <c r="L1477" s="263"/>
      <c r="M1477" s="263"/>
      <c r="N1477" s="263"/>
      <c r="O1477" s="263"/>
      <c r="P1477" s="263"/>
      <c r="Q1477" s="263"/>
      <c r="R1477" s="263"/>
      <c r="S1477" s="263"/>
      <c r="T1477" s="263"/>
      <c r="U1477" s="263"/>
      <c r="V1477" s="263"/>
      <c r="W1477" s="267"/>
      <c r="X1477" s="263"/>
    </row>
    <row r="1478" spans="1:53" ht="39.950000000000003" customHeight="1">
      <c r="E1478" s="271"/>
      <c r="F1478" s="272"/>
      <c r="G1478" s="263"/>
      <c r="H1478" s="263" t="s">
        <v>33</v>
      </c>
      <c r="I1478" s="263"/>
      <c r="J1478" s="263"/>
      <c r="K1478" s="263"/>
      <c r="L1478" s="263"/>
      <c r="M1478" s="263"/>
      <c r="N1478" s="263"/>
      <c r="O1478" s="263"/>
      <c r="P1478" s="263"/>
      <c r="Q1478" s="263"/>
      <c r="R1478" s="263"/>
      <c r="S1478" s="263"/>
      <c r="T1478" s="263"/>
      <c r="U1478" s="263"/>
      <c r="V1478" s="263"/>
      <c r="W1478" s="267"/>
      <c r="X1478" s="263"/>
    </row>
    <row r="1479" spans="1:53" ht="39.950000000000003" customHeight="1">
      <c r="E1479" s="271"/>
      <c r="F1479" s="272"/>
      <c r="G1479" s="263"/>
      <c r="H1479" s="263"/>
      <c r="I1479" s="263"/>
      <c r="J1479" s="263"/>
      <c r="K1479" s="263"/>
      <c r="L1479" s="263"/>
      <c r="M1479" s="263"/>
      <c r="N1479" s="263"/>
      <c r="O1479" s="263"/>
      <c r="P1479" s="263"/>
      <c r="Q1479" s="263"/>
      <c r="R1479" s="263"/>
      <c r="S1479" s="263"/>
      <c r="T1479" s="263"/>
      <c r="U1479" s="263"/>
      <c r="V1479" s="263"/>
      <c r="W1479" s="267"/>
      <c r="X1479" s="263"/>
    </row>
    <row r="1480" spans="1:53" ht="39.950000000000003" customHeight="1">
      <c r="E1480" s="271"/>
      <c r="F1480" s="272"/>
      <c r="G1480" s="263"/>
      <c r="H1480" s="263"/>
      <c r="I1480" s="496" t="str">
        <f>I1468</f>
        <v>ŠVAJDLENKOVÁ Laura</v>
      </c>
      <c r="J1480" s="496"/>
      <c r="K1480" s="496"/>
      <c r="L1480" s="496"/>
      <c r="M1480" s="263"/>
      <c r="N1480" s="263"/>
      <c r="P1480" s="496" t="str">
        <f>I1471</f>
        <v>SISKOVÁ Zuzana</v>
      </c>
      <c r="Q1480" s="496"/>
      <c r="R1480" s="496"/>
      <c r="S1480" s="496"/>
      <c r="T1480" s="497"/>
      <c r="U1480" s="497"/>
      <c r="V1480" s="263"/>
      <c r="W1480" s="267"/>
      <c r="X1480" s="263"/>
    </row>
    <row r="1481" spans="1:53" ht="39.950000000000003" customHeight="1">
      <c r="E1481" s="271"/>
      <c r="F1481" s="272"/>
      <c r="G1481" s="263"/>
      <c r="H1481" s="263"/>
      <c r="I1481" s="496" t="str">
        <f>I1469</f>
        <v>HURBANOVÁ Isabella</v>
      </c>
      <c r="J1481" s="496"/>
      <c r="K1481" s="496"/>
      <c r="L1481" s="496"/>
      <c r="M1481" s="263"/>
      <c r="N1481" s="263"/>
      <c r="O1481" s="263"/>
      <c r="P1481" s="496" t="str">
        <f>I1472</f>
        <v>GORFOLOVÁ Viktória</v>
      </c>
      <c r="Q1481" s="496"/>
      <c r="R1481" s="496"/>
      <c r="S1481" s="496"/>
      <c r="T1481" s="497"/>
      <c r="U1481" s="497"/>
      <c r="V1481" s="263"/>
      <c r="W1481" s="267"/>
      <c r="X1481" s="263"/>
    </row>
    <row r="1482" spans="1:53" ht="69.95" customHeight="1">
      <c r="E1482" s="264"/>
      <c r="F1482" s="265"/>
      <c r="G1482" s="263"/>
      <c r="H1482" s="275" t="s">
        <v>36</v>
      </c>
      <c r="I1482" s="483"/>
      <c r="J1482" s="484"/>
      <c r="K1482" s="484"/>
      <c r="L1482" s="485"/>
      <c r="M1482" s="263"/>
      <c r="N1482" s="263"/>
      <c r="O1482" s="275" t="s">
        <v>36</v>
      </c>
      <c r="P1482" s="486"/>
      <c r="Q1482" s="486"/>
      <c r="R1482" s="486"/>
      <c r="S1482" s="486"/>
      <c r="T1482" s="486"/>
      <c r="U1482" s="486"/>
      <c r="V1482" s="263"/>
      <c r="W1482" s="267"/>
      <c r="X1482" s="263"/>
    </row>
    <row r="1483" spans="1:53" ht="69.95" customHeight="1">
      <c r="E1483" s="264"/>
      <c r="F1483" s="265"/>
      <c r="G1483" s="263"/>
      <c r="H1483" s="275" t="s">
        <v>37</v>
      </c>
      <c r="I1483" s="486"/>
      <c r="J1483" s="486"/>
      <c r="K1483" s="486"/>
      <c r="L1483" s="486"/>
      <c r="M1483" s="263"/>
      <c r="N1483" s="263"/>
      <c r="O1483" s="275" t="s">
        <v>37</v>
      </c>
      <c r="P1483" s="486"/>
      <c r="Q1483" s="486"/>
      <c r="R1483" s="486"/>
      <c r="S1483" s="486"/>
      <c r="T1483" s="486"/>
      <c r="U1483" s="486"/>
      <c r="V1483" s="263"/>
      <c r="W1483" s="267"/>
      <c r="X1483" s="263"/>
    </row>
    <row r="1484" spans="1:53" ht="69.95" customHeight="1">
      <c r="E1484" s="264"/>
      <c r="F1484" s="265"/>
      <c r="G1484" s="263"/>
      <c r="H1484" s="275" t="s">
        <v>37</v>
      </c>
      <c r="I1484" s="486"/>
      <c r="J1484" s="486"/>
      <c r="K1484" s="486"/>
      <c r="L1484" s="486"/>
      <c r="M1484" s="263"/>
      <c r="N1484" s="263"/>
      <c r="O1484" s="275" t="s">
        <v>37</v>
      </c>
      <c r="P1484" s="486"/>
      <c r="Q1484" s="486"/>
      <c r="R1484" s="486"/>
      <c r="S1484" s="486"/>
      <c r="T1484" s="486"/>
      <c r="U1484" s="486"/>
      <c r="V1484" s="263"/>
      <c r="W1484" s="267"/>
      <c r="X1484" s="263"/>
    </row>
    <row r="1485" spans="1:53" ht="39.950000000000003" customHeight="1" thickBot="1">
      <c r="E1485" s="276"/>
      <c r="F1485" s="277"/>
      <c r="G1485" s="278"/>
      <c r="H1485" s="278"/>
      <c r="I1485" s="278"/>
      <c r="J1485" s="278"/>
      <c r="K1485" s="278"/>
      <c r="L1485" s="278"/>
      <c r="M1485" s="278"/>
      <c r="N1485" s="278"/>
      <c r="O1485" s="278"/>
      <c r="P1485" s="278"/>
      <c r="Q1485" s="278"/>
      <c r="R1485" s="278"/>
      <c r="S1485" s="278"/>
      <c r="T1485" s="279"/>
      <c r="U1485" s="279"/>
      <c r="V1485" s="279"/>
      <c r="W1485" s="280"/>
      <c r="X1485" s="263"/>
    </row>
    <row r="1486" spans="1:53" ht="62.25" thickBot="1"/>
    <row r="1487" spans="1:53" ht="39.950000000000003" customHeight="1">
      <c r="A1487" s="252" t="str">
        <f>CONCATENATE(F1494,F1496,F1498)</f>
        <v>D4P6</v>
      </c>
      <c r="C1487" s="223"/>
      <c r="D1487" s="223"/>
      <c r="E1487" s="259" t="s">
        <v>70</v>
      </c>
      <c r="F1487" s="260">
        <f>VLOOKUP(CONCATENATE(A1487,1),'zoznam zapasov'!$A$6:$K$160,3,0)</f>
        <v>75</v>
      </c>
      <c r="G1487" s="261"/>
      <c r="H1487" s="322" t="s">
        <v>501</v>
      </c>
      <c r="I1487" s="261"/>
      <c r="J1487" s="261"/>
      <c r="K1487" s="261"/>
      <c r="L1487" s="261"/>
      <c r="M1487" s="261"/>
      <c r="N1487" s="261"/>
      <c r="O1487" s="261"/>
      <c r="P1487" s="261"/>
      <c r="Q1487" s="261"/>
      <c r="R1487" s="261"/>
      <c r="S1487" s="261"/>
      <c r="T1487" s="261"/>
      <c r="U1487" s="261"/>
      <c r="V1487" s="261" t="s">
        <v>30</v>
      </c>
      <c r="W1487" s="262"/>
      <c r="X1487" s="263"/>
      <c r="Y1487" s="253" t="str">
        <f>A1489</f>
        <v>D4P61</v>
      </c>
      <c r="Z1487" s="258" t="str">
        <f>CONCATENATE(V1489,":",V1492)</f>
        <v>3:1</v>
      </c>
      <c r="AA1487" s="255" t="str">
        <f>IF(V1489&gt;V1492,B1489,IF(V1492&gt;V1489,B1492,""))</f>
        <v>VIŠŇOVSKÁ / LEDAJOVÁ</v>
      </c>
      <c r="AB1487" s="255" t="str">
        <f>IF(V1489&gt;V1492,AV1487,IF(V1492&gt;V1489,AV1488,""))</f>
        <v xml:space="preserve">3:1 ( 8,-7,8,6,,, ) </v>
      </c>
      <c r="AC1487" s="255" t="str">
        <f>CONCATENATE("Tbl.: ",F1489,"   H: ",F1492,"   D: ",F1491)</f>
        <v>Tbl.: 6   H: 13.30   D: So</v>
      </c>
      <c r="AE1487" s="253" t="s">
        <v>11</v>
      </c>
      <c r="AV1487" s="256" t="str">
        <f>CONCATENATE(V1489,":",V1492, " ( ",AN1489,",",AO1489,",",AP1489,",",AQ1489,",",AR1489,",",AS1489,",",AT1489," ) ")</f>
        <v xml:space="preserve">3:1 ( 8,-7,8,6,,, ) </v>
      </c>
    </row>
    <row r="1488" spans="1:53" ht="39.950000000000003" customHeight="1">
      <c r="C1488" s="223"/>
      <c r="D1488" s="223"/>
      <c r="E1488" s="264"/>
      <c r="F1488" s="265"/>
      <c r="G1488" s="321" t="s">
        <v>500</v>
      </c>
      <c r="H1488" s="323" t="s">
        <v>502</v>
      </c>
      <c r="I1488" s="263"/>
      <c r="J1488" s="263"/>
      <c r="K1488" s="263"/>
      <c r="L1488" s="263"/>
      <c r="M1488" s="263"/>
      <c r="N1488" s="266">
        <v>1</v>
      </c>
      <c r="O1488" s="266">
        <v>2</v>
      </c>
      <c r="P1488" s="266">
        <v>3</v>
      </c>
      <c r="Q1488" s="266">
        <v>4</v>
      </c>
      <c r="R1488" s="266">
        <v>5</v>
      </c>
      <c r="S1488" s="266">
        <v>6</v>
      </c>
      <c r="T1488" s="266">
        <v>7</v>
      </c>
      <c r="U1488" s="263"/>
      <c r="V1488" s="266" t="s">
        <v>31</v>
      </c>
      <c r="W1488" s="267"/>
      <c r="X1488" s="263"/>
      <c r="AE1488" s="253" t="s">
        <v>68</v>
      </c>
      <c r="AV1488" s="256" t="str">
        <f>CONCATENATE(V1492,":",V1489, " ( ",AN1490,",",AO1490,",",AP1490,",",AQ1490,",",AR1490,",",AS1490,",",AT1490," ) ")</f>
        <v xml:space="preserve">1:3 ( -8,7,-8,-6,,, ) </v>
      </c>
    </row>
    <row r="1489" spans="1:53" ht="39.950000000000003" customHeight="1">
      <c r="A1489" s="252" t="str">
        <f>CONCATENATE(A1487,1)</f>
        <v>D4P61</v>
      </c>
      <c r="B1489" s="252" t="str">
        <f>VLOOKUP(A1489,'KO KODY SPOLU'!$A$3:$B$189,2,0)</f>
        <v>VIŠŇOVSKÁ / LEDAJOVÁ</v>
      </c>
      <c r="C1489" s="223"/>
      <c r="D1489" s="223"/>
      <c r="E1489" s="264" t="s">
        <v>29</v>
      </c>
      <c r="F1489" s="265">
        <f>VLOOKUP(CONCATENATE(A1487,1),'zoznam zapasov'!$A$6:$K$160,11,0)</f>
        <v>6</v>
      </c>
      <c r="G1489" s="508"/>
      <c r="H1489" s="319"/>
      <c r="I1489" s="487" t="str">
        <f>IF(ISERROR(VLOOKUP(B1489,vylosovanie!$N$75:$Q$191,3,0))=TRUE," ",VLOOKUP(B1489,vylosovanie!$N$75:$Q$191,3,0))</f>
        <v>VIŠŇOVSKÁ Nina</v>
      </c>
      <c r="J1489" s="488"/>
      <c r="K1489" s="488"/>
      <c r="L1489" s="488"/>
      <c r="M1489" s="263"/>
      <c r="N1489" s="489">
        <v>11</v>
      </c>
      <c r="O1489" s="489">
        <v>7</v>
      </c>
      <c r="P1489" s="489">
        <v>11</v>
      </c>
      <c r="Q1489" s="489">
        <v>11</v>
      </c>
      <c r="R1489" s="489"/>
      <c r="S1489" s="491"/>
      <c r="T1489" s="491"/>
      <c r="U1489" s="263"/>
      <c r="V1489" s="493">
        <f>IF(SUM(AF1489:AL1490)=0,"",SUM(AF1489:AL1489))</f>
        <v>3</v>
      </c>
      <c r="W1489" s="267"/>
      <c r="X1489" s="263"/>
      <c r="AE1489" s="253" t="str">
        <f>VLOOKUP(I1489,vylosovanie!$F$8:$L$190,7,0)</f>
        <v>D72</v>
      </c>
      <c r="AF1489" s="268">
        <f>IF(N1489&gt;N1492,1,0)</f>
        <v>1</v>
      </c>
      <c r="AG1489" s="268">
        <f t="shared" ref="AG1489" si="1050">IF(O1489&gt;O1492,1,0)</f>
        <v>0</v>
      </c>
      <c r="AH1489" s="268">
        <f t="shared" ref="AH1489" si="1051">IF(P1489&gt;P1492,1,0)</f>
        <v>1</v>
      </c>
      <c r="AI1489" s="268">
        <f t="shared" ref="AI1489" si="1052">IF(Q1489&gt;Q1492,1,0)</f>
        <v>1</v>
      </c>
      <c r="AJ1489" s="268">
        <f t="shared" ref="AJ1489" si="1053">IF(R1489&gt;R1492,1,0)</f>
        <v>0</v>
      </c>
      <c r="AK1489" s="268">
        <f t="shared" ref="AK1489" si="1054">IF(S1489&gt;S1492,1,0)</f>
        <v>0</v>
      </c>
      <c r="AL1489" s="268">
        <f t="shared" ref="AL1489" si="1055">IF(T1489&gt;T1492,1,0)</f>
        <v>0</v>
      </c>
      <c r="AN1489" s="268">
        <f t="shared" ref="AN1489" si="1056">IF(ISBLANK(N1489)=TRUE,"",IF(AF1489=1,N1492,-N1489))</f>
        <v>8</v>
      </c>
      <c r="AO1489" s="268">
        <f t="shared" ref="AO1489" si="1057">IF(ISBLANK(O1489)=TRUE,"",IF(AG1489=1,O1492,-O1489))</f>
        <v>-7</v>
      </c>
      <c r="AP1489" s="268">
        <f t="shared" ref="AP1489" si="1058">IF(ISBLANK(P1489)=TRUE,"",IF(AH1489=1,P1492,-P1489))</f>
        <v>8</v>
      </c>
      <c r="AQ1489" s="268">
        <f t="shared" ref="AQ1489" si="1059">IF(ISBLANK(Q1489)=TRUE,"",IF(AI1489=1,Q1492,-Q1489))</f>
        <v>6</v>
      </c>
      <c r="AR1489" s="268" t="str">
        <f t="shared" ref="AR1489" si="1060">IF(ISBLANK(R1489)=TRUE,"",IF(AJ1489=1,R1492,-R1489))</f>
        <v/>
      </c>
      <c r="AS1489" s="268" t="str">
        <f t="shared" ref="AS1489" si="1061">IF(ISBLANK(S1489)=TRUE,"",IF(AK1489=1,S1492,-S1489))</f>
        <v/>
      </c>
      <c r="AT1489" s="268" t="str">
        <f t="shared" ref="AT1489" si="1062">IF(ISBLANK(T1489)=TRUE,"",IF(AL1489=1,T1492,-T1489))</f>
        <v/>
      </c>
      <c r="AZ1489" s="269" t="s">
        <v>12</v>
      </c>
      <c r="BA1489" s="269">
        <v>1</v>
      </c>
    </row>
    <row r="1490" spans="1:53" ht="39.950000000000003" customHeight="1">
      <c r="C1490" s="223"/>
      <c r="D1490" s="223"/>
      <c r="E1490" s="264"/>
      <c r="F1490" s="265"/>
      <c r="G1490" s="509"/>
      <c r="H1490" s="319"/>
      <c r="I1490" s="487" t="str">
        <f>IF(ISERROR(VLOOKUP(B1489,vylosovanie!$N$75:$Q$191,3,0))=TRUE," ",VLOOKUP(B1489,vylosovanie!$N$75:$Q$191,4,0))</f>
        <v>LEDAJOVÁ Martina</v>
      </c>
      <c r="J1490" s="488"/>
      <c r="K1490" s="488"/>
      <c r="L1490" s="488"/>
      <c r="M1490" s="263"/>
      <c r="N1490" s="490"/>
      <c r="O1490" s="490"/>
      <c r="P1490" s="490"/>
      <c r="Q1490" s="490"/>
      <c r="R1490" s="490"/>
      <c r="S1490" s="492"/>
      <c r="T1490" s="492"/>
      <c r="U1490" s="263"/>
      <c r="V1490" s="493"/>
      <c r="W1490" s="267"/>
      <c r="X1490" s="263"/>
      <c r="AE1490" s="253" t="str">
        <f>VLOOKUP(I1492,vylosovanie!$F$8:$L$190,7,0)</f>
        <v>D22</v>
      </c>
      <c r="AF1490" s="268">
        <f>IF(N1492&gt;N1489,1,0)</f>
        <v>0</v>
      </c>
      <c r="AG1490" s="268">
        <f t="shared" ref="AG1490" si="1063">IF(O1492&gt;O1489,1,0)</f>
        <v>1</v>
      </c>
      <c r="AH1490" s="268">
        <f t="shared" ref="AH1490" si="1064">IF(P1492&gt;P1489,1,0)</f>
        <v>0</v>
      </c>
      <c r="AI1490" s="268">
        <f t="shared" ref="AI1490" si="1065">IF(Q1492&gt;Q1489,1,0)</f>
        <v>0</v>
      </c>
      <c r="AJ1490" s="268">
        <f t="shared" ref="AJ1490" si="1066">IF(R1492&gt;R1489,1,0)</f>
        <v>0</v>
      </c>
      <c r="AK1490" s="268">
        <f t="shared" ref="AK1490" si="1067">IF(S1492&gt;S1489,1,0)</f>
        <v>0</v>
      </c>
      <c r="AL1490" s="268">
        <f t="shared" ref="AL1490" si="1068">IF(T1492&gt;T1489,1,0)</f>
        <v>0</v>
      </c>
      <c r="AN1490" s="268">
        <f t="shared" ref="AN1490" si="1069">IF(ISBLANK(N1492)=TRUE,"",IF(AF1490=1,N1489,-N1492))</f>
        <v>-8</v>
      </c>
      <c r="AO1490" s="268">
        <f t="shared" ref="AO1490" si="1070">IF(ISBLANK(O1492)=TRUE,"",IF(AG1490=1,O1489,-O1492))</f>
        <v>7</v>
      </c>
      <c r="AP1490" s="268">
        <f t="shared" ref="AP1490" si="1071">IF(ISBLANK(P1492)=TRUE,"",IF(AH1490=1,P1489,-P1492))</f>
        <v>-8</v>
      </c>
      <c r="AQ1490" s="268">
        <f t="shared" ref="AQ1490" si="1072">IF(ISBLANK(Q1492)=TRUE,"",IF(AI1490=1,Q1489,-Q1492))</f>
        <v>-6</v>
      </c>
      <c r="AR1490" s="268" t="str">
        <f t="shared" ref="AR1490" si="1073">IF(ISBLANK(R1492)=TRUE,"",IF(AJ1490=1,R1489,-R1492))</f>
        <v/>
      </c>
      <c r="AS1490" s="268" t="str">
        <f t="shared" ref="AS1490" si="1074">IF(ISBLANK(S1492)=TRUE,"",IF(AK1490=1,S1489,-S1492))</f>
        <v/>
      </c>
      <c r="AT1490" s="268" t="str">
        <f t="shared" ref="AT1490" si="1075">IF(ISBLANK(T1492)=TRUE,"",IF(AL1490=1,T1489,-T1492))</f>
        <v/>
      </c>
      <c r="AZ1490" s="269" t="s">
        <v>18</v>
      </c>
      <c r="BA1490" s="269">
        <v>2</v>
      </c>
    </row>
    <row r="1491" spans="1:53" ht="39.950000000000003" customHeight="1">
      <c r="C1491" s="223"/>
      <c r="D1491" s="223"/>
      <c r="E1491" s="264" t="s">
        <v>35</v>
      </c>
      <c r="F1491" s="265" t="str">
        <f>VLOOKUP(CONCATENATE(A1487,1),'zoznam zapasov'!$A$6:$K$160,9,0)</f>
        <v>So</v>
      </c>
      <c r="G1491" s="263"/>
      <c r="H1491" s="263"/>
      <c r="I1491" s="263"/>
      <c r="J1491" s="263"/>
      <c r="K1491" s="263"/>
      <c r="L1491" s="263"/>
      <c r="M1491" s="263"/>
      <c r="N1491" s="263"/>
      <c r="O1491" s="263"/>
      <c r="P1491" s="263"/>
      <c r="Q1491" s="263"/>
      <c r="R1491" s="263"/>
      <c r="S1491" s="263"/>
      <c r="T1491" s="263"/>
      <c r="U1491" s="263"/>
      <c r="V1491" s="263"/>
      <c r="W1491" s="267"/>
      <c r="X1491" s="263"/>
      <c r="AZ1491" s="269" t="s">
        <v>38</v>
      </c>
      <c r="BA1491" s="269">
        <v>3</v>
      </c>
    </row>
    <row r="1492" spans="1:53" ht="39.950000000000003" customHeight="1">
      <c r="A1492" s="252" t="str">
        <f>CONCATENATE(A1487,2)</f>
        <v>D4P62</v>
      </c>
      <c r="B1492" s="252" t="str">
        <f>VLOOKUP(A1492,'KO KODY SPOLU'!$A$3:$B$189,2,0)</f>
        <v>MIKULOVÁ / DZUROVÁ</v>
      </c>
      <c r="C1492" s="223"/>
      <c r="D1492" s="223"/>
      <c r="E1492" s="264" t="s">
        <v>28</v>
      </c>
      <c r="F1492" s="270" t="str">
        <f>VLOOKUP(CONCATENATE(A1487,1),'zoznam zapasov'!$A$6:$K$160,10,0)</f>
        <v>13.30</v>
      </c>
      <c r="G1492" s="508"/>
      <c r="H1492" s="319"/>
      <c r="I1492" s="487" t="str">
        <f>IF(ISERROR(VLOOKUP(B1492,vylosovanie!$N$75:$Q$191,3,0))=TRUE," ",VLOOKUP(B1492,vylosovanie!$N$75:$Q$191,3,0))</f>
        <v>MIKULOVÁ Terézia</v>
      </c>
      <c r="J1492" s="488"/>
      <c r="K1492" s="488"/>
      <c r="L1492" s="488"/>
      <c r="M1492" s="263"/>
      <c r="N1492" s="489">
        <v>8</v>
      </c>
      <c r="O1492" s="489">
        <v>11</v>
      </c>
      <c r="P1492" s="489">
        <v>8</v>
      </c>
      <c r="Q1492" s="489">
        <v>6</v>
      </c>
      <c r="R1492" s="489"/>
      <c r="S1492" s="491"/>
      <c r="T1492" s="491"/>
      <c r="U1492" s="263"/>
      <c r="V1492" s="493">
        <f>IF(SUM(AF1489:AL1490)=0,"",SUM(AF1490:AL1490))</f>
        <v>1</v>
      </c>
      <c r="W1492" s="267"/>
      <c r="X1492" s="263"/>
      <c r="AZ1492" s="269" t="s">
        <v>39</v>
      </c>
      <c r="BA1492" s="269">
        <v>4</v>
      </c>
    </row>
    <row r="1493" spans="1:53" ht="39.950000000000003" customHeight="1">
      <c r="C1493" s="223"/>
      <c r="D1493" s="223"/>
      <c r="E1493" s="271"/>
      <c r="F1493" s="272"/>
      <c r="G1493" s="509"/>
      <c r="H1493" s="319"/>
      <c r="I1493" s="487" t="str">
        <f>IF(ISERROR(VLOOKUP(B1492,vylosovanie!$N$75:$Q$191,3,0))=TRUE," ",VLOOKUP(B1492,vylosovanie!$N$75:$Q$191,4,0))</f>
        <v>DZUROVÁ Lenka</v>
      </c>
      <c r="J1493" s="488"/>
      <c r="K1493" s="488"/>
      <c r="L1493" s="488"/>
      <c r="M1493" s="263"/>
      <c r="N1493" s="490"/>
      <c r="O1493" s="490"/>
      <c r="P1493" s="490"/>
      <c r="Q1493" s="490"/>
      <c r="R1493" s="490"/>
      <c r="S1493" s="492"/>
      <c r="T1493" s="492"/>
      <c r="U1493" s="263"/>
      <c r="V1493" s="493"/>
      <c r="W1493" s="267"/>
      <c r="X1493" s="263"/>
      <c r="AZ1493" s="269" t="s">
        <v>40</v>
      </c>
      <c r="BA1493" s="269">
        <v>5</v>
      </c>
    </row>
    <row r="1494" spans="1:53" ht="39.950000000000003" customHeight="1">
      <c r="C1494" s="223"/>
      <c r="D1494" s="223"/>
      <c r="E1494" s="264" t="s">
        <v>66</v>
      </c>
      <c r="F1494" s="265" t="s">
        <v>95</v>
      </c>
      <c r="G1494" s="263"/>
      <c r="H1494" s="263"/>
      <c r="I1494" s="263"/>
      <c r="J1494" s="263"/>
      <c r="K1494" s="263"/>
      <c r="L1494" s="263"/>
      <c r="M1494" s="263"/>
      <c r="N1494" s="263"/>
      <c r="O1494" s="263"/>
      <c r="P1494" s="263"/>
      <c r="Q1494" s="263"/>
      <c r="R1494" s="263"/>
      <c r="S1494" s="263"/>
      <c r="T1494" s="263"/>
      <c r="U1494" s="263"/>
      <c r="V1494" s="263"/>
      <c r="W1494" s="267"/>
      <c r="X1494" s="263"/>
      <c r="AZ1494" s="269" t="s">
        <v>41</v>
      </c>
      <c r="BA1494" s="269">
        <v>6</v>
      </c>
    </row>
    <row r="1495" spans="1:53" ht="39.950000000000003" customHeight="1">
      <c r="C1495" s="223"/>
      <c r="D1495" s="223"/>
      <c r="E1495" s="271"/>
      <c r="F1495" s="272"/>
      <c r="G1495" s="263"/>
      <c r="H1495" s="263"/>
      <c r="I1495" s="263" t="s">
        <v>32</v>
      </c>
      <c r="J1495" s="263"/>
      <c r="K1495" s="263"/>
      <c r="L1495" s="263"/>
      <c r="M1495" s="263"/>
      <c r="N1495" s="273"/>
      <c r="O1495" s="266"/>
      <c r="P1495" s="266" t="s">
        <v>34</v>
      </c>
      <c r="Q1495" s="266"/>
      <c r="R1495" s="266"/>
      <c r="S1495" s="266"/>
      <c r="T1495" s="266"/>
      <c r="U1495" s="263"/>
      <c r="V1495" s="263"/>
      <c r="W1495" s="267"/>
      <c r="X1495" s="263"/>
      <c r="AZ1495" s="269" t="s">
        <v>42</v>
      </c>
      <c r="BA1495" s="269">
        <v>7</v>
      </c>
    </row>
    <row r="1496" spans="1:53" ht="39.950000000000003" customHeight="1">
      <c r="E1496" s="264" t="s">
        <v>26</v>
      </c>
      <c r="F1496" s="265" t="s">
        <v>128</v>
      </c>
      <c r="G1496" s="263"/>
      <c r="H1496" s="263"/>
      <c r="I1496" s="486"/>
      <c r="J1496" s="486"/>
      <c r="K1496" s="486"/>
      <c r="L1496" s="486"/>
      <c r="M1496" s="263"/>
      <c r="N1496" s="483" t="str">
        <f>IF(V1489&gt;V1492,I1489,IF(V1492&gt;V1489,I1492,""))</f>
        <v>VIŠŇOVSKÁ Nina</v>
      </c>
      <c r="O1496" s="494"/>
      <c r="P1496" s="494"/>
      <c r="Q1496" s="494"/>
      <c r="R1496" s="494"/>
      <c r="S1496" s="495"/>
      <c r="T1496" s="263"/>
      <c r="U1496" s="263"/>
      <c r="V1496" s="263"/>
      <c r="W1496" s="267"/>
      <c r="X1496" s="263"/>
      <c r="AZ1496" s="269" t="s">
        <v>43</v>
      </c>
      <c r="BA1496" s="269">
        <v>8</v>
      </c>
    </row>
    <row r="1497" spans="1:53" ht="39.950000000000003" customHeight="1">
      <c r="E1497" s="271"/>
      <c r="F1497" s="272"/>
      <c r="G1497" s="263"/>
      <c r="H1497" s="263"/>
      <c r="I1497" s="486"/>
      <c r="J1497" s="486"/>
      <c r="K1497" s="486"/>
      <c r="L1497" s="486"/>
      <c r="M1497" s="263"/>
      <c r="N1497" s="483" t="str">
        <f>IF(V1489&gt;V1492,I1490,IF(V1492&gt;V1489,I1493,""))</f>
        <v>LEDAJOVÁ Martina</v>
      </c>
      <c r="O1497" s="494"/>
      <c r="P1497" s="494"/>
      <c r="Q1497" s="494"/>
      <c r="R1497" s="494"/>
      <c r="S1497" s="495"/>
      <c r="T1497" s="263"/>
      <c r="U1497" s="263"/>
      <c r="V1497" s="263"/>
      <c r="W1497" s="267"/>
      <c r="X1497" s="263"/>
    </row>
    <row r="1498" spans="1:53" ht="39.950000000000003" customHeight="1">
      <c r="E1498" s="264" t="s">
        <v>27</v>
      </c>
      <c r="F1498" s="274" t="s">
        <v>311</v>
      </c>
      <c r="G1498" s="263"/>
      <c r="H1498" s="263"/>
      <c r="I1498" s="263"/>
      <c r="J1498" s="263"/>
      <c r="K1498" s="263"/>
      <c r="L1498" s="263"/>
      <c r="M1498" s="263"/>
      <c r="N1498" s="263"/>
      <c r="O1498" s="263"/>
      <c r="P1498" s="263"/>
      <c r="Q1498" s="263"/>
      <c r="R1498" s="263"/>
      <c r="S1498" s="263"/>
      <c r="T1498" s="263"/>
      <c r="U1498" s="263"/>
      <c r="V1498" s="263"/>
      <c r="W1498" s="267"/>
      <c r="X1498" s="263"/>
    </row>
    <row r="1499" spans="1:53" ht="39.950000000000003" customHeight="1">
      <c r="E1499" s="271"/>
      <c r="F1499" s="272"/>
      <c r="G1499" s="263"/>
      <c r="H1499" s="263" t="s">
        <v>33</v>
      </c>
      <c r="I1499" s="263"/>
      <c r="J1499" s="263"/>
      <c r="K1499" s="263"/>
      <c r="L1499" s="263"/>
      <c r="M1499" s="263"/>
      <c r="N1499" s="263"/>
      <c r="O1499" s="263"/>
      <c r="P1499" s="263"/>
      <c r="Q1499" s="263"/>
      <c r="R1499" s="263"/>
      <c r="S1499" s="263"/>
      <c r="T1499" s="263"/>
      <c r="U1499" s="263"/>
      <c r="V1499" s="263"/>
      <c r="W1499" s="267"/>
      <c r="X1499" s="263"/>
    </row>
    <row r="1500" spans="1:53" ht="39.950000000000003" customHeight="1">
      <c r="E1500" s="271"/>
      <c r="F1500" s="272"/>
      <c r="G1500" s="263"/>
      <c r="H1500" s="263"/>
      <c r="I1500" s="263"/>
      <c r="J1500" s="263"/>
      <c r="K1500" s="263"/>
      <c r="L1500" s="263"/>
      <c r="M1500" s="263"/>
      <c r="N1500" s="263"/>
      <c r="O1500" s="263"/>
      <c r="P1500" s="263"/>
      <c r="Q1500" s="263"/>
      <c r="R1500" s="263"/>
      <c r="S1500" s="263"/>
      <c r="T1500" s="263"/>
      <c r="U1500" s="263"/>
      <c r="V1500" s="263"/>
      <c r="W1500" s="267"/>
      <c r="X1500" s="263"/>
    </row>
    <row r="1501" spans="1:53" ht="39.950000000000003" customHeight="1">
      <c r="E1501" s="271"/>
      <c r="F1501" s="272"/>
      <c r="G1501" s="263"/>
      <c r="H1501" s="263"/>
      <c r="I1501" s="496" t="str">
        <f>I1489</f>
        <v>VIŠŇOVSKÁ Nina</v>
      </c>
      <c r="J1501" s="496"/>
      <c r="K1501" s="496"/>
      <c r="L1501" s="496"/>
      <c r="M1501" s="263"/>
      <c r="N1501" s="263"/>
      <c r="P1501" s="496" t="str">
        <f>I1492</f>
        <v>MIKULOVÁ Terézia</v>
      </c>
      <c r="Q1501" s="496"/>
      <c r="R1501" s="496"/>
      <c r="S1501" s="496"/>
      <c r="T1501" s="497"/>
      <c r="U1501" s="497"/>
      <c r="V1501" s="263"/>
      <c r="W1501" s="267"/>
      <c r="X1501" s="263"/>
    </row>
    <row r="1502" spans="1:53" ht="39.950000000000003" customHeight="1">
      <c r="E1502" s="271"/>
      <c r="F1502" s="272"/>
      <c r="G1502" s="263"/>
      <c r="H1502" s="263"/>
      <c r="I1502" s="496" t="str">
        <f>I1490</f>
        <v>LEDAJOVÁ Martina</v>
      </c>
      <c r="J1502" s="496"/>
      <c r="K1502" s="496"/>
      <c r="L1502" s="496"/>
      <c r="M1502" s="263"/>
      <c r="N1502" s="263"/>
      <c r="O1502" s="263"/>
      <c r="P1502" s="496" t="str">
        <f>I1493</f>
        <v>DZUROVÁ Lenka</v>
      </c>
      <c r="Q1502" s="496"/>
      <c r="R1502" s="496"/>
      <c r="S1502" s="496"/>
      <c r="T1502" s="497"/>
      <c r="U1502" s="497"/>
      <c r="V1502" s="263"/>
      <c r="W1502" s="267"/>
      <c r="X1502" s="263"/>
    </row>
    <row r="1503" spans="1:53" ht="69.95" customHeight="1">
      <c r="E1503" s="264"/>
      <c r="F1503" s="265"/>
      <c r="G1503" s="263"/>
      <c r="H1503" s="275" t="s">
        <v>36</v>
      </c>
      <c r="I1503" s="483"/>
      <c r="J1503" s="484"/>
      <c r="K1503" s="484"/>
      <c r="L1503" s="485"/>
      <c r="M1503" s="263"/>
      <c r="N1503" s="263"/>
      <c r="O1503" s="275" t="s">
        <v>36</v>
      </c>
      <c r="P1503" s="486"/>
      <c r="Q1503" s="486"/>
      <c r="R1503" s="486"/>
      <c r="S1503" s="486"/>
      <c r="T1503" s="486"/>
      <c r="U1503" s="486"/>
      <c r="V1503" s="263"/>
      <c r="W1503" s="267"/>
      <c r="X1503" s="263"/>
    </row>
    <row r="1504" spans="1:53" ht="69.95" customHeight="1">
      <c r="E1504" s="264"/>
      <c r="F1504" s="265"/>
      <c r="G1504" s="263"/>
      <c r="H1504" s="275" t="s">
        <v>37</v>
      </c>
      <c r="I1504" s="486"/>
      <c r="J1504" s="486"/>
      <c r="K1504" s="486"/>
      <c r="L1504" s="486"/>
      <c r="M1504" s="263"/>
      <c r="N1504" s="263"/>
      <c r="O1504" s="275" t="s">
        <v>37</v>
      </c>
      <c r="P1504" s="486"/>
      <c r="Q1504" s="486"/>
      <c r="R1504" s="486"/>
      <c r="S1504" s="486"/>
      <c r="T1504" s="486"/>
      <c r="U1504" s="486"/>
      <c r="V1504" s="263"/>
      <c r="W1504" s="267"/>
      <c r="X1504" s="263"/>
    </row>
    <row r="1505" spans="1:53" ht="69.95" customHeight="1">
      <c r="E1505" s="264"/>
      <c r="F1505" s="265"/>
      <c r="G1505" s="263"/>
      <c r="H1505" s="275" t="s">
        <v>37</v>
      </c>
      <c r="I1505" s="486"/>
      <c r="J1505" s="486"/>
      <c r="K1505" s="486"/>
      <c r="L1505" s="486"/>
      <c r="M1505" s="263"/>
      <c r="N1505" s="263"/>
      <c r="O1505" s="275" t="s">
        <v>37</v>
      </c>
      <c r="P1505" s="486"/>
      <c r="Q1505" s="486"/>
      <c r="R1505" s="486"/>
      <c r="S1505" s="486"/>
      <c r="T1505" s="486"/>
      <c r="U1505" s="486"/>
      <c r="V1505" s="263"/>
      <c r="W1505" s="267"/>
      <c r="X1505" s="263"/>
    </row>
    <row r="1506" spans="1:53" ht="39.950000000000003" customHeight="1" thickBot="1">
      <c r="E1506" s="276"/>
      <c r="F1506" s="277"/>
      <c r="G1506" s="278"/>
      <c r="H1506" s="278"/>
      <c r="I1506" s="278"/>
      <c r="J1506" s="278"/>
      <c r="K1506" s="278"/>
      <c r="L1506" s="278"/>
      <c r="M1506" s="278"/>
      <c r="N1506" s="278"/>
      <c r="O1506" s="278"/>
      <c r="P1506" s="278"/>
      <c r="Q1506" s="278"/>
      <c r="R1506" s="278"/>
      <c r="S1506" s="278"/>
      <c r="T1506" s="279"/>
      <c r="U1506" s="279"/>
      <c r="V1506" s="279"/>
      <c r="W1506" s="280"/>
      <c r="X1506" s="263"/>
    </row>
    <row r="1507" spans="1:53" ht="62.25" thickBot="1"/>
    <row r="1508" spans="1:53" ht="39.950000000000003" customHeight="1">
      <c r="A1508" s="252" t="str">
        <f>CONCATENATE(F1515,F1517,F1519)</f>
        <v>D4P7</v>
      </c>
      <c r="C1508" s="223"/>
      <c r="D1508" s="223"/>
      <c r="E1508" s="259" t="s">
        <v>70</v>
      </c>
      <c r="F1508" s="260">
        <f>VLOOKUP(CONCATENATE(A1508,1),'zoznam zapasov'!$A$6:$K$160,3,0)</f>
        <v>76</v>
      </c>
      <c r="G1508" s="261"/>
      <c r="H1508" s="322" t="s">
        <v>501</v>
      </c>
      <c r="I1508" s="261"/>
      <c r="J1508" s="261"/>
      <c r="K1508" s="261"/>
      <c r="L1508" s="261"/>
      <c r="M1508" s="261"/>
      <c r="N1508" s="261"/>
      <c r="O1508" s="261"/>
      <c r="P1508" s="261"/>
      <c r="Q1508" s="261"/>
      <c r="R1508" s="261"/>
      <c r="S1508" s="261"/>
      <c r="T1508" s="261"/>
      <c r="U1508" s="261"/>
      <c r="V1508" s="261" t="s">
        <v>30</v>
      </c>
      <c r="W1508" s="262"/>
      <c r="X1508" s="263"/>
      <c r="Y1508" s="253" t="str">
        <f>A1510</f>
        <v>D4P71</v>
      </c>
      <c r="Z1508" s="258" t="str">
        <f>CONCATENATE(V1510,":",V1513)</f>
        <v>3:1</v>
      </c>
      <c r="AA1508" s="255" t="str">
        <f>IF(V1510&gt;V1513,B1510,IF(V1513&gt;V1510,B1513,""))</f>
        <v>SLOBODNÍKOVÁ / LACENOVÁ</v>
      </c>
      <c r="AB1508" s="255" t="str">
        <f>IF(V1510&gt;V1513,AV1508,IF(V1513&gt;V1510,AV1509,""))</f>
        <v xml:space="preserve">3:1 ( -7,4,8,5,,, ) </v>
      </c>
      <c r="AC1508" s="255" t="str">
        <f>CONCATENATE("Tbl.: ",F1510,"   H: ",F1513,"   D: ",F1512)</f>
        <v>Tbl.: 8   H: 13.30   D: So</v>
      </c>
      <c r="AE1508" s="253" t="s">
        <v>11</v>
      </c>
      <c r="AV1508" s="256" t="str">
        <f>CONCATENATE(V1510,":",V1513, " ( ",AN1510,",",AO1510,",",AP1510,",",AQ1510,",",AR1510,",",AS1510,",",AT1510," ) ")</f>
        <v xml:space="preserve">3:1 ( -7,4,8,5,,, ) </v>
      </c>
    </row>
    <row r="1509" spans="1:53" ht="39.950000000000003" customHeight="1">
      <c r="C1509" s="223"/>
      <c r="D1509" s="223"/>
      <c r="E1509" s="264"/>
      <c r="F1509" s="265"/>
      <c r="G1509" s="321" t="s">
        <v>500</v>
      </c>
      <c r="H1509" s="323" t="s">
        <v>502</v>
      </c>
      <c r="I1509" s="263"/>
      <c r="J1509" s="263"/>
      <c r="K1509" s="263"/>
      <c r="L1509" s="263"/>
      <c r="M1509" s="263"/>
      <c r="N1509" s="266">
        <v>1</v>
      </c>
      <c r="O1509" s="266">
        <v>2</v>
      </c>
      <c r="P1509" s="266">
        <v>3</v>
      </c>
      <c r="Q1509" s="266">
        <v>4</v>
      </c>
      <c r="R1509" s="266">
        <v>5</v>
      </c>
      <c r="S1509" s="266">
        <v>6</v>
      </c>
      <c r="T1509" s="266">
        <v>7</v>
      </c>
      <c r="U1509" s="263"/>
      <c r="V1509" s="266" t="s">
        <v>31</v>
      </c>
      <c r="W1509" s="267"/>
      <c r="X1509" s="263"/>
      <c r="AE1509" s="253" t="s">
        <v>68</v>
      </c>
      <c r="AV1509" s="256" t="str">
        <f>CONCATENATE(V1513,":",V1510, " ( ",AN1511,",",AO1511,",",AP1511,",",AQ1511,",",AR1511,",",AS1511,",",AT1511," ) ")</f>
        <v xml:space="preserve">1:3 ( 7,-4,-8,-5,,, ) </v>
      </c>
    </row>
    <row r="1510" spans="1:53" ht="39.950000000000003" customHeight="1">
      <c r="A1510" s="252" t="str">
        <f>CONCATENATE(A1508,1)</f>
        <v>D4P71</v>
      </c>
      <c r="B1510" s="252" t="str">
        <f>VLOOKUP(A1510,'KO KODY SPOLU'!$A$3:$B$189,2,0)</f>
        <v>SLOBODNÍKOVÁ / LACENOVÁ</v>
      </c>
      <c r="C1510" s="223"/>
      <c r="D1510" s="223"/>
      <c r="E1510" s="264" t="s">
        <v>29</v>
      </c>
      <c r="F1510" s="265">
        <f>VLOOKUP(CONCATENATE(A1508,1),'zoznam zapasov'!$A$6:$K$160,11,0)</f>
        <v>8</v>
      </c>
      <c r="G1510" s="508"/>
      <c r="H1510" s="319"/>
      <c r="I1510" s="487" t="str">
        <f>IF(ISERROR(VLOOKUP(B1510,vylosovanie!$N$75:$Q$191,3,0))=TRUE," ",VLOOKUP(B1510,vylosovanie!$N$75:$Q$191,3,0))</f>
        <v>SLOBODNÍKOVÁ Hana</v>
      </c>
      <c r="J1510" s="488"/>
      <c r="K1510" s="488"/>
      <c r="L1510" s="488"/>
      <c r="M1510" s="263"/>
      <c r="N1510" s="489">
        <v>7</v>
      </c>
      <c r="O1510" s="489">
        <v>11</v>
      </c>
      <c r="P1510" s="489">
        <v>11</v>
      </c>
      <c r="Q1510" s="489">
        <v>11</v>
      </c>
      <c r="R1510" s="489"/>
      <c r="S1510" s="491"/>
      <c r="T1510" s="491"/>
      <c r="U1510" s="263"/>
      <c r="V1510" s="493">
        <f>IF(SUM(AF1510:AL1511)=0,"",SUM(AF1510:AL1510))</f>
        <v>3</v>
      </c>
      <c r="W1510" s="267"/>
      <c r="X1510" s="263"/>
      <c r="AE1510" s="253" t="str">
        <f>VLOOKUP(I1510,vylosovanie!$F$8:$L$190,7,0)</f>
        <v>D52</v>
      </c>
      <c r="AF1510" s="268">
        <f>IF(N1510&gt;N1513,1,0)</f>
        <v>0</v>
      </c>
      <c r="AG1510" s="268">
        <f t="shared" ref="AG1510" si="1076">IF(O1510&gt;O1513,1,0)</f>
        <v>1</v>
      </c>
      <c r="AH1510" s="268">
        <f t="shared" ref="AH1510" si="1077">IF(P1510&gt;P1513,1,0)</f>
        <v>1</v>
      </c>
      <c r="AI1510" s="268">
        <f t="shared" ref="AI1510" si="1078">IF(Q1510&gt;Q1513,1,0)</f>
        <v>1</v>
      </c>
      <c r="AJ1510" s="268">
        <f t="shared" ref="AJ1510" si="1079">IF(R1510&gt;R1513,1,0)</f>
        <v>0</v>
      </c>
      <c r="AK1510" s="268">
        <f t="shared" ref="AK1510" si="1080">IF(S1510&gt;S1513,1,0)</f>
        <v>0</v>
      </c>
      <c r="AL1510" s="268">
        <f t="shared" ref="AL1510" si="1081">IF(T1510&gt;T1513,1,0)</f>
        <v>0</v>
      </c>
      <c r="AN1510" s="268">
        <f t="shared" ref="AN1510" si="1082">IF(ISBLANK(N1510)=TRUE,"",IF(AF1510=1,N1513,-N1510))</f>
        <v>-7</v>
      </c>
      <c r="AO1510" s="268">
        <f t="shared" ref="AO1510" si="1083">IF(ISBLANK(O1510)=TRUE,"",IF(AG1510=1,O1513,-O1510))</f>
        <v>4</v>
      </c>
      <c r="AP1510" s="268">
        <f t="shared" ref="AP1510" si="1084">IF(ISBLANK(P1510)=TRUE,"",IF(AH1510=1,P1513,-P1510))</f>
        <v>8</v>
      </c>
      <c r="AQ1510" s="268">
        <f t="shared" ref="AQ1510" si="1085">IF(ISBLANK(Q1510)=TRUE,"",IF(AI1510=1,Q1513,-Q1510))</f>
        <v>5</v>
      </c>
      <c r="AR1510" s="268" t="str">
        <f t="shared" ref="AR1510" si="1086">IF(ISBLANK(R1510)=TRUE,"",IF(AJ1510=1,R1513,-R1510))</f>
        <v/>
      </c>
      <c r="AS1510" s="268" t="str">
        <f t="shared" ref="AS1510" si="1087">IF(ISBLANK(S1510)=TRUE,"",IF(AK1510=1,S1513,-S1510))</f>
        <v/>
      </c>
      <c r="AT1510" s="268" t="str">
        <f t="shared" ref="AT1510" si="1088">IF(ISBLANK(T1510)=TRUE,"",IF(AL1510=1,T1513,-T1510))</f>
        <v/>
      </c>
      <c r="AZ1510" s="269" t="s">
        <v>12</v>
      </c>
      <c r="BA1510" s="269">
        <v>1</v>
      </c>
    </row>
    <row r="1511" spans="1:53" ht="39.950000000000003" customHeight="1">
      <c r="C1511" s="223"/>
      <c r="D1511" s="223"/>
      <c r="E1511" s="264"/>
      <c r="F1511" s="265"/>
      <c r="G1511" s="509"/>
      <c r="H1511" s="319"/>
      <c r="I1511" s="487" t="str">
        <f>IF(ISERROR(VLOOKUP(B1510,vylosovanie!$N$75:$Q$191,3,0))=TRUE," ",VLOOKUP(B1510,vylosovanie!$N$75:$Q$191,4,0))</f>
        <v>LACENOVÁ Renáta</v>
      </c>
      <c r="J1511" s="488"/>
      <c r="K1511" s="488"/>
      <c r="L1511" s="488"/>
      <c r="M1511" s="263"/>
      <c r="N1511" s="490"/>
      <c r="O1511" s="490"/>
      <c r="P1511" s="490"/>
      <c r="Q1511" s="490"/>
      <c r="R1511" s="490"/>
      <c r="S1511" s="492"/>
      <c r="T1511" s="492"/>
      <c r="U1511" s="263"/>
      <c r="V1511" s="493"/>
      <c r="W1511" s="267"/>
      <c r="X1511" s="263"/>
      <c r="AE1511" s="253" t="str">
        <f>VLOOKUP(I1513,vylosovanie!$F$8:$L$190,7,0)</f>
        <v>D23</v>
      </c>
      <c r="AF1511" s="268">
        <f>IF(N1513&gt;N1510,1,0)</f>
        <v>1</v>
      </c>
      <c r="AG1511" s="268">
        <f t="shared" ref="AG1511" si="1089">IF(O1513&gt;O1510,1,0)</f>
        <v>0</v>
      </c>
      <c r="AH1511" s="268">
        <f t="shared" ref="AH1511" si="1090">IF(P1513&gt;P1510,1,0)</f>
        <v>0</v>
      </c>
      <c r="AI1511" s="268">
        <f t="shared" ref="AI1511" si="1091">IF(Q1513&gt;Q1510,1,0)</f>
        <v>0</v>
      </c>
      <c r="AJ1511" s="268">
        <f t="shared" ref="AJ1511" si="1092">IF(R1513&gt;R1510,1,0)</f>
        <v>0</v>
      </c>
      <c r="AK1511" s="268">
        <f t="shared" ref="AK1511" si="1093">IF(S1513&gt;S1510,1,0)</f>
        <v>0</v>
      </c>
      <c r="AL1511" s="268">
        <f t="shared" ref="AL1511" si="1094">IF(T1513&gt;T1510,1,0)</f>
        <v>0</v>
      </c>
      <c r="AN1511" s="268">
        <f t="shared" ref="AN1511" si="1095">IF(ISBLANK(N1513)=TRUE,"",IF(AF1511=1,N1510,-N1513))</f>
        <v>7</v>
      </c>
      <c r="AO1511" s="268">
        <f t="shared" ref="AO1511" si="1096">IF(ISBLANK(O1513)=TRUE,"",IF(AG1511=1,O1510,-O1513))</f>
        <v>-4</v>
      </c>
      <c r="AP1511" s="268">
        <f t="shared" ref="AP1511" si="1097">IF(ISBLANK(P1513)=TRUE,"",IF(AH1511=1,P1510,-P1513))</f>
        <v>-8</v>
      </c>
      <c r="AQ1511" s="268">
        <f t="shared" ref="AQ1511" si="1098">IF(ISBLANK(Q1513)=TRUE,"",IF(AI1511=1,Q1510,-Q1513))</f>
        <v>-5</v>
      </c>
      <c r="AR1511" s="268" t="str">
        <f t="shared" ref="AR1511" si="1099">IF(ISBLANK(R1513)=TRUE,"",IF(AJ1511=1,R1510,-R1513))</f>
        <v/>
      </c>
      <c r="AS1511" s="268" t="str">
        <f t="shared" ref="AS1511" si="1100">IF(ISBLANK(S1513)=TRUE,"",IF(AK1511=1,S1510,-S1513))</f>
        <v/>
      </c>
      <c r="AT1511" s="268" t="str">
        <f t="shared" ref="AT1511" si="1101">IF(ISBLANK(T1513)=TRUE,"",IF(AL1511=1,T1510,-T1513))</f>
        <v/>
      </c>
      <c r="AZ1511" s="269" t="s">
        <v>18</v>
      </c>
      <c r="BA1511" s="269">
        <v>2</v>
      </c>
    </row>
    <row r="1512" spans="1:53" ht="39.950000000000003" customHeight="1">
      <c r="C1512" s="223"/>
      <c r="D1512" s="223"/>
      <c r="E1512" s="264" t="s">
        <v>35</v>
      </c>
      <c r="F1512" s="265" t="str">
        <f>VLOOKUP(CONCATENATE(A1508,1),'zoznam zapasov'!$A$6:$K$160,9,0)</f>
        <v>So</v>
      </c>
      <c r="G1512" s="263"/>
      <c r="H1512" s="263"/>
      <c r="I1512" s="263"/>
      <c r="J1512" s="263"/>
      <c r="K1512" s="263"/>
      <c r="L1512" s="263"/>
      <c r="M1512" s="263"/>
      <c r="N1512" s="263"/>
      <c r="O1512" s="263"/>
      <c r="P1512" s="263"/>
      <c r="Q1512" s="263"/>
      <c r="R1512" s="263"/>
      <c r="S1512" s="263"/>
      <c r="T1512" s="263"/>
      <c r="U1512" s="263"/>
      <c r="V1512" s="263"/>
      <c r="W1512" s="267"/>
      <c r="X1512" s="263"/>
      <c r="AZ1512" s="269" t="s">
        <v>38</v>
      </c>
      <c r="BA1512" s="269">
        <v>3</v>
      </c>
    </row>
    <row r="1513" spans="1:53" ht="39.950000000000003" customHeight="1">
      <c r="A1513" s="252" t="str">
        <f>CONCATENATE(A1508,2)</f>
        <v>D4P72</v>
      </c>
      <c r="B1513" s="252" t="str">
        <f>VLOOKUP(A1513,'KO KODY SPOLU'!$A$3:$B$189,2,0)</f>
        <v>GALČÍKOVÁ / VOJTASOVA</v>
      </c>
      <c r="C1513" s="223"/>
      <c r="D1513" s="223"/>
      <c r="E1513" s="264" t="s">
        <v>28</v>
      </c>
      <c r="F1513" s="270" t="str">
        <f>VLOOKUP(CONCATENATE(A1508,1),'zoznam zapasov'!$A$6:$K$160,10,0)</f>
        <v>13.30</v>
      </c>
      <c r="G1513" s="508"/>
      <c r="H1513" s="319"/>
      <c r="I1513" s="487" t="str">
        <f>IF(ISERROR(VLOOKUP(B1513,vylosovanie!$N$75:$Q$191,3,0))=TRUE," ",VLOOKUP(B1513,vylosovanie!$N$75:$Q$191,3,0))</f>
        <v>GALČÍKOVÁ Sára</v>
      </c>
      <c r="J1513" s="488"/>
      <c r="K1513" s="488"/>
      <c r="L1513" s="488"/>
      <c r="M1513" s="263"/>
      <c r="N1513" s="489">
        <v>11</v>
      </c>
      <c r="O1513" s="489">
        <v>4</v>
      </c>
      <c r="P1513" s="489">
        <v>8</v>
      </c>
      <c r="Q1513" s="489">
        <v>5</v>
      </c>
      <c r="R1513" s="489"/>
      <c r="S1513" s="491"/>
      <c r="T1513" s="491"/>
      <c r="U1513" s="263"/>
      <c r="V1513" s="493">
        <f>IF(SUM(AF1510:AL1511)=0,"",SUM(AF1511:AL1511))</f>
        <v>1</v>
      </c>
      <c r="W1513" s="267"/>
      <c r="X1513" s="263"/>
      <c r="AZ1513" s="269" t="s">
        <v>39</v>
      </c>
      <c r="BA1513" s="269">
        <v>4</v>
      </c>
    </row>
    <row r="1514" spans="1:53" ht="39.950000000000003" customHeight="1">
      <c r="C1514" s="223"/>
      <c r="D1514" s="223"/>
      <c r="E1514" s="271"/>
      <c r="F1514" s="272"/>
      <c r="G1514" s="509"/>
      <c r="H1514" s="319"/>
      <c r="I1514" s="487" t="str">
        <f>IF(ISERROR(VLOOKUP(B1513,vylosovanie!$N$75:$Q$191,3,0))=TRUE," ",VLOOKUP(B1513,vylosovanie!$N$75:$Q$191,4,0))</f>
        <v>VOJTASOVA Patrícia</v>
      </c>
      <c r="J1514" s="488"/>
      <c r="K1514" s="488"/>
      <c r="L1514" s="488"/>
      <c r="M1514" s="263"/>
      <c r="N1514" s="490"/>
      <c r="O1514" s="490"/>
      <c r="P1514" s="490"/>
      <c r="Q1514" s="490"/>
      <c r="R1514" s="490"/>
      <c r="S1514" s="492"/>
      <c r="T1514" s="492"/>
      <c r="U1514" s="263"/>
      <c r="V1514" s="493"/>
      <c r="W1514" s="267"/>
      <c r="X1514" s="263"/>
      <c r="AZ1514" s="269" t="s">
        <v>40</v>
      </c>
      <c r="BA1514" s="269">
        <v>5</v>
      </c>
    </row>
    <row r="1515" spans="1:53" ht="39.950000000000003" customHeight="1">
      <c r="C1515" s="223"/>
      <c r="D1515" s="223"/>
      <c r="E1515" s="264" t="s">
        <v>66</v>
      </c>
      <c r="F1515" s="265" t="s">
        <v>95</v>
      </c>
      <c r="G1515" s="263"/>
      <c r="H1515" s="263"/>
      <c r="I1515" s="263"/>
      <c r="J1515" s="263"/>
      <c r="K1515" s="263"/>
      <c r="L1515" s="263"/>
      <c r="M1515" s="263"/>
      <c r="N1515" s="263"/>
      <c r="O1515" s="263"/>
      <c r="P1515" s="263"/>
      <c r="Q1515" s="263"/>
      <c r="R1515" s="263"/>
      <c r="S1515" s="263"/>
      <c r="T1515" s="263"/>
      <c r="U1515" s="263"/>
      <c r="V1515" s="263"/>
      <c r="W1515" s="267"/>
      <c r="X1515" s="263"/>
      <c r="AZ1515" s="269" t="s">
        <v>41</v>
      </c>
      <c r="BA1515" s="269">
        <v>6</v>
      </c>
    </row>
    <row r="1516" spans="1:53" ht="39.950000000000003" customHeight="1">
      <c r="C1516" s="223"/>
      <c r="D1516" s="223"/>
      <c r="E1516" s="271"/>
      <c r="F1516" s="272"/>
      <c r="G1516" s="263"/>
      <c r="H1516" s="263"/>
      <c r="I1516" s="263" t="s">
        <v>32</v>
      </c>
      <c r="J1516" s="263"/>
      <c r="K1516" s="263"/>
      <c r="L1516" s="263"/>
      <c r="M1516" s="263"/>
      <c r="N1516" s="273"/>
      <c r="O1516" s="266"/>
      <c r="P1516" s="266" t="s">
        <v>34</v>
      </c>
      <c r="Q1516" s="266"/>
      <c r="R1516" s="266"/>
      <c r="S1516" s="266"/>
      <c r="T1516" s="266"/>
      <c r="U1516" s="263"/>
      <c r="V1516" s="263"/>
      <c r="W1516" s="267"/>
      <c r="X1516" s="263"/>
      <c r="AZ1516" s="269" t="s">
        <v>42</v>
      </c>
      <c r="BA1516" s="269">
        <v>7</v>
      </c>
    </row>
    <row r="1517" spans="1:53" ht="39.950000000000003" customHeight="1">
      <c r="E1517" s="264" t="s">
        <v>26</v>
      </c>
      <c r="F1517" s="265" t="s">
        <v>128</v>
      </c>
      <c r="G1517" s="263"/>
      <c r="H1517" s="263"/>
      <c r="I1517" s="486"/>
      <c r="J1517" s="486"/>
      <c r="K1517" s="486"/>
      <c r="L1517" s="486"/>
      <c r="M1517" s="263"/>
      <c r="N1517" s="483" t="str">
        <f>IF(V1510&gt;V1513,I1510,IF(V1513&gt;V1510,I1513,""))</f>
        <v>SLOBODNÍKOVÁ Hana</v>
      </c>
      <c r="O1517" s="494"/>
      <c r="P1517" s="494"/>
      <c r="Q1517" s="494"/>
      <c r="R1517" s="494"/>
      <c r="S1517" s="495"/>
      <c r="T1517" s="263"/>
      <c r="U1517" s="263"/>
      <c r="V1517" s="263"/>
      <c r="W1517" s="267"/>
      <c r="X1517" s="263"/>
      <c r="AZ1517" s="269" t="s">
        <v>43</v>
      </c>
      <c r="BA1517" s="269">
        <v>8</v>
      </c>
    </row>
    <row r="1518" spans="1:53" ht="39.950000000000003" customHeight="1">
      <c r="E1518" s="271"/>
      <c r="F1518" s="272"/>
      <c r="G1518" s="263"/>
      <c r="H1518" s="263"/>
      <c r="I1518" s="486"/>
      <c r="J1518" s="486"/>
      <c r="K1518" s="486"/>
      <c r="L1518" s="486"/>
      <c r="M1518" s="263"/>
      <c r="N1518" s="483" t="str">
        <f>IF(V1510&gt;V1513,I1511,IF(V1513&gt;V1510,I1514,""))</f>
        <v>LACENOVÁ Renáta</v>
      </c>
      <c r="O1518" s="494"/>
      <c r="P1518" s="494"/>
      <c r="Q1518" s="494"/>
      <c r="R1518" s="494"/>
      <c r="S1518" s="495"/>
      <c r="T1518" s="263"/>
      <c r="U1518" s="263"/>
      <c r="V1518" s="263"/>
      <c r="W1518" s="267"/>
      <c r="X1518" s="263"/>
    </row>
    <row r="1519" spans="1:53" ht="39.950000000000003" customHeight="1">
      <c r="E1519" s="264" t="s">
        <v>27</v>
      </c>
      <c r="F1519" s="274" t="s">
        <v>312</v>
      </c>
      <c r="G1519" s="263"/>
      <c r="H1519" s="263"/>
      <c r="I1519" s="263"/>
      <c r="J1519" s="263"/>
      <c r="K1519" s="263"/>
      <c r="L1519" s="263"/>
      <c r="M1519" s="263"/>
      <c r="N1519" s="263"/>
      <c r="O1519" s="263"/>
      <c r="P1519" s="263"/>
      <c r="Q1519" s="263"/>
      <c r="R1519" s="263"/>
      <c r="S1519" s="263"/>
      <c r="T1519" s="263"/>
      <c r="U1519" s="263"/>
      <c r="V1519" s="263"/>
      <c r="W1519" s="267"/>
      <c r="X1519" s="263"/>
    </row>
    <row r="1520" spans="1:53" ht="39.950000000000003" customHeight="1">
      <c r="E1520" s="271"/>
      <c r="F1520" s="272"/>
      <c r="G1520" s="263"/>
      <c r="H1520" s="263" t="s">
        <v>33</v>
      </c>
      <c r="I1520" s="263"/>
      <c r="J1520" s="263"/>
      <c r="K1520" s="263"/>
      <c r="L1520" s="263"/>
      <c r="M1520" s="263"/>
      <c r="N1520" s="263"/>
      <c r="O1520" s="263"/>
      <c r="P1520" s="263"/>
      <c r="Q1520" s="263"/>
      <c r="R1520" s="263"/>
      <c r="S1520" s="263"/>
      <c r="T1520" s="263"/>
      <c r="U1520" s="263"/>
      <c r="V1520" s="263"/>
      <c r="W1520" s="267"/>
      <c r="X1520" s="263"/>
    </row>
    <row r="1521" spans="1:53" ht="39.950000000000003" customHeight="1">
      <c r="E1521" s="271"/>
      <c r="F1521" s="272"/>
      <c r="G1521" s="263"/>
      <c r="H1521" s="263"/>
      <c r="I1521" s="263"/>
      <c r="J1521" s="263"/>
      <c r="K1521" s="263"/>
      <c r="L1521" s="263"/>
      <c r="M1521" s="263"/>
      <c r="N1521" s="263"/>
      <c r="O1521" s="263"/>
      <c r="P1521" s="263"/>
      <c r="Q1521" s="263"/>
      <c r="R1521" s="263"/>
      <c r="S1521" s="263"/>
      <c r="T1521" s="263"/>
      <c r="U1521" s="263"/>
      <c r="V1521" s="263"/>
      <c r="W1521" s="267"/>
      <c r="X1521" s="263"/>
    </row>
    <row r="1522" spans="1:53" ht="39.950000000000003" customHeight="1">
      <c r="E1522" s="271"/>
      <c r="F1522" s="272"/>
      <c r="G1522" s="263"/>
      <c r="H1522" s="263"/>
      <c r="I1522" s="496" t="str">
        <f>I1510</f>
        <v>SLOBODNÍKOVÁ Hana</v>
      </c>
      <c r="J1522" s="496"/>
      <c r="K1522" s="496"/>
      <c r="L1522" s="496"/>
      <c r="M1522" s="263"/>
      <c r="N1522" s="263"/>
      <c r="P1522" s="496" t="str">
        <f>I1513</f>
        <v>GALČÍKOVÁ Sára</v>
      </c>
      <c r="Q1522" s="496"/>
      <c r="R1522" s="496"/>
      <c r="S1522" s="496"/>
      <c r="T1522" s="497"/>
      <c r="U1522" s="497"/>
      <c r="V1522" s="263"/>
      <c r="W1522" s="267"/>
      <c r="X1522" s="263"/>
    </row>
    <row r="1523" spans="1:53" ht="39.950000000000003" customHeight="1">
      <c r="E1523" s="271"/>
      <c r="F1523" s="272"/>
      <c r="G1523" s="263"/>
      <c r="H1523" s="263"/>
      <c r="I1523" s="496" t="str">
        <f>I1511</f>
        <v>LACENOVÁ Renáta</v>
      </c>
      <c r="J1523" s="496"/>
      <c r="K1523" s="496"/>
      <c r="L1523" s="496"/>
      <c r="M1523" s="263"/>
      <c r="N1523" s="263"/>
      <c r="O1523" s="263"/>
      <c r="P1523" s="496" t="str">
        <f>I1514</f>
        <v>VOJTASOVA Patrícia</v>
      </c>
      <c r="Q1523" s="496"/>
      <c r="R1523" s="496"/>
      <c r="S1523" s="496"/>
      <c r="T1523" s="497"/>
      <c r="U1523" s="497"/>
      <c r="V1523" s="263"/>
      <c r="W1523" s="267"/>
      <c r="X1523" s="263"/>
    </row>
    <row r="1524" spans="1:53" ht="69.95" customHeight="1">
      <c r="E1524" s="264"/>
      <c r="F1524" s="265"/>
      <c r="G1524" s="263"/>
      <c r="H1524" s="275" t="s">
        <v>36</v>
      </c>
      <c r="I1524" s="483"/>
      <c r="J1524" s="484"/>
      <c r="K1524" s="484"/>
      <c r="L1524" s="485"/>
      <c r="M1524" s="263"/>
      <c r="N1524" s="263"/>
      <c r="O1524" s="275" t="s">
        <v>36</v>
      </c>
      <c r="P1524" s="486"/>
      <c r="Q1524" s="486"/>
      <c r="R1524" s="486"/>
      <c r="S1524" s="486"/>
      <c r="T1524" s="486"/>
      <c r="U1524" s="486"/>
      <c r="V1524" s="263"/>
      <c r="W1524" s="267"/>
      <c r="X1524" s="263"/>
    </row>
    <row r="1525" spans="1:53" ht="69.95" customHeight="1">
      <c r="E1525" s="264"/>
      <c r="F1525" s="265"/>
      <c r="G1525" s="263"/>
      <c r="H1525" s="275" t="s">
        <v>37</v>
      </c>
      <c r="I1525" s="486"/>
      <c r="J1525" s="486"/>
      <c r="K1525" s="486"/>
      <c r="L1525" s="486"/>
      <c r="M1525" s="263"/>
      <c r="N1525" s="263"/>
      <c r="O1525" s="275" t="s">
        <v>37</v>
      </c>
      <c r="P1525" s="486"/>
      <c r="Q1525" s="486"/>
      <c r="R1525" s="486"/>
      <c r="S1525" s="486"/>
      <c r="T1525" s="486"/>
      <c r="U1525" s="486"/>
      <c r="V1525" s="263"/>
      <c r="W1525" s="267"/>
      <c r="X1525" s="263"/>
    </row>
    <row r="1526" spans="1:53" ht="69.95" customHeight="1">
      <c r="E1526" s="264"/>
      <c r="F1526" s="265"/>
      <c r="G1526" s="263"/>
      <c r="H1526" s="275" t="s">
        <v>37</v>
      </c>
      <c r="I1526" s="486"/>
      <c r="J1526" s="486"/>
      <c r="K1526" s="486"/>
      <c r="L1526" s="486"/>
      <c r="M1526" s="263"/>
      <c r="N1526" s="263"/>
      <c r="O1526" s="275" t="s">
        <v>37</v>
      </c>
      <c r="P1526" s="486"/>
      <c r="Q1526" s="486"/>
      <c r="R1526" s="486"/>
      <c r="S1526" s="486"/>
      <c r="T1526" s="486"/>
      <c r="U1526" s="486"/>
      <c r="V1526" s="263"/>
      <c r="W1526" s="267"/>
      <c r="X1526" s="263"/>
    </row>
    <row r="1527" spans="1:53" ht="39.950000000000003" customHeight="1" thickBot="1">
      <c r="E1527" s="276"/>
      <c r="F1527" s="277"/>
      <c r="G1527" s="278"/>
      <c r="H1527" s="278"/>
      <c r="I1527" s="278"/>
      <c r="J1527" s="278"/>
      <c r="K1527" s="278"/>
      <c r="L1527" s="278"/>
      <c r="M1527" s="278"/>
      <c r="N1527" s="278"/>
      <c r="O1527" s="278"/>
      <c r="P1527" s="278"/>
      <c r="Q1527" s="278"/>
      <c r="R1527" s="278"/>
      <c r="S1527" s="278"/>
      <c r="T1527" s="279"/>
      <c r="U1527" s="279"/>
      <c r="V1527" s="279"/>
      <c r="W1527" s="280"/>
      <c r="X1527" s="263"/>
    </row>
    <row r="1528" spans="1:53" ht="62.25" thickBot="1"/>
    <row r="1529" spans="1:53" ht="39.950000000000003" customHeight="1">
      <c r="A1529" s="252" t="str">
        <f>CONCATENATE(F1536,F1538,F1540)</f>
        <v>CH4P1</v>
      </c>
      <c r="C1529" s="223"/>
      <c r="D1529" s="223"/>
      <c r="E1529" s="259" t="s">
        <v>70</v>
      </c>
      <c r="F1529" s="260">
        <f>VLOOKUP(CONCATENATE(A1529,1),'zoznam zapasov'!$A$6:$K$160,3,0)</f>
        <v>77</v>
      </c>
      <c r="G1529" s="261"/>
      <c r="H1529" s="322" t="s">
        <v>501</v>
      </c>
      <c r="I1529" s="261"/>
      <c r="J1529" s="261"/>
      <c r="K1529" s="261"/>
      <c r="L1529" s="261"/>
      <c r="M1529" s="261"/>
      <c r="N1529" s="261"/>
      <c r="O1529" s="261"/>
      <c r="P1529" s="261"/>
      <c r="Q1529" s="261"/>
      <c r="R1529" s="261"/>
      <c r="S1529" s="261"/>
      <c r="T1529" s="261"/>
      <c r="U1529" s="261"/>
      <c r="V1529" s="261" t="s">
        <v>30</v>
      </c>
      <c r="W1529" s="262"/>
      <c r="X1529" s="263"/>
      <c r="Y1529" s="253" t="str">
        <f>A1531</f>
        <v>CH4P11</v>
      </c>
      <c r="Z1529" s="258" t="str">
        <f>CONCATENATE(V1531,":",V1534)</f>
        <v>3:0</v>
      </c>
      <c r="AA1529" s="255" t="str">
        <f>IF(V1531&gt;V1534,B1531,IF(V1534&gt;V1531,B1534,""))</f>
        <v>DIKO / KYSEL</v>
      </c>
      <c r="AB1529" s="255" t="str">
        <f>IF(V1531&gt;V1534,AV1529,IF(V1534&gt;V1531,AV1530,""))</f>
        <v xml:space="preserve">3:0 ( 4,9,6,,,, ) </v>
      </c>
      <c r="AC1529" s="255" t="str">
        <f>CONCATENATE("Tbl.: ",F1531,"   H: ",F1534,"   D: ",F1533)</f>
        <v>Tbl.: 1   H: 13.55   D: So</v>
      </c>
      <c r="AE1529" s="253" t="s">
        <v>11</v>
      </c>
      <c r="AV1529" s="256" t="str">
        <f>CONCATENATE(V1531,":",V1534, " ( ",AN1531,",",AO1531,",",AP1531,",",AQ1531,",",AR1531,",",AS1531,",",AT1531," ) ")</f>
        <v xml:space="preserve">3:0 ( 4,9,6,,,, ) </v>
      </c>
    </row>
    <row r="1530" spans="1:53" ht="39.950000000000003" customHeight="1">
      <c r="C1530" s="223"/>
      <c r="D1530" s="223"/>
      <c r="E1530" s="264"/>
      <c r="F1530" s="265"/>
      <c r="G1530" s="321" t="s">
        <v>500</v>
      </c>
      <c r="H1530" s="323" t="s">
        <v>502</v>
      </c>
      <c r="I1530" s="263"/>
      <c r="J1530" s="263"/>
      <c r="K1530" s="263"/>
      <c r="L1530" s="263"/>
      <c r="M1530" s="263"/>
      <c r="N1530" s="266">
        <v>1</v>
      </c>
      <c r="O1530" s="266">
        <v>2</v>
      </c>
      <c r="P1530" s="266">
        <v>3</v>
      </c>
      <c r="Q1530" s="266">
        <v>4</v>
      </c>
      <c r="R1530" s="266">
        <v>5</v>
      </c>
      <c r="S1530" s="266">
        <v>6</v>
      </c>
      <c r="T1530" s="266">
        <v>7</v>
      </c>
      <c r="U1530" s="263"/>
      <c r="V1530" s="266" t="s">
        <v>31</v>
      </c>
      <c r="W1530" s="267"/>
      <c r="X1530" s="263"/>
      <c r="AE1530" s="253" t="s">
        <v>68</v>
      </c>
      <c r="AV1530" s="256" t="str">
        <f>CONCATENATE(V1534,":",V1531, " ( ",AN1532,",",AO1532,",",AP1532,",",AQ1532,",",AR1532,",",AS1532,",",AT1532," ) ")</f>
        <v xml:space="preserve">0:3 ( -4,-9,-6,,,, ) </v>
      </c>
    </row>
    <row r="1531" spans="1:53" ht="39.950000000000003" customHeight="1">
      <c r="A1531" s="252" t="str">
        <f>CONCATENATE(A1529,1)</f>
        <v>CH4P11</v>
      </c>
      <c r="B1531" s="252" t="str">
        <f>VLOOKUP(A1531,'KO KODY SPOLU'!$A$3:$B$189,2,0)</f>
        <v>DIKO / KYSEL</v>
      </c>
      <c r="C1531" s="223"/>
      <c r="D1531" s="223"/>
      <c r="E1531" s="264" t="s">
        <v>29</v>
      </c>
      <c r="F1531" s="265">
        <f>VLOOKUP(CONCATENATE(A1529,1),'zoznam zapasov'!$A$6:$K$160,11,0)</f>
        <v>1</v>
      </c>
      <c r="G1531" s="508"/>
      <c r="H1531" s="319"/>
      <c r="I1531" s="487" t="str">
        <f>IF(ISERROR(VLOOKUP(B1531,vylosovanie!$N$75:$Q$191,3,0))=TRUE," ",VLOOKUP(B1531,vylosovanie!$N$75:$Q$191,3,0))</f>
        <v>DIKO Dalibor</v>
      </c>
      <c r="J1531" s="488"/>
      <c r="K1531" s="488"/>
      <c r="L1531" s="488"/>
      <c r="M1531" s="263"/>
      <c r="N1531" s="489">
        <v>11</v>
      </c>
      <c r="O1531" s="489">
        <v>11</v>
      </c>
      <c r="P1531" s="489">
        <v>11</v>
      </c>
      <c r="Q1531" s="489"/>
      <c r="R1531" s="489"/>
      <c r="S1531" s="491"/>
      <c r="T1531" s="491"/>
      <c r="U1531" s="263"/>
      <c r="V1531" s="493">
        <f>IF(SUM(AF1531:AL1532)=0,"",SUM(AF1531:AL1531))</f>
        <v>3</v>
      </c>
      <c r="W1531" s="267"/>
      <c r="X1531" s="263"/>
      <c r="AE1531" s="253" t="str">
        <f>VLOOKUP(I1531,vylosovanie!$F$8:$L$190,7,0)</f>
        <v>CH11</v>
      </c>
      <c r="AF1531" s="268">
        <f>IF(N1531&gt;N1534,1,0)</f>
        <v>1</v>
      </c>
      <c r="AG1531" s="268">
        <f t="shared" ref="AG1531" si="1102">IF(O1531&gt;O1534,1,0)</f>
        <v>1</v>
      </c>
      <c r="AH1531" s="268">
        <f t="shared" ref="AH1531" si="1103">IF(P1531&gt;P1534,1,0)</f>
        <v>1</v>
      </c>
      <c r="AI1531" s="268">
        <f t="shared" ref="AI1531" si="1104">IF(Q1531&gt;Q1534,1,0)</f>
        <v>0</v>
      </c>
      <c r="AJ1531" s="268">
        <f t="shared" ref="AJ1531" si="1105">IF(R1531&gt;R1534,1,0)</f>
        <v>0</v>
      </c>
      <c r="AK1531" s="268">
        <f t="shared" ref="AK1531" si="1106">IF(S1531&gt;S1534,1,0)</f>
        <v>0</v>
      </c>
      <c r="AL1531" s="268">
        <f t="shared" ref="AL1531" si="1107">IF(T1531&gt;T1534,1,0)</f>
        <v>0</v>
      </c>
      <c r="AN1531" s="268">
        <f t="shared" ref="AN1531" si="1108">IF(ISBLANK(N1531)=TRUE,"",IF(AF1531=1,N1534,-N1531))</f>
        <v>4</v>
      </c>
      <c r="AO1531" s="268">
        <f t="shared" ref="AO1531" si="1109">IF(ISBLANK(O1531)=TRUE,"",IF(AG1531=1,O1534,-O1531))</f>
        <v>9</v>
      </c>
      <c r="AP1531" s="268">
        <f t="shared" ref="AP1531" si="1110">IF(ISBLANK(P1531)=TRUE,"",IF(AH1531=1,P1534,-P1531))</f>
        <v>6</v>
      </c>
      <c r="AQ1531" s="268" t="str">
        <f t="shared" ref="AQ1531" si="1111">IF(ISBLANK(Q1531)=TRUE,"",IF(AI1531=1,Q1534,-Q1531))</f>
        <v/>
      </c>
      <c r="AR1531" s="268" t="str">
        <f t="shared" ref="AR1531" si="1112">IF(ISBLANK(R1531)=TRUE,"",IF(AJ1531=1,R1534,-R1531))</f>
        <v/>
      </c>
      <c r="AS1531" s="268" t="str">
        <f t="shared" ref="AS1531" si="1113">IF(ISBLANK(S1531)=TRUE,"",IF(AK1531=1,S1534,-S1531))</f>
        <v/>
      </c>
      <c r="AT1531" s="268" t="str">
        <f t="shared" ref="AT1531" si="1114">IF(ISBLANK(T1531)=TRUE,"",IF(AL1531=1,T1534,-T1531))</f>
        <v/>
      </c>
      <c r="AZ1531" s="269" t="s">
        <v>12</v>
      </c>
      <c r="BA1531" s="269">
        <v>1</v>
      </c>
    </row>
    <row r="1532" spans="1:53" ht="39.950000000000003" customHeight="1">
      <c r="C1532" s="223"/>
      <c r="D1532" s="223"/>
      <c r="E1532" s="264"/>
      <c r="F1532" s="265"/>
      <c r="G1532" s="509"/>
      <c r="H1532" s="319"/>
      <c r="I1532" s="487" t="str">
        <f>IF(ISERROR(VLOOKUP(B1531,vylosovanie!$N$75:$Q$191,3,0))=TRUE," ",VLOOKUP(B1531,vylosovanie!$N$75:$Q$191,4,0))</f>
        <v>KYSEL Martin</v>
      </c>
      <c r="J1532" s="488"/>
      <c r="K1532" s="488"/>
      <c r="L1532" s="488"/>
      <c r="M1532" s="263"/>
      <c r="N1532" s="490"/>
      <c r="O1532" s="490"/>
      <c r="P1532" s="490"/>
      <c r="Q1532" s="490"/>
      <c r="R1532" s="490"/>
      <c r="S1532" s="492"/>
      <c r="T1532" s="492"/>
      <c r="U1532" s="263"/>
      <c r="V1532" s="493"/>
      <c r="W1532" s="267"/>
      <c r="X1532" s="263"/>
      <c r="AE1532" s="253" t="str">
        <f>VLOOKUP(I1534,vylosovanie!$F$8:$L$190,7,0)</f>
        <v>CH53</v>
      </c>
      <c r="AF1532" s="268">
        <f>IF(N1534&gt;N1531,1,0)</f>
        <v>0</v>
      </c>
      <c r="AG1532" s="268">
        <f t="shared" ref="AG1532" si="1115">IF(O1534&gt;O1531,1,0)</f>
        <v>0</v>
      </c>
      <c r="AH1532" s="268">
        <f t="shared" ref="AH1532" si="1116">IF(P1534&gt;P1531,1,0)</f>
        <v>0</v>
      </c>
      <c r="AI1532" s="268">
        <f t="shared" ref="AI1532" si="1117">IF(Q1534&gt;Q1531,1,0)</f>
        <v>0</v>
      </c>
      <c r="AJ1532" s="268">
        <f t="shared" ref="AJ1532" si="1118">IF(R1534&gt;R1531,1,0)</f>
        <v>0</v>
      </c>
      <c r="AK1532" s="268">
        <f t="shared" ref="AK1532" si="1119">IF(S1534&gt;S1531,1,0)</f>
        <v>0</v>
      </c>
      <c r="AL1532" s="268">
        <f t="shared" ref="AL1532" si="1120">IF(T1534&gt;T1531,1,0)</f>
        <v>0</v>
      </c>
      <c r="AN1532" s="268">
        <f t="shared" ref="AN1532" si="1121">IF(ISBLANK(N1534)=TRUE,"",IF(AF1532=1,N1531,-N1534))</f>
        <v>-4</v>
      </c>
      <c r="AO1532" s="268">
        <f t="shared" ref="AO1532" si="1122">IF(ISBLANK(O1534)=TRUE,"",IF(AG1532=1,O1531,-O1534))</f>
        <v>-9</v>
      </c>
      <c r="AP1532" s="268">
        <f t="shared" ref="AP1532" si="1123">IF(ISBLANK(P1534)=TRUE,"",IF(AH1532=1,P1531,-P1534))</f>
        <v>-6</v>
      </c>
      <c r="AQ1532" s="268" t="str">
        <f t="shared" ref="AQ1532" si="1124">IF(ISBLANK(Q1534)=TRUE,"",IF(AI1532=1,Q1531,-Q1534))</f>
        <v/>
      </c>
      <c r="AR1532" s="268" t="str">
        <f t="shared" ref="AR1532" si="1125">IF(ISBLANK(R1534)=TRUE,"",IF(AJ1532=1,R1531,-R1534))</f>
        <v/>
      </c>
      <c r="AS1532" s="268" t="str">
        <f t="shared" ref="AS1532" si="1126">IF(ISBLANK(S1534)=TRUE,"",IF(AK1532=1,S1531,-S1534))</f>
        <v/>
      </c>
      <c r="AT1532" s="268" t="str">
        <f t="shared" ref="AT1532" si="1127">IF(ISBLANK(T1534)=TRUE,"",IF(AL1532=1,T1531,-T1534))</f>
        <v/>
      </c>
      <c r="AZ1532" s="269" t="s">
        <v>18</v>
      </c>
      <c r="BA1532" s="269">
        <v>2</v>
      </c>
    </row>
    <row r="1533" spans="1:53" ht="39.950000000000003" customHeight="1">
      <c r="C1533" s="223"/>
      <c r="D1533" s="223"/>
      <c r="E1533" s="264" t="s">
        <v>35</v>
      </c>
      <c r="F1533" s="265" t="str">
        <f>VLOOKUP(CONCATENATE(A1529,1),'zoznam zapasov'!$A$6:$K$160,9,0)</f>
        <v>So</v>
      </c>
      <c r="G1533" s="263"/>
      <c r="H1533" s="263"/>
      <c r="I1533" s="263"/>
      <c r="J1533" s="263"/>
      <c r="K1533" s="263"/>
      <c r="L1533" s="263"/>
      <c r="M1533" s="263"/>
      <c r="N1533" s="263"/>
      <c r="O1533" s="263"/>
      <c r="P1533" s="263"/>
      <c r="Q1533" s="263"/>
      <c r="R1533" s="263"/>
      <c r="S1533" s="263"/>
      <c r="T1533" s="263"/>
      <c r="U1533" s="263"/>
      <c r="V1533" s="263"/>
      <c r="W1533" s="267"/>
      <c r="X1533" s="263"/>
      <c r="AZ1533" s="269" t="s">
        <v>38</v>
      </c>
      <c r="BA1533" s="269">
        <v>3</v>
      </c>
    </row>
    <row r="1534" spans="1:53" ht="39.950000000000003" customHeight="1">
      <c r="A1534" s="252" t="str">
        <f>CONCATENATE(A1529,2)</f>
        <v>CH4P12</v>
      </c>
      <c r="B1534" s="252" t="str">
        <f>VLOOKUP(A1534,'KO KODY SPOLU'!$A$3:$B$189,2,0)</f>
        <v>VICO / KLUČÁR</v>
      </c>
      <c r="C1534" s="223"/>
      <c r="D1534" s="223"/>
      <c r="E1534" s="264" t="s">
        <v>28</v>
      </c>
      <c r="F1534" s="270" t="str">
        <f>VLOOKUP(CONCATENATE(A1529,1),'zoznam zapasov'!$A$6:$K$160,10,0)</f>
        <v>13.55</v>
      </c>
      <c r="G1534" s="508"/>
      <c r="H1534" s="319"/>
      <c r="I1534" s="487" t="str">
        <f>IF(ISERROR(VLOOKUP(B1534,vylosovanie!$N$75:$Q$191,3,0))=TRUE," ",VLOOKUP(B1534,vylosovanie!$N$75:$Q$191,3,0))</f>
        <v>VICO Dávid</v>
      </c>
      <c r="J1534" s="488"/>
      <c r="K1534" s="488"/>
      <c r="L1534" s="488"/>
      <c r="M1534" s="263"/>
      <c r="N1534" s="489">
        <v>4</v>
      </c>
      <c r="O1534" s="489">
        <v>9</v>
      </c>
      <c r="P1534" s="489">
        <v>6</v>
      </c>
      <c r="Q1534" s="489"/>
      <c r="R1534" s="489"/>
      <c r="S1534" s="491"/>
      <c r="T1534" s="491"/>
      <c r="U1534" s="263"/>
      <c r="V1534" s="493">
        <f>IF(SUM(AF1531:AL1532)=0,"",SUM(AF1532:AL1532))</f>
        <v>0</v>
      </c>
      <c r="W1534" s="267"/>
      <c r="X1534" s="263"/>
      <c r="AZ1534" s="269" t="s">
        <v>39</v>
      </c>
      <c r="BA1534" s="269">
        <v>4</v>
      </c>
    </row>
    <row r="1535" spans="1:53" ht="39.950000000000003" customHeight="1">
      <c r="C1535" s="223"/>
      <c r="D1535" s="223"/>
      <c r="E1535" s="271"/>
      <c r="F1535" s="272"/>
      <c r="G1535" s="509"/>
      <c r="H1535" s="319"/>
      <c r="I1535" s="487" t="str">
        <f>IF(ISERROR(VLOOKUP(B1534,vylosovanie!$N$75:$Q$191,3,0))=TRUE," ",VLOOKUP(B1534,vylosovanie!$N$75:$Q$191,4,0))</f>
        <v>KLUČÁR Matej</v>
      </c>
      <c r="J1535" s="488"/>
      <c r="K1535" s="488"/>
      <c r="L1535" s="488"/>
      <c r="M1535" s="263"/>
      <c r="N1535" s="490"/>
      <c r="O1535" s="490"/>
      <c r="P1535" s="490"/>
      <c r="Q1535" s="490"/>
      <c r="R1535" s="490"/>
      <c r="S1535" s="492"/>
      <c r="T1535" s="492"/>
      <c r="U1535" s="263"/>
      <c r="V1535" s="493"/>
      <c r="W1535" s="267"/>
      <c r="X1535" s="263"/>
      <c r="AZ1535" s="269" t="s">
        <v>40</v>
      </c>
      <c r="BA1535" s="269">
        <v>5</v>
      </c>
    </row>
    <row r="1536" spans="1:53" ht="39.950000000000003" customHeight="1">
      <c r="C1536" s="223"/>
      <c r="D1536" s="223"/>
      <c r="E1536" s="264" t="s">
        <v>66</v>
      </c>
      <c r="F1536" s="265" t="s">
        <v>309</v>
      </c>
      <c r="G1536" s="263"/>
      <c r="H1536" s="263"/>
      <c r="I1536" s="263"/>
      <c r="J1536" s="263"/>
      <c r="K1536" s="263"/>
      <c r="L1536" s="263"/>
      <c r="M1536" s="263"/>
      <c r="N1536" s="263"/>
      <c r="O1536" s="263"/>
      <c r="P1536" s="263"/>
      <c r="Q1536" s="263"/>
      <c r="R1536" s="263"/>
      <c r="S1536" s="263"/>
      <c r="T1536" s="263"/>
      <c r="U1536" s="263"/>
      <c r="V1536" s="263"/>
      <c r="W1536" s="267"/>
      <c r="X1536" s="263"/>
      <c r="AZ1536" s="269" t="s">
        <v>41</v>
      </c>
      <c r="BA1536" s="269">
        <v>6</v>
      </c>
    </row>
    <row r="1537" spans="1:53" ht="39.950000000000003" customHeight="1">
      <c r="C1537" s="223"/>
      <c r="D1537" s="223"/>
      <c r="E1537" s="271"/>
      <c r="F1537" s="272"/>
      <c r="G1537" s="263"/>
      <c r="H1537" s="263"/>
      <c r="I1537" s="263" t="s">
        <v>32</v>
      </c>
      <c r="J1537" s="263"/>
      <c r="K1537" s="263"/>
      <c r="L1537" s="263"/>
      <c r="M1537" s="263"/>
      <c r="N1537" s="273"/>
      <c r="O1537" s="266"/>
      <c r="P1537" s="266" t="s">
        <v>34</v>
      </c>
      <c r="Q1537" s="266"/>
      <c r="R1537" s="266"/>
      <c r="S1537" s="266"/>
      <c r="T1537" s="266"/>
      <c r="U1537" s="263"/>
      <c r="V1537" s="263"/>
      <c r="W1537" s="267"/>
      <c r="X1537" s="263"/>
      <c r="AZ1537" s="269" t="s">
        <v>42</v>
      </c>
      <c r="BA1537" s="269">
        <v>7</v>
      </c>
    </row>
    <row r="1538" spans="1:53" ht="39.950000000000003" customHeight="1">
      <c r="E1538" s="264" t="s">
        <v>26</v>
      </c>
      <c r="F1538" s="265" t="s">
        <v>128</v>
      </c>
      <c r="G1538" s="263"/>
      <c r="H1538" s="263"/>
      <c r="I1538" s="486"/>
      <c r="J1538" s="486"/>
      <c r="K1538" s="486"/>
      <c r="L1538" s="486"/>
      <c r="M1538" s="263"/>
      <c r="N1538" s="483" t="str">
        <f>IF(V1531&gt;V1534,I1531,IF(V1534&gt;V1531,I1534,""))</f>
        <v>DIKO Dalibor</v>
      </c>
      <c r="O1538" s="494"/>
      <c r="P1538" s="494"/>
      <c r="Q1538" s="494"/>
      <c r="R1538" s="494"/>
      <c r="S1538" s="495"/>
      <c r="T1538" s="263"/>
      <c r="U1538" s="263"/>
      <c r="V1538" s="263"/>
      <c r="W1538" s="267"/>
      <c r="X1538" s="263"/>
      <c r="AZ1538" s="269" t="s">
        <v>43</v>
      </c>
      <c r="BA1538" s="269">
        <v>8</v>
      </c>
    </row>
    <row r="1539" spans="1:53" ht="39.950000000000003" customHeight="1">
      <c r="E1539" s="271"/>
      <c r="F1539" s="272"/>
      <c r="G1539" s="263"/>
      <c r="H1539" s="263"/>
      <c r="I1539" s="486"/>
      <c r="J1539" s="486"/>
      <c r="K1539" s="486"/>
      <c r="L1539" s="486"/>
      <c r="M1539" s="263"/>
      <c r="N1539" s="483" t="str">
        <f>IF(V1531&gt;V1534,I1532,IF(V1534&gt;V1531,I1535,""))</f>
        <v>KYSEL Martin</v>
      </c>
      <c r="O1539" s="494"/>
      <c r="P1539" s="494"/>
      <c r="Q1539" s="494"/>
      <c r="R1539" s="494"/>
      <c r="S1539" s="495"/>
      <c r="T1539" s="263"/>
      <c r="U1539" s="263"/>
      <c r="V1539" s="263"/>
      <c r="W1539" s="267"/>
      <c r="X1539" s="263"/>
    </row>
    <row r="1540" spans="1:53" ht="39.950000000000003" customHeight="1">
      <c r="E1540" s="264" t="s">
        <v>27</v>
      </c>
      <c r="F1540" s="274" t="s">
        <v>129</v>
      </c>
      <c r="G1540" s="263"/>
      <c r="H1540" s="263"/>
      <c r="I1540" s="263"/>
      <c r="J1540" s="263"/>
      <c r="K1540" s="263"/>
      <c r="L1540" s="263"/>
      <c r="M1540" s="263"/>
      <c r="N1540" s="263"/>
      <c r="O1540" s="263"/>
      <c r="P1540" s="263"/>
      <c r="Q1540" s="263"/>
      <c r="R1540" s="263"/>
      <c r="S1540" s="263"/>
      <c r="T1540" s="263"/>
      <c r="U1540" s="263"/>
      <c r="V1540" s="263"/>
      <c r="W1540" s="267"/>
      <c r="X1540" s="263"/>
    </row>
    <row r="1541" spans="1:53" ht="39.950000000000003" customHeight="1">
      <c r="E1541" s="271"/>
      <c r="F1541" s="272"/>
      <c r="G1541" s="263"/>
      <c r="H1541" s="263" t="s">
        <v>33</v>
      </c>
      <c r="I1541" s="263"/>
      <c r="J1541" s="263"/>
      <c r="K1541" s="263"/>
      <c r="L1541" s="263"/>
      <c r="M1541" s="263"/>
      <c r="N1541" s="263"/>
      <c r="O1541" s="263"/>
      <c r="P1541" s="263"/>
      <c r="Q1541" s="263"/>
      <c r="R1541" s="263"/>
      <c r="S1541" s="263"/>
      <c r="T1541" s="263"/>
      <c r="U1541" s="263"/>
      <c r="V1541" s="263"/>
      <c r="W1541" s="267"/>
      <c r="X1541" s="263"/>
    </row>
    <row r="1542" spans="1:53" ht="39.950000000000003" customHeight="1">
      <c r="E1542" s="271"/>
      <c r="F1542" s="272"/>
      <c r="G1542" s="263"/>
      <c r="H1542" s="263"/>
      <c r="I1542" s="263"/>
      <c r="J1542" s="263"/>
      <c r="K1542" s="263"/>
      <c r="L1542" s="263"/>
      <c r="M1542" s="263"/>
      <c r="N1542" s="263"/>
      <c r="O1542" s="263"/>
      <c r="P1542" s="263"/>
      <c r="Q1542" s="263"/>
      <c r="R1542" s="263"/>
      <c r="S1542" s="263"/>
      <c r="T1542" s="263"/>
      <c r="U1542" s="263"/>
      <c r="V1542" s="263"/>
      <c r="W1542" s="267"/>
      <c r="X1542" s="263"/>
    </row>
    <row r="1543" spans="1:53" ht="39.950000000000003" customHeight="1">
      <c r="E1543" s="271"/>
      <c r="F1543" s="272"/>
      <c r="G1543" s="263"/>
      <c r="H1543" s="263"/>
      <c r="I1543" s="496" t="str">
        <f>I1531</f>
        <v>DIKO Dalibor</v>
      </c>
      <c r="J1543" s="496"/>
      <c r="K1543" s="496"/>
      <c r="L1543" s="496"/>
      <c r="M1543" s="263"/>
      <c r="N1543" s="263"/>
      <c r="P1543" s="496" t="str">
        <f>I1534</f>
        <v>VICO Dávid</v>
      </c>
      <c r="Q1543" s="496"/>
      <c r="R1543" s="496"/>
      <c r="S1543" s="496"/>
      <c r="T1543" s="497"/>
      <c r="U1543" s="497"/>
      <c r="V1543" s="263"/>
      <c r="W1543" s="267"/>
      <c r="X1543" s="263"/>
    </row>
    <row r="1544" spans="1:53" ht="39.950000000000003" customHeight="1">
      <c r="E1544" s="271"/>
      <c r="F1544" s="272"/>
      <c r="G1544" s="263"/>
      <c r="H1544" s="263"/>
      <c r="I1544" s="496" t="str">
        <f>I1532</f>
        <v>KYSEL Martin</v>
      </c>
      <c r="J1544" s="496"/>
      <c r="K1544" s="496"/>
      <c r="L1544" s="496"/>
      <c r="M1544" s="263"/>
      <c r="N1544" s="263"/>
      <c r="O1544" s="263"/>
      <c r="P1544" s="496" t="str">
        <f>I1535</f>
        <v>KLUČÁR Matej</v>
      </c>
      <c r="Q1544" s="496"/>
      <c r="R1544" s="496"/>
      <c r="S1544" s="496"/>
      <c r="T1544" s="497"/>
      <c r="U1544" s="497"/>
      <c r="V1544" s="263"/>
      <c r="W1544" s="267"/>
      <c r="X1544" s="263"/>
    </row>
    <row r="1545" spans="1:53" ht="69.95" customHeight="1">
      <c r="E1545" s="264"/>
      <c r="F1545" s="265"/>
      <c r="G1545" s="263"/>
      <c r="H1545" s="275" t="s">
        <v>36</v>
      </c>
      <c r="I1545" s="483"/>
      <c r="J1545" s="484"/>
      <c r="K1545" s="484"/>
      <c r="L1545" s="485"/>
      <c r="M1545" s="263"/>
      <c r="N1545" s="263"/>
      <c r="O1545" s="275" t="s">
        <v>36</v>
      </c>
      <c r="P1545" s="486"/>
      <c r="Q1545" s="486"/>
      <c r="R1545" s="486"/>
      <c r="S1545" s="486"/>
      <c r="T1545" s="486"/>
      <c r="U1545" s="486"/>
      <c r="V1545" s="263"/>
      <c r="W1545" s="267"/>
      <c r="X1545" s="263"/>
    </row>
    <row r="1546" spans="1:53" ht="69.95" customHeight="1">
      <c r="E1546" s="264"/>
      <c r="F1546" s="265"/>
      <c r="G1546" s="263"/>
      <c r="H1546" s="275" t="s">
        <v>37</v>
      </c>
      <c r="I1546" s="486"/>
      <c r="J1546" s="486"/>
      <c r="K1546" s="486"/>
      <c r="L1546" s="486"/>
      <c r="M1546" s="263"/>
      <c r="N1546" s="263"/>
      <c r="O1546" s="275" t="s">
        <v>37</v>
      </c>
      <c r="P1546" s="486"/>
      <c r="Q1546" s="486"/>
      <c r="R1546" s="486"/>
      <c r="S1546" s="486"/>
      <c r="T1546" s="486"/>
      <c r="U1546" s="486"/>
      <c r="V1546" s="263"/>
      <c r="W1546" s="267"/>
      <c r="X1546" s="263"/>
    </row>
    <row r="1547" spans="1:53" ht="69.95" customHeight="1">
      <c r="E1547" s="264"/>
      <c r="F1547" s="265"/>
      <c r="G1547" s="263"/>
      <c r="H1547" s="275" t="s">
        <v>37</v>
      </c>
      <c r="I1547" s="486"/>
      <c r="J1547" s="486"/>
      <c r="K1547" s="486"/>
      <c r="L1547" s="486"/>
      <c r="M1547" s="263"/>
      <c r="N1547" s="263"/>
      <c r="O1547" s="275" t="s">
        <v>37</v>
      </c>
      <c r="P1547" s="486"/>
      <c r="Q1547" s="486"/>
      <c r="R1547" s="486"/>
      <c r="S1547" s="486"/>
      <c r="T1547" s="486"/>
      <c r="U1547" s="486"/>
      <c r="V1547" s="263"/>
      <c r="W1547" s="267"/>
      <c r="X1547" s="263"/>
    </row>
    <row r="1548" spans="1:53" ht="39.950000000000003" customHeight="1" thickBot="1">
      <c r="E1548" s="276"/>
      <c r="F1548" s="277"/>
      <c r="G1548" s="278"/>
      <c r="H1548" s="278"/>
      <c r="I1548" s="278"/>
      <c r="J1548" s="278"/>
      <c r="K1548" s="278"/>
      <c r="L1548" s="278"/>
      <c r="M1548" s="278"/>
      <c r="N1548" s="278"/>
      <c r="O1548" s="278"/>
      <c r="P1548" s="278"/>
      <c r="Q1548" s="278"/>
      <c r="R1548" s="278"/>
      <c r="S1548" s="278"/>
      <c r="T1548" s="279"/>
      <c r="U1548" s="279"/>
      <c r="V1548" s="279"/>
      <c r="W1548" s="280"/>
      <c r="X1548" s="263"/>
    </row>
    <row r="1549" spans="1:53" ht="62.25" thickBot="1"/>
    <row r="1550" spans="1:53" ht="39.950000000000003" customHeight="1">
      <c r="A1550" s="252" t="str">
        <f>CONCATENATE(F1557,F1559,F1561)</f>
        <v>CH4P2</v>
      </c>
      <c r="C1550" s="223"/>
      <c r="D1550" s="223"/>
      <c r="E1550" s="259" t="s">
        <v>70</v>
      </c>
      <c r="F1550" s="260">
        <f>VLOOKUP(CONCATENATE(A1550,1),'zoznam zapasov'!$A$6:$K$160,3,0)</f>
        <v>78</v>
      </c>
      <c r="G1550" s="261"/>
      <c r="H1550" s="322" t="s">
        <v>501</v>
      </c>
      <c r="I1550" s="261"/>
      <c r="J1550" s="261"/>
      <c r="K1550" s="261"/>
      <c r="L1550" s="261"/>
      <c r="M1550" s="261"/>
      <c r="N1550" s="261"/>
      <c r="O1550" s="261"/>
      <c r="P1550" s="261"/>
      <c r="Q1550" s="261"/>
      <c r="R1550" s="261"/>
      <c r="S1550" s="261"/>
      <c r="T1550" s="261"/>
      <c r="U1550" s="261"/>
      <c r="V1550" s="261" t="s">
        <v>30</v>
      </c>
      <c r="W1550" s="262"/>
      <c r="X1550" s="263"/>
      <c r="Y1550" s="253" t="str">
        <f>A1552</f>
        <v>CH4P21</v>
      </c>
      <c r="Z1550" s="258" t="str">
        <f>CONCATENATE(V1552,":",V1555)</f>
        <v>3:1</v>
      </c>
      <c r="AA1550" s="255" t="str">
        <f>IF(V1552&gt;V1555,B1552,IF(V1555&gt;V1552,B1555,""))</f>
        <v>PACH / DELINČAK</v>
      </c>
      <c r="AB1550" s="255" t="str">
        <f>IF(V1552&gt;V1555,AV1550,IF(V1555&gt;V1552,AV1551,""))</f>
        <v xml:space="preserve">3:1 ( 7,7,-9,11,,, ) </v>
      </c>
      <c r="AC1550" s="255" t="str">
        <f>CONCATENATE("Tbl.: ",F1552,"   H: ",F1555,"   D: ",F1554)</f>
        <v>Tbl.: 2   H: 13.55   D: So</v>
      </c>
      <c r="AE1550" s="253" t="s">
        <v>11</v>
      </c>
      <c r="AV1550" s="256" t="str">
        <f>CONCATENATE(V1552,":",V1555, " ( ",AN1552,",",AO1552,",",AP1552,",",AQ1552,",",AR1552,",",AS1552,",",AT1552," ) ")</f>
        <v xml:space="preserve">3:1 ( 7,7,-9,11,,, ) </v>
      </c>
    </row>
    <row r="1551" spans="1:53" ht="39.950000000000003" customHeight="1">
      <c r="C1551" s="223"/>
      <c r="D1551" s="223"/>
      <c r="E1551" s="264"/>
      <c r="F1551" s="265"/>
      <c r="G1551" s="321" t="s">
        <v>500</v>
      </c>
      <c r="H1551" s="323" t="s">
        <v>502</v>
      </c>
      <c r="I1551" s="263"/>
      <c r="J1551" s="263"/>
      <c r="K1551" s="263"/>
      <c r="L1551" s="263"/>
      <c r="M1551" s="263"/>
      <c r="N1551" s="266">
        <v>1</v>
      </c>
      <c r="O1551" s="266">
        <v>2</v>
      </c>
      <c r="P1551" s="266">
        <v>3</v>
      </c>
      <c r="Q1551" s="266">
        <v>4</v>
      </c>
      <c r="R1551" s="266">
        <v>5</v>
      </c>
      <c r="S1551" s="266">
        <v>6</v>
      </c>
      <c r="T1551" s="266">
        <v>7</v>
      </c>
      <c r="U1551" s="263"/>
      <c r="V1551" s="266" t="s">
        <v>31</v>
      </c>
      <c r="W1551" s="267"/>
      <c r="X1551" s="263"/>
      <c r="AE1551" s="253" t="s">
        <v>68</v>
      </c>
      <c r="AV1551" s="256" t="str">
        <f>CONCATENATE(V1555,":",V1552, " ( ",AN1553,",",AO1553,",",AP1553,",",AQ1553,",",AR1553,",",AS1553,",",AT1553," ) ")</f>
        <v xml:space="preserve">1:3 ( -7,-7,9,-11,,, ) </v>
      </c>
    </row>
    <row r="1552" spans="1:53" ht="39.950000000000003" customHeight="1">
      <c r="A1552" s="252" t="str">
        <f>CONCATENATE(A1550,1)</f>
        <v>CH4P21</v>
      </c>
      <c r="B1552" s="252" t="str">
        <f>VLOOKUP(A1552,'KO KODY SPOLU'!$A$3:$B$189,2,0)</f>
        <v>PACH / DELINČAK</v>
      </c>
      <c r="C1552" s="223"/>
      <c r="D1552" s="223"/>
      <c r="E1552" s="264" t="s">
        <v>29</v>
      </c>
      <c r="F1552" s="265">
        <f>VLOOKUP(CONCATENATE(A1550,1),'zoznam zapasov'!$A$6:$K$160,11,0)</f>
        <v>2</v>
      </c>
      <c r="G1552" s="508"/>
      <c r="H1552" s="319"/>
      <c r="I1552" s="487" t="str">
        <f>IF(ISERROR(VLOOKUP(B1552,vylosovanie!$N$75:$Q$191,3,0))=TRUE," ",VLOOKUP(B1552,vylosovanie!$N$75:$Q$191,3,0))</f>
        <v>PACH Kamil</v>
      </c>
      <c r="J1552" s="488"/>
      <c r="K1552" s="488"/>
      <c r="L1552" s="488"/>
      <c r="M1552" s="263"/>
      <c r="N1552" s="489">
        <v>11</v>
      </c>
      <c r="O1552" s="489">
        <v>11</v>
      </c>
      <c r="P1552" s="489">
        <v>9</v>
      </c>
      <c r="Q1552" s="489">
        <v>13</v>
      </c>
      <c r="R1552" s="489"/>
      <c r="S1552" s="491"/>
      <c r="T1552" s="491"/>
      <c r="U1552" s="263"/>
      <c r="V1552" s="493">
        <f>IF(SUM(AF1552:AL1553)=0,"",SUM(AF1552:AL1552))</f>
        <v>3</v>
      </c>
      <c r="W1552" s="267"/>
      <c r="X1552" s="263"/>
      <c r="AE1552" s="253" t="str">
        <f>VLOOKUP(I1552,vylosovanie!$F$8:$L$190,7,0)</f>
        <v>CH63</v>
      </c>
      <c r="AF1552" s="268">
        <f>IF(N1552&gt;N1555,1,0)</f>
        <v>1</v>
      </c>
      <c r="AG1552" s="268">
        <f t="shared" ref="AG1552" si="1128">IF(O1552&gt;O1555,1,0)</f>
        <v>1</v>
      </c>
      <c r="AH1552" s="268">
        <f t="shared" ref="AH1552" si="1129">IF(P1552&gt;P1555,1,0)</f>
        <v>0</v>
      </c>
      <c r="AI1552" s="268">
        <f t="shared" ref="AI1552" si="1130">IF(Q1552&gt;Q1555,1,0)</f>
        <v>1</v>
      </c>
      <c r="AJ1552" s="268">
        <f t="shared" ref="AJ1552" si="1131">IF(R1552&gt;R1555,1,0)</f>
        <v>0</v>
      </c>
      <c r="AK1552" s="268">
        <f t="shared" ref="AK1552" si="1132">IF(S1552&gt;S1555,1,0)</f>
        <v>0</v>
      </c>
      <c r="AL1552" s="268">
        <f t="shared" ref="AL1552" si="1133">IF(T1552&gt;T1555,1,0)</f>
        <v>0</v>
      </c>
      <c r="AN1552" s="268">
        <f t="shared" ref="AN1552" si="1134">IF(ISBLANK(N1552)=TRUE,"",IF(AF1552=1,N1555,-N1552))</f>
        <v>7</v>
      </c>
      <c r="AO1552" s="268">
        <f t="shared" ref="AO1552" si="1135">IF(ISBLANK(O1552)=TRUE,"",IF(AG1552=1,O1555,-O1552))</f>
        <v>7</v>
      </c>
      <c r="AP1552" s="268">
        <f t="shared" ref="AP1552" si="1136">IF(ISBLANK(P1552)=TRUE,"",IF(AH1552=1,P1555,-P1552))</f>
        <v>-9</v>
      </c>
      <c r="AQ1552" s="268">
        <f t="shared" ref="AQ1552" si="1137">IF(ISBLANK(Q1552)=TRUE,"",IF(AI1552=1,Q1555,-Q1552))</f>
        <v>11</v>
      </c>
      <c r="AR1552" s="268" t="str">
        <f t="shared" ref="AR1552" si="1138">IF(ISBLANK(R1552)=TRUE,"",IF(AJ1552=1,R1555,-R1552))</f>
        <v/>
      </c>
      <c r="AS1552" s="268" t="str">
        <f t="shared" ref="AS1552" si="1139">IF(ISBLANK(S1552)=TRUE,"",IF(AK1552=1,S1555,-S1552))</f>
        <v/>
      </c>
      <c r="AT1552" s="268" t="str">
        <f t="shared" ref="AT1552" si="1140">IF(ISBLANK(T1552)=TRUE,"",IF(AL1552=1,T1555,-T1552))</f>
        <v/>
      </c>
      <c r="AZ1552" s="269" t="s">
        <v>12</v>
      </c>
      <c r="BA1552" s="269">
        <v>1</v>
      </c>
    </row>
    <row r="1553" spans="1:53" ht="39.950000000000003" customHeight="1">
      <c r="C1553" s="223"/>
      <c r="D1553" s="223"/>
      <c r="E1553" s="264"/>
      <c r="F1553" s="265"/>
      <c r="G1553" s="509"/>
      <c r="H1553" s="319"/>
      <c r="I1553" s="487" t="str">
        <f>IF(ISERROR(VLOOKUP(B1552,vylosovanie!$N$75:$Q$191,3,0))=TRUE," ",VLOOKUP(B1552,vylosovanie!$N$75:$Q$191,4,0))</f>
        <v>DELINČAK Filip</v>
      </c>
      <c r="J1553" s="488"/>
      <c r="K1553" s="488"/>
      <c r="L1553" s="488"/>
      <c r="M1553" s="263"/>
      <c r="N1553" s="490"/>
      <c r="O1553" s="490"/>
      <c r="P1553" s="490"/>
      <c r="Q1553" s="490"/>
      <c r="R1553" s="490"/>
      <c r="S1553" s="492"/>
      <c r="T1553" s="492"/>
      <c r="U1553" s="263"/>
      <c r="V1553" s="493"/>
      <c r="W1553" s="267"/>
      <c r="X1553" s="263"/>
      <c r="AE1553" s="253" t="str">
        <f>VLOOKUP(I1555,vylosovanie!$F$8:$L$190,7,0)</f>
        <v>CH32</v>
      </c>
      <c r="AF1553" s="268">
        <f>IF(N1555&gt;N1552,1,0)</f>
        <v>0</v>
      </c>
      <c r="AG1553" s="268">
        <f t="shared" ref="AG1553" si="1141">IF(O1555&gt;O1552,1,0)</f>
        <v>0</v>
      </c>
      <c r="AH1553" s="268">
        <f t="shared" ref="AH1553" si="1142">IF(P1555&gt;P1552,1,0)</f>
        <v>1</v>
      </c>
      <c r="AI1553" s="268">
        <f t="shared" ref="AI1553" si="1143">IF(Q1555&gt;Q1552,1,0)</f>
        <v>0</v>
      </c>
      <c r="AJ1553" s="268">
        <f t="shared" ref="AJ1553" si="1144">IF(R1555&gt;R1552,1,0)</f>
        <v>0</v>
      </c>
      <c r="AK1553" s="268">
        <f t="shared" ref="AK1553" si="1145">IF(S1555&gt;S1552,1,0)</f>
        <v>0</v>
      </c>
      <c r="AL1553" s="268">
        <f t="shared" ref="AL1553" si="1146">IF(T1555&gt;T1552,1,0)</f>
        <v>0</v>
      </c>
      <c r="AN1553" s="268">
        <f t="shared" ref="AN1553" si="1147">IF(ISBLANK(N1555)=TRUE,"",IF(AF1553=1,N1552,-N1555))</f>
        <v>-7</v>
      </c>
      <c r="AO1553" s="268">
        <f t="shared" ref="AO1553" si="1148">IF(ISBLANK(O1555)=TRUE,"",IF(AG1553=1,O1552,-O1555))</f>
        <v>-7</v>
      </c>
      <c r="AP1553" s="268">
        <f t="shared" ref="AP1553" si="1149">IF(ISBLANK(P1555)=TRUE,"",IF(AH1553=1,P1552,-P1555))</f>
        <v>9</v>
      </c>
      <c r="AQ1553" s="268">
        <f t="shared" ref="AQ1553" si="1150">IF(ISBLANK(Q1555)=TRUE,"",IF(AI1553=1,Q1552,-Q1555))</f>
        <v>-11</v>
      </c>
      <c r="AR1553" s="268" t="str">
        <f t="shared" ref="AR1553" si="1151">IF(ISBLANK(R1555)=TRUE,"",IF(AJ1553=1,R1552,-R1555))</f>
        <v/>
      </c>
      <c r="AS1553" s="268" t="str">
        <f t="shared" ref="AS1553" si="1152">IF(ISBLANK(S1555)=TRUE,"",IF(AK1553=1,S1552,-S1555))</f>
        <v/>
      </c>
      <c r="AT1553" s="268" t="str">
        <f t="shared" ref="AT1553" si="1153">IF(ISBLANK(T1555)=TRUE,"",IF(AL1553=1,T1552,-T1555))</f>
        <v/>
      </c>
      <c r="AZ1553" s="269" t="s">
        <v>18</v>
      </c>
      <c r="BA1553" s="269">
        <v>2</v>
      </c>
    </row>
    <row r="1554" spans="1:53" ht="39.950000000000003" customHeight="1">
      <c r="C1554" s="223"/>
      <c r="D1554" s="223"/>
      <c r="E1554" s="264" t="s">
        <v>35</v>
      </c>
      <c r="F1554" s="265" t="str">
        <f>VLOOKUP(CONCATENATE(A1550,1),'zoznam zapasov'!$A$6:$K$160,9,0)</f>
        <v>So</v>
      </c>
      <c r="G1554" s="263"/>
      <c r="H1554" s="263"/>
      <c r="I1554" s="263"/>
      <c r="J1554" s="263"/>
      <c r="K1554" s="263"/>
      <c r="L1554" s="263"/>
      <c r="M1554" s="263"/>
      <c r="N1554" s="263"/>
      <c r="O1554" s="263"/>
      <c r="P1554" s="263"/>
      <c r="Q1554" s="263"/>
      <c r="R1554" s="263"/>
      <c r="S1554" s="263"/>
      <c r="T1554" s="263"/>
      <c r="U1554" s="263"/>
      <c r="V1554" s="263"/>
      <c r="W1554" s="267"/>
      <c r="X1554" s="263"/>
      <c r="AZ1554" s="269" t="s">
        <v>38</v>
      </c>
      <c r="BA1554" s="269">
        <v>3</v>
      </c>
    </row>
    <row r="1555" spans="1:53" ht="39.950000000000003" customHeight="1">
      <c r="A1555" s="252" t="str">
        <f>CONCATENATE(A1550,2)</f>
        <v>CH4P22</v>
      </c>
      <c r="B1555" s="252" t="str">
        <f>VLOOKUP(A1555,'KO KODY SPOLU'!$A$3:$B$189,2,0)</f>
        <v>KLAJBER / IVANČO</v>
      </c>
      <c r="C1555" s="223"/>
      <c r="D1555" s="223"/>
      <c r="E1555" s="264" t="s">
        <v>28</v>
      </c>
      <c r="F1555" s="270" t="str">
        <f>VLOOKUP(CONCATENATE(A1550,1),'zoznam zapasov'!$A$6:$K$160,10,0)</f>
        <v>13.55</v>
      </c>
      <c r="G1555" s="508"/>
      <c r="H1555" s="319"/>
      <c r="I1555" s="487" t="str">
        <f>IF(ISERROR(VLOOKUP(B1555,vylosovanie!$N$75:$Q$191,3,0))=TRUE," ",VLOOKUP(B1555,vylosovanie!$N$75:$Q$191,3,0))</f>
        <v>KLAJBER Adam</v>
      </c>
      <c r="J1555" s="488"/>
      <c r="K1555" s="488"/>
      <c r="L1555" s="488"/>
      <c r="M1555" s="263"/>
      <c r="N1555" s="489">
        <v>7</v>
      </c>
      <c r="O1555" s="489">
        <v>7</v>
      </c>
      <c r="P1555" s="489">
        <v>11</v>
      </c>
      <c r="Q1555" s="489">
        <v>11</v>
      </c>
      <c r="R1555" s="489"/>
      <c r="S1555" s="491"/>
      <c r="T1555" s="491"/>
      <c r="U1555" s="263"/>
      <c r="V1555" s="493">
        <f>IF(SUM(AF1552:AL1553)=0,"",SUM(AF1553:AL1553))</f>
        <v>1</v>
      </c>
      <c r="W1555" s="267"/>
      <c r="X1555" s="263"/>
      <c r="AZ1555" s="269" t="s">
        <v>39</v>
      </c>
      <c r="BA1555" s="269">
        <v>4</v>
      </c>
    </row>
    <row r="1556" spans="1:53" ht="39.950000000000003" customHeight="1">
      <c r="C1556" s="223"/>
      <c r="D1556" s="223"/>
      <c r="E1556" s="271"/>
      <c r="F1556" s="272"/>
      <c r="G1556" s="509"/>
      <c r="H1556" s="319"/>
      <c r="I1556" s="487" t="str">
        <f>IF(ISERROR(VLOOKUP(B1555,vylosovanie!$N$75:$Q$191,3,0))=TRUE," ",VLOOKUP(B1555,vylosovanie!$N$75:$Q$191,4,0))</f>
        <v>IVANČO Félix</v>
      </c>
      <c r="J1556" s="488"/>
      <c r="K1556" s="488"/>
      <c r="L1556" s="488"/>
      <c r="M1556" s="263"/>
      <c r="N1556" s="490"/>
      <c r="O1556" s="490"/>
      <c r="P1556" s="490"/>
      <c r="Q1556" s="490"/>
      <c r="R1556" s="490"/>
      <c r="S1556" s="492"/>
      <c r="T1556" s="492"/>
      <c r="U1556" s="263"/>
      <c r="V1556" s="493"/>
      <c r="W1556" s="267"/>
      <c r="X1556" s="263"/>
      <c r="AZ1556" s="269" t="s">
        <v>40</v>
      </c>
      <c r="BA1556" s="269">
        <v>5</v>
      </c>
    </row>
    <row r="1557" spans="1:53" ht="39.950000000000003" customHeight="1">
      <c r="C1557" s="223"/>
      <c r="D1557" s="223"/>
      <c r="E1557" s="264" t="s">
        <v>66</v>
      </c>
      <c r="F1557" s="265" t="s">
        <v>309</v>
      </c>
      <c r="G1557" s="263"/>
      <c r="H1557" s="263"/>
      <c r="I1557" s="263"/>
      <c r="J1557" s="263"/>
      <c r="K1557" s="263"/>
      <c r="L1557" s="263"/>
      <c r="M1557" s="263"/>
      <c r="N1557" s="263"/>
      <c r="O1557" s="263"/>
      <c r="P1557" s="263"/>
      <c r="Q1557" s="263"/>
      <c r="R1557" s="263"/>
      <c r="S1557" s="263"/>
      <c r="T1557" s="263"/>
      <c r="U1557" s="263"/>
      <c r="V1557" s="263"/>
      <c r="W1557" s="267"/>
      <c r="X1557" s="263"/>
      <c r="AZ1557" s="269" t="s">
        <v>41</v>
      </c>
      <c r="BA1557" s="269">
        <v>6</v>
      </c>
    </row>
    <row r="1558" spans="1:53" ht="39.950000000000003" customHeight="1">
      <c r="C1558" s="223"/>
      <c r="D1558" s="223"/>
      <c r="E1558" s="271"/>
      <c r="F1558" s="272"/>
      <c r="G1558" s="263"/>
      <c r="H1558" s="263"/>
      <c r="I1558" s="263" t="s">
        <v>32</v>
      </c>
      <c r="J1558" s="263"/>
      <c r="K1558" s="263"/>
      <c r="L1558" s="263"/>
      <c r="M1558" s="263"/>
      <c r="N1558" s="273"/>
      <c r="O1558" s="266"/>
      <c r="P1558" s="266" t="s">
        <v>34</v>
      </c>
      <c r="Q1558" s="266"/>
      <c r="R1558" s="266"/>
      <c r="S1558" s="266"/>
      <c r="T1558" s="266"/>
      <c r="U1558" s="263"/>
      <c r="V1558" s="263"/>
      <c r="W1558" s="267"/>
      <c r="X1558" s="263"/>
      <c r="AZ1558" s="269" t="s">
        <v>42</v>
      </c>
      <c r="BA1558" s="269">
        <v>7</v>
      </c>
    </row>
    <row r="1559" spans="1:53" ht="39.950000000000003" customHeight="1">
      <c r="E1559" s="264" t="s">
        <v>26</v>
      </c>
      <c r="F1559" s="265" t="s">
        <v>128</v>
      </c>
      <c r="G1559" s="263"/>
      <c r="H1559" s="263"/>
      <c r="I1559" s="486"/>
      <c r="J1559" s="486"/>
      <c r="K1559" s="486"/>
      <c r="L1559" s="486"/>
      <c r="M1559" s="263"/>
      <c r="N1559" s="483" t="str">
        <f>IF(V1552&gt;V1555,I1552,IF(V1555&gt;V1552,I1555,""))</f>
        <v>PACH Kamil</v>
      </c>
      <c r="O1559" s="494"/>
      <c r="P1559" s="494"/>
      <c r="Q1559" s="494"/>
      <c r="R1559" s="494"/>
      <c r="S1559" s="495"/>
      <c r="T1559" s="263"/>
      <c r="U1559" s="263"/>
      <c r="V1559" s="263"/>
      <c r="W1559" s="267"/>
      <c r="X1559" s="263"/>
      <c r="AZ1559" s="269" t="s">
        <v>43</v>
      </c>
      <c r="BA1559" s="269">
        <v>8</v>
      </c>
    </row>
    <row r="1560" spans="1:53" ht="39.950000000000003" customHeight="1">
      <c r="E1560" s="271"/>
      <c r="F1560" s="272"/>
      <c r="G1560" s="263"/>
      <c r="H1560" s="263"/>
      <c r="I1560" s="486"/>
      <c r="J1560" s="486"/>
      <c r="K1560" s="486"/>
      <c r="L1560" s="486"/>
      <c r="M1560" s="263"/>
      <c r="N1560" s="483" t="str">
        <f>IF(V1552&gt;V1555,I1553,IF(V1555&gt;V1552,I1556,""))</f>
        <v>DELINČAK Filip</v>
      </c>
      <c r="O1560" s="494"/>
      <c r="P1560" s="494"/>
      <c r="Q1560" s="494"/>
      <c r="R1560" s="494"/>
      <c r="S1560" s="495"/>
      <c r="T1560" s="263"/>
      <c r="U1560" s="263"/>
      <c r="V1560" s="263"/>
      <c r="W1560" s="267"/>
      <c r="X1560" s="263"/>
    </row>
    <row r="1561" spans="1:53" ht="39.950000000000003" customHeight="1">
      <c r="E1561" s="264" t="s">
        <v>27</v>
      </c>
      <c r="F1561" s="274" t="s">
        <v>162</v>
      </c>
      <c r="G1561" s="263"/>
      <c r="H1561" s="263"/>
      <c r="I1561" s="263"/>
      <c r="J1561" s="263"/>
      <c r="K1561" s="263"/>
      <c r="L1561" s="263"/>
      <c r="M1561" s="263"/>
      <c r="N1561" s="263"/>
      <c r="O1561" s="263"/>
      <c r="P1561" s="263"/>
      <c r="Q1561" s="263"/>
      <c r="R1561" s="263"/>
      <c r="S1561" s="263"/>
      <c r="T1561" s="263"/>
      <c r="U1561" s="263"/>
      <c r="V1561" s="263"/>
      <c r="W1561" s="267"/>
      <c r="X1561" s="263"/>
    </row>
    <row r="1562" spans="1:53" ht="39.950000000000003" customHeight="1">
      <c r="E1562" s="271"/>
      <c r="F1562" s="272"/>
      <c r="G1562" s="263"/>
      <c r="H1562" s="263" t="s">
        <v>33</v>
      </c>
      <c r="I1562" s="263"/>
      <c r="J1562" s="263"/>
      <c r="K1562" s="263"/>
      <c r="L1562" s="263"/>
      <c r="M1562" s="263"/>
      <c r="N1562" s="263"/>
      <c r="O1562" s="263"/>
      <c r="P1562" s="263"/>
      <c r="Q1562" s="263"/>
      <c r="R1562" s="263"/>
      <c r="S1562" s="263"/>
      <c r="T1562" s="263"/>
      <c r="U1562" s="263"/>
      <c r="V1562" s="263"/>
      <c r="W1562" s="267"/>
      <c r="X1562" s="263"/>
    </row>
    <row r="1563" spans="1:53" ht="39.950000000000003" customHeight="1">
      <c r="E1563" s="271"/>
      <c r="F1563" s="272"/>
      <c r="G1563" s="263"/>
      <c r="H1563" s="263"/>
      <c r="I1563" s="263"/>
      <c r="J1563" s="263"/>
      <c r="K1563" s="263"/>
      <c r="L1563" s="263"/>
      <c r="M1563" s="263"/>
      <c r="N1563" s="263"/>
      <c r="O1563" s="263"/>
      <c r="P1563" s="263"/>
      <c r="Q1563" s="263"/>
      <c r="R1563" s="263"/>
      <c r="S1563" s="263"/>
      <c r="T1563" s="263"/>
      <c r="U1563" s="263"/>
      <c r="V1563" s="263"/>
      <c r="W1563" s="267"/>
      <c r="X1563" s="263"/>
    </row>
    <row r="1564" spans="1:53" ht="39.950000000000003" customHeight="1">
      <c r="E1564" s="271"/>
      <c r="F1564" s="272"/>
      <c r="G1564" s="263"/>
      <c r="H1564" s="263"/>
      <c r="I1564" s="496" t="str">
        <f>I1552</f>
        <v>PACH Kamil</v>
      </c>
      <c r="J1564" s="496"/>
      <c r="K1564" s="496"/>
      <c r="L1564" s="496"/>
      <c r="M1564" s="263"/>
      <c r="N1564" s="263"/>
      <c r="P1564" s="496" t="str">
        <f>I1555</f>
        <v>KLAJBER Adam</v>
      </c>
      <c r="Q1564" s="496"/>
      <c r="R1564" s="496"/>
      <c r="S1564" s="496"/>
      <c r="T1564" s="497"/>
      <c r="U1564" s="497"/>
      <c r="V1564" s="263"/>
      <c r="W1564" s="267"/>
      <c r="X1564" s="263"/>
    </row>
    <row r="1565" spans="1:53" ht="39.950000000000003" customHeight="1">
      <c r="E1565" s="271"/>
      <c r="F1565" s="272"/>
      <c r="G1565" s="263"/>
      <c r="H1565" s="263"/>
      <c r="I1565" s="496" t="str">
        <f>I1553</f>
        <v>DELINČAK Filip</v>
      </c>
      <c r="J1565" s="496"/>
      <c r="K1565" s="496"/>
      <c r="L1565" s="496"/>
      <c r="M1565" s="263"/>
      <c r="N1565" s="263"/>
      <c r="O1565" s="263"/>
      <c r="P1565" s="496" t="str">
        <f>I1556</f>
        <v>IVANČO Félix</v>
      </c>
      <c r="Q1565" s="496"/>
      <c r="R1565" s="496"/>
      <c r="S1565" s="496"/>
      <c r="T1565" s="497"/>
      <c r="U1565" s="497"/>
      <c r="V1565" s="263"/>
      <c r="W1565" s="267"/>
      <c r="X1565" s="263"/>
    </row>
    <row r="1566" spans="1:53" ht="69.95" customHeight="1">
      <c r="E1566" s="264"/>
      <c r="F1566" s="265"/>
      <c r="G1566" s="263"/>
      <c r="H1566" s="275" t="s">
        <v>36</v>
      </c>
      <c r="I1566" s="483"/>
      <c r="J1566" s="484"/>
      <c r="K1566" s="484"/>
      <c r="L1566" s="485"/>
      <c r="M1566" s="263"/>
      <c r="N1566" s="263"/>
      <c r="O1566" s="275" t="s">
        <v>36</v>
      </c>
      <c r="P1566" s="486"/>
      <c r="Q1566" s="486"/>
      <c r="R1566" s="486"/>
      <c r="S1566" s="486"/>
      <c r="T1566" s="486"/>
      <c r="U1566" s="486"/>
      <c r="V1566" s="263"/>
      <c r="W1566" s="267"/>
      <c r="X1566" s="263"/>
    </row>
    <row r="1567" spans="1:53" ht="69.95" customHeight="1">
      <c r="E1567" s="264"/>
      <c r="F1567" s="265"/>
      <c r="G1567" s="263"/>
      <c r="H1567" s="275" t="s">
        <v>37</v>
      </c>
      <c r="I1567" s="486"/>
      <c r="J1567" s="486"/>
      <c r="K1567" s="486"/>
      <c r="L1567" s="486"/>
      <c r="M1567" s="263"/>
      <c r="N1567" s="263"/>
      <c r="O1567" s="275" t="s">
        <v>37</v>
      </c>
      <c r="P1567" s="486"/>
      <c r="Q1567" s="486"/>
      <c r="R1567" s="486"/>
      <c r="S1567" s="486"/>
      <c r="T1567" s="486"/>
      <c r="U1567" s="486"/>
      <c r="V1567" s="263"/>
      <c r="W1567" s="267"/>
      <c r="X1567" s="263"/>
    </row>
    <row r="1568" spans="1:53" ht="69.95" customHeight="1">
      <c r="E1568" s="264"/>
      <c r="F1568" s="265"/>
      <c r="G1568" s="263"/>
      <c r="H1568" s="275" t="s">
        <v>37</v>
      </c>
      <c r="I1568" s="486"/>
      <c r="J1568" s="486"/>
      <c r="K1568" s="486"/>
      <c r="L1568" s="486"/>
      <c r="M1568" s="263"/>
      <c r="N1568" s="263"/>
      <c r="O1568" s="275" t="s">
        <v>37</v>
      </c>
      <c r="P1568" s="486"/>
      <c r="Q1568" s="486"/>
      <c r="R1568" s="486"/>
      <c r="S1568" s="486"/>
      <c r="T1568" s="486"/>
      <c r="U1568" s="486"/>
      <c r="V1568" s="263"/>
      <c r="W1568" s="267"/>
      <c r="X1568" s="263"/>
    </row>
    <row r="1569" spans="1:53" ht="39.950000000000003" customHeight="1" thickBot="1">
      <c r="E1569" s="276"/>
      <c r="F1569" s="277"/>
      <c r="G1569" s="278"/>
      <c r="H1569" s="278"/>
      <c r="I1569" s="278"/>
      <c r="J1569" s="278"/>
      <c r="K1569" s="278"/>
      <c r="L1569" s="278"/>
      <c r="M1569" s="278"/>
      <c r="N1569" s="278"/>
      <c r="O1569" s="278"/>
      <c r="P1569" s="278"/>
      <c r="Q1569" s="278"/>
      <c r="R1569" s="278"/>
      <c r="S1569" s="278"/>
      <c r="T1569" s="279"/>
      <c r="U1569" s="279"/>
      <c r="V1569" s="279"/>
      <c r="W1569" s="280"/>
      <c r="X1569" s="263"/>
    </row>
    <row r="1570" spans="1:53" ht="62.25" thickBot="1"/>
    <row r="1571" spans="1:53" ht="39.950000000000003" customHeight="1">
      <c r="A1571" s="252" t="str">
        <f>CONCATENATE(F1578,F1580,F1582)</f>
        <v>CH4P3</v>
      </c>
      <c r="C1571" s="223"/>
      <c r="D1571" s="223"/>
      <c r="E1571" s="259" t="s">
        <v>70</v>
      </c>
      <c r="F1571" s="260">
        <f>VLOOKUP(CONCATENATE(A1571,1),'zoznam zapasov'!$A$6:$K$160,3,0)</f>
        <v>79</v>
      </c>
      <c r="G1571" s="261"/>
      <c r="H1571" s="322" t="s">
        <v>501</v>
      </c>
      <c r="I1571" s="261"/>
      <c r="J1571" s="261"/>
      <c r="K1571" s="261"/>
      <c r="L1571" s="261"/>
      <c r="M1571" s="261"/>
      <c r="N1571" s="261"/>
      <c r="O1571" s="261"/>
      <c r="P1571" s="261"/>
      <c r="Q1571" s="261"/>
      <c r="R1571" s="261"/>
      <c r="S1571" s="261"/>
      <c r="T1571" s="261"/>
      <c r="U1571" s="261"/>
      <c r="V1571" s="261" t="s">
        <v>30</v>
      </c>
      <c r="W1571" s="262"/>
      <c r="X1571" s="263"/>
      <c r="Y1571" s="253" t="str">
        <f>A1573</f>
        <v>CH4P31</v>
      </c>
      <c r="Z1571" s="258" t="str">
        <f>CONCATENATE(V1573,":",V1576)</f>
        <v>3:2</v>
      </c>
      <c r="AA1571" s="255" t="str">
        <f>IF(V1573&gt;V1576,B1573,IF(V1576&gt;V1573,B1576,""))</f>
        <v>FUSEK / FREUND</v>
      </c>
      <c r="AB1571" s="255" t="str">
        <f>IF(V1573&gt;V1576,AV1571,IF(V1576&gt;V1573,AV1572,""))</f>
        <v xml:space="preserve">3:2 ( -10,11,-9,9,9,, ) </v>
      </c>
      <c r="AC1571" s="255" t="str">
        <f>CONCATENATE("Tbl.: ",F1573,"   H: ",F1576,"   D: ",F1575)</f>
        <v>Tbl.: 3   H: 13.55   D: So</v>
      </c>
      <c r="AE1571" s="253" t="s">
        <v>11</v>
      </c>
      <c r="AV1571" s="256" t="str">
        <f>CONCATENATE(V1573,":",V1576, " ( ",AN1573,",",AO1573,",",AP1573,",",AQ1573,",",AR1573,",",AS1573,",",AT1573," ) ")</f>
        <v xml:space="preserve">3:2 ( -10,11,-9,9,9,, ) </v>
      </c>
    </row>
    <row r="1572" spans="1:53" ht="39.950000000000003" customHeight="1">
      <c r="C1572" s="223"/>
      <c r="D1572" s="223"/>
      <c r="E1572" s="264"/>
      <c r="F1572" s="265"/>
      <c r="G1572" s="321" t="s">
        <v>500</v>
      </c>
      <c r="H1572" s="323" t="s">
        <v>502</v>
      </c>
      <c r="I1572" s="263"/>
      <c r="J1572" s="263"/>
      <c r="K1572" s="263"/>
      <c r="L1572" s="263"/>
      <c r="M1572" s="263"/>
      <c r="N1572" s="266">
        <v>1</v>
      </c>
      <c r="O1572" s="266">
        <v>2</v>
      </c>
      <c r="P1572" s="266">
        <v>3</v>
      </c>
      <c r="Q1572" s="266">
        <v>4</v>
      </c>
      <c r="R1572" s="266">
        <v>5</v>
      </c>
      <c r="S1572" s="266">
        <v>6</v>
      </c>
      <c r="T1572" s="266">
        <v>7</v>
      </c>
      <c r="U1572" s="263"/>
      <c r="V1572" s="266" t="s">
        <v>31</v>
      </c>
      <c r="W1572" s="267"/>
      <c r="X1572" s="263"/>
      <c r="AE1572" s="253" t="s">
        <v>68</v>
      </c>
      <c r="AV1572" s="256" t="str">
        <f>CONCATENATE(V1576,":",V1573, " ( ",AN1574,",",AO1574,",",AP1574,",",AQ1574,",",AR1574,",",AS1574,",",AT1574," ) ")</f>
        <v xml:space="preserve">2:3 ( 10,-11,9,-9,-9,, ) </v>
      </c>
    </row>
    <row r="1573" spans="1:53" ht="39.950000000000003" customHeight="1">
      <c r="A1573" s="252" t="str">
        <f>CONCATENATE(A1571,1)</f>
        <v>CH4P31</v>
      </c>
      <c r="B1573" s="252" t="str">
        <f>VLOOKUP(A1573,'KO KODY SPOLU'!$A$3:$B$189,2,0)</f>
        <v>FUSEK / FREUND</v>
      </c>
      <c r="C1573" s="223"/>
      <c r="D1573" s="223"/>
      <c r="E1573" s="264" t="s">
        <v>29</v>
      </c>
      <c r="F1573" s="265">
        <f>VLOOKUP(CONCATENATE(A1571,1),'zoznam zapasov'!$A$6:$K$160,11,0)</f>
        <v>3</v>
      </c>
      <c r="G1573" s="508"/>
      <c r="H1573" s="319"/>
      <c r="I1573" s="487" t="str">
        <f>IF(ISERROR(VLOOKUP(B1573,vylosovanie!$N$75:$Q$191,3,0))=TRUE," ",VLOOKUP(B1573,vylosovanie!$N$75:$Q$191,3,0))</f>
        <v>FUSEK Patrik</v>
      </c>
      <c r="J1573" s="488"/>
      <c r="K1573" s="488"/>
      <c r="L1573" s="488"/>
      <c r="M1573" s="263"/>
      <c r="N1573" s="489">
        <v>10</v>
      </c>
      <c r="O1573" s="489">
        <v>13</v>
      </c>
      <c r="P1573" s="489">
        <v>9</v>
      </c>
      <c r="Q1573" s="489">
        <v>11</v>
      </c>
      <c r="R1573" s="489">
        <v>11</v>
      </c>
      <c r="S1573" s="491"/>
      <c r="T1573" s="491"/>
      <c r="U1573" s="263"/>
      <c r="V1573" s="493">
        <f>IF(SUM(AF1573:AL1574)=0,"",SUM(AF1573:AL1573))</f>
        <v>3</v>
      </c>
      <c r="W1573" s="267"/>
      <c r="X1573" s="263"/>
      <c r="AE1573" s="253" t="str">
        <f>VLOOKUP(I1573,vylosovanie!$F$8:$L$190,7,0)</f>
        <v>CH82</v>
      </c>
      <c r="AF1573" s="268">
        <f>IF(N1573&gt;N1576,1,0)</f>
        <v>0</v>
      </c>
      <c r="AG1573" s="268">
        <f t="shared" ref="AG1573" si="1154">IF(O1573&gt;O1576,1,0)</f>
        <v>1</v>
      </c>
      <c r="AH1573" s="268">
        <f t="shared" ref="AH1573" si="1155">IF(P1573&gt;P1576,1,0)</f>
        <v>0</v>
      </c>
      <c r="AI1573" s="268">
        <f t="shared" ref="AI1573" si="1156">IF(Q1573&gt;Q1576,1,0)</f>
        <v>1</v>
      </c>
      <c r="AJ1573" s="268">
        <f t="shared" ref="AJ1573" si="1157">IF(R1573&gt;R1576,1,0)</f>
        <v>1</v>
      </c>
      <c r="AK1573" s="268">
        <f t="shared" ref="AK1573" si="1158">IF(S1573&gt;S1576,1,0)</f>
        <v>0</v>
      </c>
      <c r="AL1573" s="268">
        <f t="shared" ref="AL1573" si="1159">IF(T1573&gt;T1576,1,0)</f>
        <v>0</v>
      </c>
      <c r="AN1573" s="268">
        <f t="shared" ref="AN1573" si="1160">IF(ISBLANK(N1573)=TRUE,"",IF(AF1573=1,N1576,-N1573))</f>
        <v>-10</v>
      </c>
      <c r="AO1573" s="268">
        <f t="shared" ref="AO1573" si="1161">IF(ISBLANK(O1573)=TRUE,"",IF(AG1573=1,O1576,-O1573))</f>
        <v>11</v>
      </c>
      <c r="AP1573" s="268">
        <f t="shared" ref="AP1573" si="1162">IF(ISBLANK(P1573)=TRUE,"",IF(AH1573=1,P1576,-P1573))</f>
        <v>-9</v>
      </c>
      <c r="AQ1573" s="268">
        <f t="shared" ref="AQ1573" si="1163">IF(ISBLANK(Q1573)=TRUE,"",IF(AI1573=1,Q1576,-Q1573))</f>
        <v>9</v>
      </c>
      <c r="AR1573" s="268">
        <f t="shared" ref="AR1573" si="1164">IF(ISBLANK(R1573)=TRUE,"",IF(AJ1573=1,R1576,-R1573))</f>
        <v>9</v>
      </c>
      <c r="AS1573" s="268" t="str">
        <f t="shared" ref="AS1573" si="1165">IF(ISBLANK(S1573)=TRUE,"",IF(AK1573=1,S1576,-S1573))</f>
        <v/>
      </c>
      <c r="AT1573" s="268" t="str">
        <f t="shared" ref="AT1573" si="1166">IF(ISBLANK(T1573)=TRUE,"",IF(AL1573=1,T1576,-T1573))</f>
        <v/>
      </c>
      <c r="AZ1573" s="269" t="s">
        <v>12</v>
      </c>
      <c r="BA1573" s="269">
        <v>1</v>
      </c>
    </row>
    <row r="1574" spans="1:53" ht="39.950000000000003" customHeight="1">
      <c r="C1574" s="223"/>
      <c r="D1574" s="223"/>
      <c r="E1574" s="264"/>
      <c r="F1574" s="265"/>
      <c r="G1574" s="509"/>
      <c r="H1574" s="319"/>
      <c r="I1574" s="487" t="str">
        <f>IF(ISERROR(VLOOKUP(B1573,vylosovanie!$N$75:$Q$191,3,0))=TRUE," ",VLOOKUP(B1573,vylosovanie!$N$75:$Q$191,4,0))</f>
        <v>FREUND Andrej</v>
      </c>
      <c r="J1574" s="488"/>
      <c r="K1574" s="488"/>
      <c r="L1574" s="488"/>
      <c r="M1574" s="263"/>
      <c r="N1574" s="490"/>
      <c r="O1574" s="490"/>
      <c r="P1574" s="490"/>
      <c r="Q1574" s="490"/>
      <c r="R1574" s="490"/>
      <c r="S1574" s="492"/>
      <c r="T1574" s="492"/>
      <c r="U1574" s="263"/>
      <c r="V1574" s="493"/>
      <c r="W1574" s="267"/>
      <c r="X1574" s="263"/>
      <c r="AE1574" s="253" t="str">
        <f>VLOOKUP(I1576,vylosovanie!$F$8:$L$190,7,0)</f>
        <v>CH54</v>
      </c>
      <c r="AF1574" s="268">
        <f>IF(N1576&gt;N1573,1,0)</f>
        <v>1</v>
      </c>
      <c r="AG1574" s="268">
        <f t="shared" ref="AG1574" si="1167">IF(O1576&gt;O1573,1,0)</f>
        <v>0</v>
      </c>
      <c r="AH1574" s="268">
        <f t="shared" ref="AH1574" si="1168">IF(P1576&gt;P1573,1,0)</f>
        <v>1</v>
      </c>
      <c r="AI1574" s="268">
        <f t="shared" ref="AI1574" si="1169">IF(Q1576&gt;Q1573,1,0)</f>
        <v>0</v>
      </c>
      <c r="AJ1574" s="268">
        <f t="shared" ref="AJ1574" si="1170">IF(R1576&gt;R1573,1,0)</f>
        <v>0</v>
      </c>
      <c r="AK1574" s="268">
        <f t="shared" ref="AK1574" si="1171">IF(S1576&gt;S1573,1,0)</f>
        <v>0</v>
      </c>
      <c r="AL1574" s="268">
        <f t="shared" ref="AL1574" si="1172">IF(T1576&gt;T1573,1,0)</f>
        <v>0</v>
      </c>
      <c r="AN1574" s="268">
        <f t="shared" ref="AN1574" si="1173">IF(ISBLANK(N1576)=TRUE,"",IF(AF1574=1,N1573,-N1576))</f>
        <v>10</v>
      </c>
      <c r="AO1574" s="268">
        <f t="shared" ref="AO1574" si="1174">IF(ISBLANK(O1576)=TRUE,"",IF(AG1574=1,O1573,-O1576))</f>
        <v>-11</v>
      </c>
      <c r="AP1574" s="268">
        <f t="shared" ref="AP1574" si="1175">IF(ISBLANK(P1576)=TRUE,"",IF(AH1574=1,P1573,-P1576))</f>
        <v>9</v>
      </c>
      <c r="AQ1574" s="268">
        <f t="shared" ref="AQ1574" si="1176">IF(ISBLANK(Q1576)=TRUE,"",IF(AI1574=1,Q1573,-Q1576))</f>
        <v>-9</v>
      </c>
      <c r="AR1574" s="268">
        <f t="shared" ref="AR1574" si="1177">IF(ISBLANK(R1576)=TRUE,"",IF(AJ1574=1,R1573,-R1576))</f>
        <v>-9</v>
      </c>
      <c r="AS1574" s="268" t="str">
        <f t="shared" ref="AS1574" si="1178">IF(ISBLANK(S1576)=TRUE,"",IF(AK1574=1,S1573,-S1576))</f>
        <v/>
      </c>
      <c r="AT1574" s="268" t="str">
        <f t="shared" ref="AT1574" si="1179">IF(ISBLANK(T1576)=TRUE,"",IF(AL1574=1,T1573,-T1576))</f>
        <v/>
      </c>
      <c r="AZ1574" s="269" t="s">
        <v>18</v>
      </c>
      <c r="BA1574" s="269">
        <v>2</v>
      </c>
    </row>
    <row r="1575" spans="1:53" ht="39.950000000000003" customHeight="1">
      <c r="C1575" s="223"/>
      <c r="D1575" s="223"/>
      <c r="E1575" s="264" t="s">
        <v>35</v>
      </c>
      <c r="F1575" s="265" t="str">
        <f>VLOOKUP(CONCATENATE(A1571,1),'zoznam zapasov'!$A$6:$K$160,9,0)</f>
        <v>So</v>
      </c>
      <c r="G1575" s="263"/>
      <c r="H1575" s="263"/>
      <c r="I1575" s="263"/>
      <c r="J1575" s="263"/>
      <c r="K1575" s="263"/>
      <c r="L1575" s="263"/>
      <c r="M1575" s="263"/>
      <c r="N1575" s="263"/>
      <c r="O1575" s="263"/>
      <c r="P1575" s="263"/>
      <c r="Q1575" s="263"/>
      <c r="R1575" s="263"/>
      <c r="S1575" s="263"/>
      <c r="T1575" s="263"/>
      <c r="U1575" s="263"/>
      <c r="V1575" s="263"/>
      <c r="W1575" s="267"/>
      <c r="X1575" s="263"/>
      <c r="AZ1575" s="269" t="s">
        <v>38</v>
      </c>
      <c r="BA1575" s="269">
        <v>3</v>
      </c>
    </row>
    <row r="1576" spans="1:53" ht="39.950000000000003" customHeight="1">
      <c r="A1576" s="252" t="str">
        <f>CONCATENATE(A1571,2)</f>
        <v>CH4P32</v>
      </c>
      <c r="B1576" s="252" t="str">
        <f>VLOOKUP(A1576,'KO KODY SPOLU'!$A$3:$B$189,2,0)</f>
        <v>MACKO / GREGOR</v>
      </c>
      <c r="C1576" s="223"/>
      <c r="D1576" s="223"/>
      <c r="E1576" s="264" t="s">
        <v>28</v>
      </c>
      <c r="F1576" s="270" t="str">
        <f>VLOOKUP(CONCATENATE(A1571,1),'zoznam zapasov'!$A$6:$K$160,10,0)</f>
        <v>13.55</v>
      </c>
      <c r="G1576" s="508"/>
      <c r="H1576" s="319"/>
      <c r="I1576" s="487" t="str">
        <f>IF(ISERROR(VLOOKUP(B1576,vylosovanie!$N$75:$Q$191,3,0))=TRUE," ",VLOOKUP(B1576,vylosovanie!$N$75:$Q$191,3,0))</f>
        <v>MACKO Miroslav</v>
      </c>
      <c r="J1576" s="488"/>
      <c r="K1576" s="488"/>
      <c r="L1576" s="488"/>
      <c r="M1576" s="263"/>
      <c r="N1576" s="489">
        <v>12</v>
      </c>
      <c r="O1576" s="489">
        <v>11</v>
      </c>
      <c r="P1576" s="489">
        <v>11</v>
      </c>
      <c r="Q1576" s="489">
        <v>9</v>
      </c>
      <c r="R1576" s="489">
        <v>9</v>
      </c>
      <c r="S1576" s="491"/>
      <c r="T1576" s="491"/>
      <c r="U1576" s="263"/>
      <c r="V1576" s="493">
        <f>IF(SUM(AF1573:AL1574)=0,"",SUM(AF1574:AL1574))</f>
        <v>2</v>
      </c>
      <c r="W1576" s="267"/>
      <c r="X1576" s="263"/>
      <c r="AZ1576" s="269" t="s">
        <v>39</v>
      </c>
      <c r="BA1576" s="269">
        <v>4</v>
      </c>
    </row>
    <row r="1577" spans="1:53" ht="39.950000000000003" customHeight="1">
      <c r="C1577" s="223"/>
      <c r="D1577" s="223"/>
      <c r="E1577" s="271"/>
      <c r="F1577" s="272"/>
      <c r="G1577" s="509"/>
      <c r="H1577" s="319"/>
      <c r="I1577" s="487" t="str">
        <f>IF(ISERROR(VLOOKUP(B1576,vylosovanie!$N$75:$Q$191,3,0))=TRUE," ",VLOOKUP(B1576,vylosovanie!$N$75:$Q$191,4,0))</f>
        <v>GREGOR Jakub</v>
      </c>
      <c r="J1577" s="488"/>
      <c r="K1577" s="488"/>
      <c r="L1577" s="488"/>
      <c r="M1577" s="263"/>
      <c r="N1577" s="490"/>
      <c r="O1577" s="490"/>
      <c r="P1577" s="490"/>
      <c r="Q1577" s="490"/>
      <c r="R1577" s="490"/>
      <c r="S1577" s="492"/>
      <c r="T1577" s="492"/>
      <c r="U1577" s="263"/>
      <c r="V1577" s="493"/>
      <c r="W1577" s="267"/>
      <c r="X1577" s="263"/>
      <c r="AZ1577" s="269" t="s">
        <v>40</v>
      </c>
      <c r="BA1577" s="269">
        <v>5</v>
      </c>
    </row>
    <row r="1578" spans="1:53" ht="39.950000000000003" customHeight="1">
      <c r="C1578" s="223"/>
      <c r="D1578" s="223"/>
      <c r="E1578" s="264" t="s">
        <v>66</v>
      </c>
      <c r="F1578" s="265" t="s">
        <v>309</v>
      </c>
      <c r="G1578" s="263"/>
      <c r="H1578" s="263"/>
      <c r="I1578" s="263"/>
      <c r="J1578" s="263"/>
      <c r="K1578" s="263"/>
      <c r="L1578" s="263"/>
      <c r="M1578" s="263"/>
      <c r="N1578" s="263"/>
      <c r="O1578" s="263"/>
      <c r="P1578" s="263"/>
      <c r="Q1578" s="263"/>
      <c r="R1578" s="263"/>
      <c r="S1578" s="263"/>
      <c r="T1578" s="263"/>
      <c r="U1578" s="263"/>
      <c r="V1578" s="263"/>
      <c r="W1578" s="267"/>
      <c r="X1578" s="263"/>
      <c r="AZ1578" s="269" t="s">
        <v>41</v>
      </c>
      <c r="BA1578" s="269">
        <v>6</v>
      </c>
    </row>
    <row r="1579" spans="1:53" ht="39.950000000000003" customHeight="1">
      <c r="C1579" s="223"/>
      <c r="D1579" s="223"/>
      <c r="E1579" s="271"/>
      <c r="F1579" s="272"/>
      <c r="G1579" s="263"/>
      <c r="H1579" s="263"/>
      <c r="I1579" s="263" t="s">
        <v>32</v>
      </c>
      <c r="J1579" s="263"/>
      <c r="K1579" s="263"/>
      <c r="L1579" s="263"/>
      <c r="M1579" s="263"/>
      <c r="N1579" s="273"/>
      <c r="O1579" s="266"/>
      <c r="P1579" s="266" t="s">
        <v>34</v>
      </c>
      <c r="Q1579" s="266"/>
      <c r="R1579" s="266"/>
      <c r="S1579" s="266"/>
      <c r="T1579" s="266"/>
      <c r="U1579" s="263"/>
      <c r="V1579" s="263"/>
      <c r="W1579" s="267"/>
      <c r="X1579" s="263"/>
      <c r="AZ1579" s="269" t="s">
        <v>42</v>
      </c>
      <c r="BA1579" s="269">
        <v>7</v>
      </c>
    </row>
    <row r="1580" spans="1:53" ht="39.950000000000003" customHeight="1">
      <c r="E1580" s="264" t="s">
        <v>26</v>
      </c>
      <c r="F1580" s="265" t="s">
        <v>128</v>
      </c>
      <c r="G1580" s="263"/>
      <c r="H1580" s="263"/>
      <c r="I1580" s="486"/>
      <c r="J1580" s="486"/>
      <c r="K1580" s="486"/>
      <c r="L1580" s="486"/>
      <c r="M1580" s="263"/>
      <c r="N1580" s="483" t="str">
        <f>IF(V1573&gt;V1576,I1573,IF(V1576&gt;V1573,I1576,""))</f>
        <v>FUSEK Patrik</v>
      </c>
      <c r="O1580" s="494"/>
      <c r="P1580" s="494"/>
      <c r="Q1580" s="494"/>
      <c r="R1580" s="494"/>
      <c r="S1580" s="495"/>
      <c r="T1580" s="263"/>
      <c r="U1580" s="263"/>
      <c r="V1580" s="263"/>
      <c r="W1580" s="267"/>
      <c r="X1580" s="263"/>
      <c r="AZ1580" s="269" t="s">
        <v>43</v>
      </c>
      <c r="BA1580" s="269">
        <v>8</v>
      </c>
    </row>
    <row r="1581" spans="1:53" ht="39.950000000000003" customHeight="1">
      <c r="E1581" s="271"/>
      <c r="F1581" s="272"/>
      <c r="G1581" s="263"/>
      <c r="H1581" s="263"/>
      <c r="I1581" s="486"/>
      <c r="J1581" s="486"/>
      <c r="K1581" s="486"/>
      <c r="L1581" s="486"/>
      <c r="M1581" s="263"/>
      <c r="N1581" s="483" t="str">
        <f>IF(V1573&gt;V1576,I1574,IF(V1576&gt;V1573,I1577,""))</f>
        <v>FREUND Andrej</v>
      </c>
      <c r="O1581" s="494"/>
      <c r="P1581" s="494"/>
      <c r="Q1581" s="494"/>
      <c r="R1581" s="494"/>
      <c r="S1581" s="495"/>
      <c r="T1581" s="263"/>
      <c r="U1581" s="263"/>
      <c r="V1581" s="263"/>
      <c r="W1581" s="267"/>
      <c r="X1581" s="263"/>
    </row>
    <row r="1582" spans="1:53" ht="39.950000000000003" customHeight="1">
      <c r="E1582" s="264" t="s">
        <v>27</v>
      </c>
      <c r="F1582" s="274" t="s">
        <v>163</v>
      </c>
      <c r="G1582" s="263"/>
      <c r="H1582" s="263"/>
      <c r="I1582" s="263"/>
      <c r="J1582" s="263"/>
      <c r="K1582" s="263"/>
      <c r="L1582" s="263"/>
      <c r="M1582" s="263"/>
      <c r="N1582" s="263"/>
      <c r="O1582" s="263"/>
      <c r="P1582" s="263"/>
      <c r="Q1582" s="263"/>
      <c r="R1582" s="263"/>
      <c r="S1582" s="263"/>
      <c r="T1582" s="263"/>
      <c r="U1582" s="263"/>
      <c r="V1582" s="263"/>
      <c r="W1582" s="267"/>
      <c r="X1582" s="263"/>
    </row>
    <row r="1583" spans="1:53" ht="39.950000000000003" customHeight="1">
      <c r="E1583" s="271"/>
      <c r="F1583" s="272"/>
      <c r="G1583" s="263"/>
      <c r="H1583" s="263" t="s">
        <v>33</v>
      </c>
      <c r="I1583" s="263"/>
      <c r="J1583" s="263"/>
      <c r="K1583" s="263"/>
      <c r="L1583" s="263"/>
      <c r="M1583" s="263"/>
      <c r="N1583" s="263"/>
      <c r="O1583" s="263"/>
      <c r="P1583" s="263"/>
      <c r="Q1583" s="263"/>
      <c r="R1583" s="263"/>
      <c r="S1583" s="263"/>
      <c r="T1583" s="263"/>
      <c r="U1583" s="263"/>
      <c r="V1583" s="263"/>
      <c r="W1583" s="267"/>
      <c r="X1583" s="263"/>
    </row>
    <row r="1584" spans="1:53" ht="39.950000000000003" customHeight="1">
      <c r="E1584" s="271"/>
      <c r="F1584" s="272"/>
      <c r="G1584" s="263"/>
      <c r="H1584" s="263"/>
      <c r="I1584" s="263"/>
      <c r="J1584" s="263"/>
      <c r="K1584" s="263"/>
      <c r="L1584" s="263"/>
      <c r="M1584" s="263"/>
      <c r="N1584" s="263"/>
      <c r="O1584" s="263"/>
      <c r="P1584" s="263"/>
      <c r="Q1584" s="263"/>
      <c r="R1584" s="263"/>
      <c r="S1584" s="263"/>
      <c r="T1584" s="263"/>
      <c r="U1584" s="263"/>
      <c r="V1584" s="263"/>
      <c r="W1584" s="267"/>
      <c r="X1584" s="263"/>
    </row>
    <row r="1585" spans="1:53" ht="39.950000000000003" customHeight="1">
      <c r="E1585" s="271"/>
      <c r="F1585" s="272"/>
      <c r="G1585" s="263"/>
      <c r="H1585" s="263"/>
      <c r="I1585" s="496" t="str">
        <f>I1573</f>
        <v>FUSEK Patrik</v>
      </c>
      <c r="J1585" s="496"/>
      <c r="K1585" s="496"/>
      <c r="L1585" s="496"/>
      <c r="M1585" s="263"/>
      <c r="N1585" s="263"/>
      <c r="P1585" s="496" t="str">
        <f>I1576</f>
        <v>MACKO Miroslav</v>
      </c>
      <c r="Q1585" s="496"/>
      <c r="R1585" s="496"/>
      <c r="S1585" s="496"/>
      <c r="T1585" s="497"/>
      <c r="U1585" s="497"/>
      <c r="V1585" s="263"/>
      <c r="W1585" s="267"/>
      <c r="X1585" s="263"/>
    </row>
    <row r="1586" spans="1:53" ht="39.950000000000003" customHeight="1">
      <c r="E1586" s="271"/>
      <c r="F1586" s="272"/>
      <c r="G1586" s="263"/>
      <c r="H1586" s="263"/>
      <c r="I1586" s="496" t="str">
        <f>I1574</f>
        <v>FREUND Andrej</v>
      </c>
      <c r="J1586" s="496"/>
      <c r="K1586" s="496"/>
      <c r="L1586" s="496"/>
      <c r="M1586" s="263"/>
      <c r="N1586" s="263"/>
      <c r="O1586" s="263"/>
      <c r="P1586" s="496" t="str">
        <f>I1577</f>
        <v>GREGOR Jakub</v>
      </c>
      <c r="Q1586" s="496"/>
      <c r="R1586" s="496"/>
      <c r="S1586" s="496"/>
      <c r="T1586" s="497"/>
      <c r="U1586" s="497"/>
      <c r="V1586" s="263"/>
      <c r="W1586" s="267"/>
      <c r="X1586" s="263"/>
    </row>
    <row r="1587" spans="1:53" ht="69.95" customHeight="1">
      <c r="E1587" s="264"/>
      <c r="F1587" s="265"/>
      <c r="G1587" s="263"/>
      <c r="H1587" s="275" t="s">
        <v>36</v>
      </c>
      <c r="I1587" s="483"/>
      <c r="J1587" s="484"/>
      <c r="K1587" s="484"/>
      <c r="L1587" s="485"/>
      <c r="M1587" s="263"/>
      <c r="N1587" s="263"/>
      <c r="O1587" s="275" t="s">
        <v>36</v>
      </c>
      <c r="P1587" s="486"/>
      <c r="Q1587" s="486"/>
      <c r="R1587" s="486"/>
      <c r="S1587" s="486"/>
      <c r="T1587" s="486"/>
      <c r="U1587" s="486"/>
      <c r="V1587" s="263"/>
      <c r="W1587" s="267"/>
      <c r="X1587" s="263"/>
    </row>
    <row r="1588" spans="1:53" ht="69.95" customHeight="1">
      <c r="E1588" s="264"/>
      <c r="F1588" s="265"/>
      <c r="G1588" s="263"/>
      <c r="H1588" s="275" t="s">
        <v>37</v>
      </c>
      <c r="I1588" s="486"/>
      <c r="J1588" s="486"/>
      <c r="K1588" s="486"/>
      <c r="L1588" s="486"/>
      <c r="M1588" s="263"/>
      <c r="N1588" s="263"/>
      <c r="O1588" s="275" t="s">
        <v>37</v>
      </c>
      <c r="P1588" s="486"/>
      <c r="Q1588" s="486"/>
      <c r="R1588" s="486"/>
      <c r="S1588" s="486"/>
      <c r="T1588" s="486"/>
      <c r="U1588" s="486"/>
      <c r="V1588" s="263"/>
      <c r="W1588" s="267"/>
      <c r="X1588" s="263"/>
    </row>
    <row r="1589" spans="1:53" ht="69.95" customHeight="1">
      <c r="E1589" s="264"/>
      <c r="F1589" s="265"/>
      <c r="G1589" s="263"/>
      <c r="H1589" s="275" t="s">
        <v>37</v>
      </c>
      <c r="I1589" s="486"/>
      <c r="J1589" s="486"/>
      <c r="K1589" s="486"/>
      <c r="L1589" s="486"/>
      <c r="M1589" s="263"/>
      <c r="N1589" s="263"/>
      <c r="O1589" s="275" t="s">
        <v>37</v>
      </c>
      <c r="P1589" s="486"/>
      <c r="Q1589" s="486"/>
      <c r="R1589" s="486"/>
      <c r="S1589" s="486"/>
      <c r="T1589" s="486"/>
      <c r="U1589" s="486"/>
      <c r="V1589" s="263"/>
      <c r="W1589" s="267"/>
      <c r="X1589" s="263"/>
    </row>
    <row r="1590" spans="1:53" ht="39.950000000000003" customHeight="1" thickBot="1">
      <c r="E1590" s="276"/>
      <c r="F1590" s="277"/>
      <c r="G1590" s="278"/>
      <c r="H1590" s="278"/>
      <c r="I1590" s="278"/>
      <c r="J1590" s="278"/>
      <c r="K1590" s="278"/>
      <c r="L1590" s="278"/>
      <c r="M1590" s="278"/>
      <c r="N1590" s="278"/>
      <c r="O1590" s="278"/>
      <c r="P1590" s="278"/>
      <c r="Q1590" s="278"/>
      <c r="R1590" s="278"/>
      <c r="S1590" s="278"/>
      <c r="T1590" s="279"/>
      <c r="U1590" s="279"/>
      <c r="V1590" s="279"/>
      <c r="W1590" s="280"/>
      <c r="X1590" s="263"/>
    </row>
    <row r="1591" spans="1:53" ht="62.25" thickBot="1"/>
    <row r="1592" spans="1:53" ht="39.950000000000003" customHeight="1">
      <c r="A1592" s="252" t="str">
        <f>CONCATENATE(F1599,F1601,F1603)</f>
        <v>CH4P4</v>
      </c>
      <c r="C1592" s="223"/>
      <c r="D1592" s="223"/>
      <c r="E1592" s="259" t="s">
        <v>70</v>
      </c>
      <c r="F1592" s="260">
        <f>VLOOKUP(CONCATENATE(A1592,1),'zoznam zapasov'!$A$6:$K$160,3,0)</f>
        <v>80</v>
      </c>
      <c r="G1592" s="261"/>
      <c r="H1592" s="322" t="s">
        <v>501</v>
      </c>
      <c r="I1592" s="261"/>
      <c r="J1592" s="261"/>
      <c r="K1592" s="261"/>
      <c r="L1592" s="261"/>
      <c r="M1592" s="261"/>
      <c r="N1592" s="261"/>
      <c r="O1592" s="261"/>
      <c r="P1592" s="261"/>
      <c r="Q1592" s="261"/>
      <c r="R1592" s="261"/>
      <c r="S1592" s="261"/>
      <c r="T1592" s="261"/>
      <c r="U1592" s="261"/>
      <c r="V1592" s="261" t="s">
        <v>30</v>
      </c>
      <c r="W1592" s="262"/>
      <c r="X1592" s="263"/>
      <c r="Y1592" s="253" t="str">
        <f>A1594</f>
        <v>CH4P41</v>
      </c>
      <c r="Z1592" s="258" t="str">
        <f>CONCATENATE(V1594,":",V1597)</f>
        <v>0:3</v>
      </c>
      <c r="AA1592" s="255" t="str">
        <f>IF(V1594&gt;V1597,B1594,IF(V1597&gt;V1594,B1597,""))</f>
        <v>FEČO / PAPÁNEK</v>
      </c>
      <c r="AB1592" s="255" t="str">
        <f>IF(V1594&gt;V1597,AV1592,IF(V1597&gt;V1594,AV1593,""))</f>
        <v xml:space="preserve">3:0 ( 7,9,6,,,, ) </v>
      </c>
      <c r="AC1592" s="255" t="str">
        <f>CONCATENATE("Tbl.: ",F1594,"   H: ",F1597,"   D: ",F1596)</f>
        <v>Tbl.: 4   H: 13.55   D: So</v>
      </c>
      <c r="AE1592" s="253" t="s">
        <v>11</v>
      </c>
      <c r="AV1592" s="256" t="str">
        <f>CONCATENATE(V1594,":",V1597, " ( ",AN1594,",",AO1594,",",AP1594,",",AQ1594,",",AR1594,",",AS1594,",",AT1594," ) ")</f>
        <v xml:space="preserve">0:3 ( -7,-9,-6,,,, ) </v>
      </c>
    </row>
    <row r="1593" spans="1:53" ht="39.950000000000003" customHeight="1">
      <c r="C1593" s="223"/>
      <c r="D1593" s="223"/>
      <c r="E1593" s="264"/>
      <c r="F1593" s="265"/>
      <c r="G1593" s="321" t="s">
        <v>500</v>
      </c>
      <c r="H1593" s="323" t="s">
        <v>502</v>
      </c>
      <c r="I1593" s="263"/>
      <c r="J1593" s="263"/>
      <c r="K1593" s="263"/>
      <c r="L1593" s="263"/>
      <c r="M1593" s="263"/>
      <c r="N1593" s="266">
        <v>1</v>
      </c>
      <c r="O1593" s="266">
        <v>2</v>
      </c>
      <c r="P1593" s="266">
        <v>3</v>
      </c>
      <c r="Q1593" s="266">
        <v>4</v>
      </c>
      <c r="R1593" s="266">
        <v>5</v>
      </c>
      <c r="S1593" s="266">
        <v>6</v>
      </c>
      <c r="T1593" s="266">
        <v>7</v>
      </c>
      <c r="U1593" s="263"/>
      <c r="V1593" s="266" t="s">
        <v>31</v>
      </c>
      <c r="W1593" s="267"/>
      <c r="X1593" s="263"/>
      <c r="AE1593" s="253" t="s">
        <v>68</v>
      </c>
      <c r="AV1593" s="256" t="str">
        <f>CONCATENATE(V1597,":",V1594, " ( ",AN1595,",",AO1595,",",AP1595,",",AQ1595,",",AR1595,",",AS1595,",",AT1595," ) ")</f>
        <v xml:space="preserve">3:0 ( 7,9,6,,,, ) </v>
      </c>
    </row>
    <row r="1594" spans="1:53" ht="39.950000000000003" customHeight="1">
      <c r="A1594" s="252" t="str">
        <f>CONCATENATE(A1592,1)</f>
        <v>CH4P41</v>
      </c>
      <c r="B1594" s="252" t="str">
        <f>VLOOKUP(A1594,'KO KODY SPOLU'!$A$3:$B$189,2,0)</f>
        <v>FEČO / KAPUSTA</v>
      </c>
      <c r="C1594" s="223"/>
      <c r="D1594" s="223"/>
      <c r="E1594" s="264" t="s">
        <v>29</v>
      </c>
      <c r="F1594" s="265">
        <f>VLOOKUP(CONCATENATE(A1592,1),'zoznam zapasov'!$A$6:$K$160,11,0)</f>
        <v>4</v>
      </c>
      <c r="G1594" s="508"/>
      <c r="H1594" s="319"/>
      <c r="I1594" s="487" t="str">
        <f>IF(ISERROR(VLOOKUP(B1594,vylosovanie!$N$75:$Q$191,3,0))=TRUE," ",VLOOKUP(B1594,vylosovanie!$N$75:$Q$191,3,0))</f>
        <v>FEČO Michal</v>
      </c>
      <c r="J1594" s="488"/>
      <c r="K1594" s="488"/>
      <c r="L1594" s="488"/>
      <c r="M1594" s="263"/>
      <c r="N1594" s="489">
        <v>7</v>
      </c>
      <c r="O1594" s="489">
        <v>9</v>
      </c>
      <c r="P1594" s="489">
        <v>6</v>
      </c>
      <c r="Q1594" s="489"/>
      <c r="R1594" s="489"/>
      <c r="S1594" s="491"/>
      <c r="T1594" s="491"/>
      <c r="U1594" s="263"/>
      <c r="V1594" s="493">
        <f>IF(SUM(AF1594:AL1595)=0,"",SUM(AF1594:AL1594))</f>
        <v>0</v>
      </c>
      <c r="W1594" s="267"/>
      <c r="X1594" s="263"/>
      <c r="AE1594" s="253" t="str">
        <f>VLOOKUP(I1594,vylosovanie!$F$8:$L$190,7,0)</f>
        <v>CH73</v>
      </c>
      <c r="AF1594" s="268">
        <f>IF(N1594&gt;N1597,1,0)</f>
        <v>0</v>
      </c>
      <c r="AG1594" s="268">
        <f t="shared" ref="AG1594" si="1180">IF(O1594&gt;O1597,1,0)</f>
        <v>0</v>
      </c>
      <c r="AH1594" s="268">
        <f t="shared" ref="AH1594" si="1181">IF(P1594&gt;P1597,1,0)</f>
        <v>0</v>
      </c>
      <c r="AI1594" s="268">
        <f t="shared" ref="AI1594" si="1182">IF(Q1594&gt;Q1597,1,0)</f>
        <v>0</v>
      </c>
      <c r="AJ1594" s="268">
        <f t="shared" ref="AJ1594" si="1183">IF(R1594&gt;R1597,1,0)</f>
        <v>0</v>
      </c>
      <c r="AK1594" s="268">
        <f t="shared" ref="AK1594" si="1184">IF(S1594&gt;S1597,1,0)</f>
        <v>0</v>
      </c>
      <c r="AL1594" s="268">
        <f t="shared" ref="AL1594" si="1185">IF(T1594&gt;T1597,1,0)</f>
        <v>0</v>
      </c>
      <c r="AN1594" s="268">
        <f t="shared" ref="AN1594" si="1186">IF(ISBLANK(N1594)=TRUE,"",IF(AF1594=1,N1597,-N1594))</f>
        <v>-7</v>
      </c>
      <c r="AO1594" s="268">
        <f t="shared" ref="AO1594" si="1187">IF(ISBLANK(O1594)=TRUE,"",IF(AG1594=1,O1597,-O1594))</f>
        <v>-9</v>
      </c>
      <c r="AP1594" s="268">
        <f t="shared" ref="AP1594" si="1188">IF(ISBLANK(P1594)=TRUE,"",IF(AH1594=1,P1597,-P1594))</f>
        <v>-6</v>
      </c>
      <c r="AQ1594" s="268" t="str">
        <f t="shared" ref="AQ1594" si="1189">IF(ISBLANK(Q1594)=TRUE,"",IF(AI1594=1,Q1597,-Q1594))</f>
        <v/>
      </c>
      <c r="AR1594" s="268" t="str">
        <f t="shared" ref="AR1594" si="1190">IF(ISBLANK(R1594)=TRUE,"",IF(AJ1594=1,R1597,-R1594))</f>
        <v/>
      </c>
      <c r="AS1594" s="268" t="str">
        <f t="shared" ref="AS1594" si="1191">IF(ISBLANK(S1594)=TRUE,"",IF(AK1594=1,S1597,-S1594))</f>
        <v/>
      </c>
      <c r="AT1594" s="268" t="str">
        <f t="shared" ref="AT1594" si="1192">IF(ISBLANK(T1594)=TRUE,"",IF(AL1594=1,T1597,-T1594))</f>
        <v/>
      </c>
      <c r="AZ1594" s="269" t="s">
        <v>12</v>
      </c>
      <c r="BA1594" s="269">
        <v>1</v>
      </c>
    </row>
    <row r="1595" spans="1:53" ht="39.950000000000003" customHeight="1">
      <c r="C1595" s="223"/>
      <c r="D1595" s="223"/>
      <c r="E1595" s="264"/>
      <c r="F1595" s="265"/>
      <c r="G1595" s="509"/>
      <c r="H1595" s="319"/>
      <c r="I1595" s="487" t="str">
        <f>IF(ISERROR(VLOOKUP(B1594,vylosovanie!$N$75:$Q$191,3,0))=TRUE," ",VLOOKUP(B1594,vylosovanie!$N$75:$Q$191,4,0))</f>
        <v>KAPUSTA Martin</v>
      </c>
      <c r="J1595" s="488"/>
      <c r="K1595" s="488"/>
      <c r="L1595" s="488"/>
      <c r="M1595" s="263"/>
      <c r="N1595" s="490"/>
      <c r="O1595" s="490"/>
      <c r="P1595" s="490"/>
      <c r="Q1595" s="490"/>
      <c r="R1595" s="490"/>
      <c r="S1595" s="492"/>
      <c r="T1595" s="492"/>
      <c r="U1595" s="263"/>
      <c r="V1595" s="493"/>
      <c r="W1595" s="267"/>
      <c r="X1595" s="263"/>
      <c r="AE1595" s="253" t="str">
        <f>VLOOKUP(I1597,vylosovanie!$F$8:$L$190,7,0)</f>
        <v>CH31</v>
      </c>
      <c r="AF1595" s="268">
        <f>IF(N1597&gt;N1594,1,0)</f>
        <v>1</v>
      </c>
      <c r="AG1595" s="268">
        <f t="shared" ref="AG1595" si="1193">IF(O1597&gt;O1594,1,0)</f>
        <v>1</v>
      </c>
      <c r="AH1595" s="268">
        <f t="shared" ref="AH1595" si="1194">IF(P1597&gt;P1594,1,0)</f>
        <v>1</v>
      </c>
      <c r="AI1595" s="268">
        <f t="shared" ref="AI1595" si="1195">IF(Q1597&gt;Q1594,1,0)</f>
        <v>0</v>
      </c>
      <c r="AJ1595" s="268">
        <f t="shared" ref="AJ1595" si="1196">IF(R1597&gt;R1594,1,0)</f>
        <v>0</v>
      </c>
      <c r="AK1595" s="268">
        <f t="shared" ref="AK1595" si="1197">IF(S1597&gt;S1594,1,0)</f>
        <v>0</v>
      </c>
      <c r="AL1595" s="268">
        <f t="shared" ref="AL1595" si="1198">IF(T1597&gt;T1594,1,0)</f>
        <v>0</v>
      </c>
      <c r="AN1595" s="268">
        <f t="shared" ref="AN1595" si="1199">IF(ISBLANK(N1597)=TRUE,"",IF(AF1595=1,N1594,-N1597))</f>
        <v>7</v>
      </c>
      <c r="AO1595" s="268">
        <f t="shared" ref="AO1595" si="1200">IF(ISBLANK(O1597)=TRUE,"",IF(AG1595=1,O1594,-O1597))</f>
        <v>9</v>
      </c>
      <c r="AP1595" s="268">
        <f t="shared" ref="AP1595" si="1201">IF(ISBLANK(P1597)=TRUE,"",IF(AH1595=1,P1594,-P1597))</f>
        <v>6</v>
      </c>
      <c r="AQ1595" s="268" t="str">
        <f t="shared" ref="AQ1595" si="1202">IF(ISBLANK(Q1597)=TRUE,"",IF(AI1595=1,Q1594,-Q1597))</f>
        <v/>
      </c>
      <c r="AR1595" s="268" t="str">
        <f t="shared" ref="AR1595" si="1203">IF(ISBLANK(R1597)=TRUE,"",IF(AJ1595=1,R1594,-R1597))</f>
        <v/>
      </c>
      <c r="AS1595" s="268" t="str">
        <f t="shared" ref="AS1595" si="1204">IF(ISBLANK(S1597)=TRUE,"",IF(AK1595=1,S1594,-S1597))</f>
        <v/>
      </c>
      <c r="AT1595" s="268" t="str">
        <f t="shared" ref="AT1595" si="1205">IF(ISBLANK(T1597)=TRUE,"",IF(AL1595=1,T1594,-T1597))</f>
        <v/>
      </c>
      <c r="AZ1595" s="269" t="s">
        <v>18</v>
      </c>
      <c r="BA1595" s="269">
        <v>2</v>
      </c>
    </row>
    <row r="1596" spans="1:53" ht="39.950000000000003" customHeight="1">
      <c r="C1596" s="223"/>
      <c r="D1596" s="223"/>
      <c r="E1596" s="264" t="s">
        <v>35</v>
      </c>
      <c r="F1596" s="265" t="str">
        <f>VLOOKUP(CONCATENATE(A1592,1),'zoznam zapasov'!$A$6:$K$160,9,0)</f>
        <v>So</v>
      </c>
      <c r="G1596" s="263"/>
      <c r="H1596" s="263"/>
      <c r="I1596" s="263"/>
      <c r="J1596" s="263"/>
      <c r="K1596" s="263"/>
      <c r="L1596" s="263"/>
      <c r="M1596" s="263"/>
      <c r="N1596" s="263"/>
      <c r="O1596" s="263"/>
      <c r="P1596" s="263"/>
      <c r="Q1596" s="263"/>
      <c r="R1596" s="263"/>
      <c r="S1596" s="263"/>
      <c r="T1596" s="263"/>
      <c r="U1596" s="263"/>
      <c r="V1596" s="263"/>
      <c r="W1596" s="267"/>
      <c r="X1596" s="263"/>
      <c r="AZ1596" s="269" t="s">
        <v>38</v>
      </c>
      <c r="BA1596" s="269">
        <v>3</v>
      </c>
    </row>
    <row r="1597" spans="1:53" ht="39.950000000000003" customHeight="1">
      <c r="A1597" s="252" t="str">
        <f>CONCATENATE(A1592,2)</f>
        <v>CH4P42</v>
      </c>
      <c r="B1597" s="252" t="str">
        <f>VLOOKUP(A1597,'KO KODY SPOLU'!$A$3:$B$189,2,0)</f>
        <v>FEČO / PAPÁNEK</v>
      </c>
      <c r="C1597" s="223"/>
      <c r="D1597" s="223"/>
      <c r="E1597" s="264" t="s">
        <v>28</v>
      </c>
      <c r="F1597" s="270" t="str">
        <f>VLOOKUP(CONCATENATE(A1592,1),'zoznam zapasov'!$A$6:$K$160,10,0)</f>
        <v>13.55</v>
      </c>
      <c r="G1597" s="508"/>
      <c r="H1597" s="319"/>
      <c r="I1597" s="487" t="str">
        <f>IF(ISERROR(VLOOKUP(B1597,vylosovanie!$N$75:$Q$191,3,0))=TRUE," ",VLOOKUP(B1597,vylosovanie!$N$75:$Q$191,3,0))</f>
        <v>FEČO Samuel</v>
      </c>
      <c r="J1597" s="488"/>
      <c r="K1597" s="488"/>
      <c r="L1597" s="488"/>
      <c r="M1597" s="263"/>
      <c r="N1597" s="489">
        <v>11</v>
      </c>
      <c r="O1597" s="489">
        <v>11</v>
      </c>
      <c r="P1597" s="489">
        <v>11</v>
      </c>
      <c r="Q1597" s="489"/>
      <c r="R1597" s="489"/>
      <c r="S1597" s="491"/>
      <c r="T1597" s="491"/>
      <c r="U1597" s="263"/>
      <c r="V1597" s="493">
        <f>IF(SUM(AF1594:AL1595)=0,"",SUM(AF1595:AL1595))</f>
        <v>3</v>
      </c>
      <c r="W1597" s="267"/>
      <c r="X1597" s="263"/>
      <c r="AZ1597" s="269" t="s">
        <v>39</v>
      </c>
      <c r="BA1597" s="269">
        <v>4</v>
      </c>
    </row>
    <row r="1598" spans="1:53" ht="39.950000000000003" customHeight="1">
      <c r="C1598" s="223"/>
      <c r="D1598" s="223"/>
      <c r="E1598" s="271"/>
      <c r="F1598" s="272"/>
      <c r="G1598" s="509"/>
      <c r="H1598" s="319"/>
      <c r="I1598" s="487" t="str">
        <f>IF(ISERROR(VLOOKUP(B1597,vylosovanie!$N$75:$Q$191,3,0))=TRUE," ",VLOOKUP(B1597,vylosovanie!$N$75:$Q$191,4,0))</f>
        <v>PAPÁNEK Martin</v>
      </c>
      <c r="J1598" s="488"/>
      <c r="K1598" s="488"/>
      <c r="L1598" s="488"/>
      <c r="M1598" s="263"/>
      <c r="N1598" s="490"/>
      <c r="O1598" s="490"/>
      <c r="P1598" s="490"/>
      <c r="Q1598" s="490"/>
      <c r="R1598" s="490"/>
      <c r="S1598" s="492"/>
      <c r="T1598" s="492"/>
      <c r="U1598" s="263"/>
      <c r="V1598" s="493"/>
      <c r="W1598" s="267"/>
      <c r="X1598" s="263"/>
      <c r="AZ1598" s="269" t="s">
        <v>40</v>
      </c>
      <c r="BA1598" s="269">
        <v>5</v>
      </c>
    </row>
    <row r="1599" spans="1:53" ht="39.950000000000003" customHeight="1">
      <c r="C1599" s="223"/>
      <c r="D1599" s="223"/>
      <c r="E1599" s="264" t="s">
        <v>66</v>
      </c>
      <c r="F1599" s="265" t="s">
        <v>309</v>
      </c>
      <c r="G1599" s="263"/>
      <c r="H1599" s="263"/>
      <c r="I1599" s="263"/>
      <c r="J1599" s="263"/>
      <c r="K1599" s="263"/>
      <c r="L1599" s="263"/>
      <c r="M1599" s="263"/>
      <c r="N1599" s="263"/>
      <c r="O1599" s="263"/>
      <c r="P1599" s="263"/>
      <c r="Q1599" s="263"/>
      <c r="R1599" s="263"/>
      <c r="S1599" s="263"/>
      <c r="T1599" s="263"/>
      <c r="U1599" s="263"/>
      <c r="V1599" s="263"/>
      <c r="W1599" s="267"/>
      <c r="X1599" s="263"/>
      <c r="AZ1599" s="269" t="s">
        <v>41</v>
      </c>
      <c r="BA1599" s="269">
        <v>6</v>
      </c>
    </row>
    <row r="1600" spans="1:53" ht="39.950000000000003" customHeight="1">
      <c r="C1600" s="223"/>
      <c r="D1600" s="223"/>
      <c r="E1600" s="271"/>
      <c r="F1600" s="272"/>
      <c r="G1600" s="263"/>
      <c r="H1600" s="263"/>
      <c r="I1600" s="263" t="s">
        <v>32</v>
      </c>
      <c r="J1600" s="263"/>
      <c r="K1600" s="263"/>
      <c r="L1600" s="263"/>
      <c r="M1600" s="263"/>
      <c r="N1600" s="273"/>
      <c r="O1600" s="266"/>
      <c r="P1600" s="266" t="s">
        <v>34</v>
      </c>
      <c r="Q1600" s="266"/>
      <c r="R1600" s="266"/>
      <c r="S1600" s="266"/>
      <c r="T1600" s="266"/>
      <c r="U1600" s="263"/>
      <c r="V1600" s="263"/>
      <c r="W1600" s="267"/>
      <c r="X1600" s="263"/>
      <c r="AZ1600" s="269" t="s">
        <v>42</v>
      </c>
      <c r="BA1600" s="269">
        <v>7</v>
      </c>
    </row>
    <row r="1601" spans="1:53" ht="39.950000000000003" customHeight="1">
      <c r="E1601" s="264" t="s">
        <v>26</v>
      </c>
      <c r="F1601" s="265" t="s">
        <v>128</v>
      </c>
      <c r="G1601" s="263"/>
      <c r="H1601" s="263"/>
      <c r="I1601" s="486"/>
      <c r="J1601" s="486"/>
      <c r="K1601" s="486"/>
      <c r="L1601" s="486"/>
      <c r="M1601" s="263"/>
      <c r="N1601" s="483" t="str">
        <f>IF(V1594&gt;V1597,I1594,IF(V1597&gt;V1594,I1597,""))</f>
        <v>FEČO Samuel</v>
      </c>
      <c r="O1601" s="494"/>
      <c r="P1601" s="494"/>
      <c r="Q1601" s="494"/>
      <c r="R1601" s="494"/>
      <c r="S1601" s="495"/>
      <c r="T1601" s="263"/>
      <c r="U1601" s="263"/>
      <c r="V1601" s="263"/>
      <c r="W1601" s="267"/>
      <c r="X1601" s="263"/>
      <c r="AZ1601" s="269" t="s">
        <v>43</v>
      </c>
      <c r="BA1601" s="269">
        <v>8</v>
      </c>
    </row>
    <row r="1602" spans="1:53" ht="39.950000000000003" customHeight="1">
      <c r="E1602" s="271"/>
      <c r="F1602" s="272"/>
      <c r="G1602" s="263"/>
      <c r="H1602" s="263"/>
      <c r="I1602" s="486"/>
      <c r="J1602" s="486"/>
      <c r="K1602" s="486"/>
      <c r="L1602" s="486"/>
      <c r="M1602" s="263"/>
      <c r="N1602" s="483" t="str">
        <f>IF(V1594&gt;V1597,I1595,IF(V1597&gt;V1594,I1598,""))</f>
        <v>PAPÁNEK Martin</v>
      </c>
      <c r="O1602" s="494"/>
      <c r="P1602" s="494"/>
      <c r="Q1602" s="494"/>
      <c r="R1602" s="494"/>
      <c r="S1602" s="495"/>
      <c r="T1602" s="263"/>
      <c r="U1602" s="263"/>
      <c r="V1602" s="263"/>
      <c r="W1602" s="267"/>
      <c r="X1602" s="263"/>
    </row>
    <row r="1603" spans="1:53" ht="39.950000000000003" customHeight="1">
      <c r="E1603" s="264" t="s">
        <v>27</v>
      </c>
      <c r="F1603" s="274" t="s">
        <v>164</v>
      </c>
      <c r="G1603" s="263"/>
      <c r="H1603" s="263"/>
      <c r="I1603" s="263"/>
      <c r="J1603" s="263"/>
      <c r="K1603" s="263"/>
      <c r="L1603" s="263"/>
      <c r="M1603" s="263"/>
      <c r="N1603" s="263"/>
      <c r="O1603" s="263"/>
      <c r="P1603" s="263"/>
      <c r="Q1603" s="263"/>
      <c r="R1603" s="263"/>
      <c r="S1603" s="263"/>
      <c r="T1603" s="263"/>
      <c r="U1603" s="263"/>
      <c r="V1603" s="263"/>
      <c r="W1603" s="267"/>
      <c r="X1603" s="263"/>
    </row>
    <row r="1604" spans="1:53" ht="39.950000000000003" customHeight="1">
      <c r="E1604" s="271"/>
      <c r="F1604" s="272"/>
      <c r="G1604" s="263"/>
      <c r="H1604" s="263" t="s">
        <v>33</v>
      </c>
      <c r="I1604" s="263"/>
      <c r="J1604" s="263"/>
      <c r="K1604" s="263"/>
      <c r="L1604" s="263"/>
      <c r="M1604" s="263"/>
      <c r="N1604" s="263"/>
      <c r="O1604" s="263"/>
      <c r="P1604" s="263"/>
      <c r="Q1604" s="263"/>
      <c r="R1604" s="263"/>
      <c r="S1604" s="263"/>
      <c r="T1604" s="263"/>
      <c r="U1604" s="263"/>
      <c r="V1604" s="263"/>
      <c r="W1604" s="267"/>
      <c r="X1604" s="263"/>
    </row>
    <row r="1605" spans="1:53" ht="39.950000000000003" customHeight="1">
      <c r="E1605" s="271"/>
      <c r="F1605" s="272"/>
      <c r="G1605" s="263"/>
      <c r="H1605" s="263"/>
      <c r="I1605" s="263"/>
      <c r="J1605" s="263"/>
      <c r="K1605" s="263"/>
      <c r="L1605" s="263"/>
      <c r="M1605" s="263"/>
      <c r="N1605" s="263"/>
      <c r="O1605" s="263"/>
      <c r="P1605" s="263"/>
      <c r="Q1605" s="263"/>
      <c r="R1605" s="263"/>
      <c r="S1605" s="263"/>
      <c r="T1605" s="263"/>
      <c r="U1605" s="263"/>
      <c r="V1605" s="263"/>
      <c r="W1605" s="267"/>
      <c r="X1605" s="263"/>
    </row>
    <row r="1606" spans="1:53" ht="39.950000000000003" customHeight="1">
      <c r="E1606" s="271"/>
      <c r="F1606" s="272"/>
      <c r="G1606" s="263"/>
      <c r="H1606" s="263"/>
      <c r="I1606" s="496" t="str">
        <f>I1594</f>
        <v>FEČO Michal</v>
      </c>
      <c r="J1606" s="496"/>
      <c r="K1606" s="496"/>
      <c r="L1606" s="496"/>
      <c r="M1606" s="263"/>
      <c r="N1606" s="263"/>
      <c r="P1606" s="496" t="str">
        <f>I1597</f>
        <v>FEČO Samuel</v>
      </c>
      <c r="Q1606" s="496"/>
      <c r="R1606" s="496"/>
      <c r="S1606" s="496"/>
      <c r="T1606" s="497"/>
      <c r="U1606" s="497"/>
      <c r="V1606" s="263"/>
      <c r="W1606" s="267"/>
      <c r="X1606" s="263"/>
    </row>
    <row r="1607" spans="1:53" ht="39.950000000000003" customHeight="1">
      <c r="E1607" s="271"/>
      <c r="F1607" s="272"/>
      <c r="G1607" s="263"/>
      <c r="H1607" s="263"/>
      <c r="I1607" s="496" t="str">
        <f>I1595</f>
        <v>KAPUSTA Martin</v>
      </c>
      <c r="J1607" s="496"/>
      <c r="K1607" s="496"/>
      <c r="L1607" s="496"/>
      <c r="M1607" s="263"/>
      <c r="N1607" s="263"/>
      <c r="O1607" s="263"/>
      <c r="P1607" s="496" t="str">
        <f>I1598</f>
        <v>PAPÁNEK Martin</v>
      </c>
      <c r="Q1607" s="496"/>
      <c r="R1607" s="496"/>
      <c r="S1607" s="496"/>
      <c r="T1607" s="497"/>
      <c r="U1607" s="497"/>
      <c r="V1607" s="263"/>
      <c r="W1607" s="267"/>
      <c r="X1607" s="263"/>
    </row>
    <row r="1608" spans="1:53" ht="69.95" customHeight="1">
      <c r="E1608" s="264"/>
      <c r="F1608" s="265"/>
      <c r="G1608" s="263"/>
      <c r="H1608" s="275" t="s">
        <v>36</v>
      </c>
      <c r="I1608" s="483"/>
      <c r="J1608" s="484"/>
      <c r="K1608" s="484"/>
      <c r="L1608" s="485"/>
      <c r="M1608" s="263"/>
      <c r="N1608" s="263"/>
      <c r="O1608" s="275" t="s">
        <v>36</v>
      </c>
      <c r="P1608" s="486"/>
      <c r="Q1608" s="486"/>
      <c r="R1608" s="486"/>
      <c r="S1608" s="486"/>
      <c r="T1608" s="486"/>
      <c r="U1608" s="486"/>
      <c r="V1608" s="263"/>
      <c r="W1608" s="267"/>
      <c r="X1608" s="263"/>
    </row>
    <row r="1609" spans="1:53" ht="69.95" customHeight="1">
      <c r="E1609" s="264"/>
      <c r="F1609" s="265"/>
      <c r="G1609" s="263"/>
      <c r="H1609" s="275" t="s">
        <v>37</v>
      </c>
      <c r="I1609" s="486"/>
      <c r="J1609" s="486"/>
      <c r="K1609" s="486"/>
      <c r="L1609" s="486"/>
      <c r="M1609" s="263"/>
      <c r="N1609" s="263"/>
      <c r="O1609" s="275" t="s">
        <v>37</v>
      </c>
      <c r="P1609" s="486"/>
      <c r="Q1609" s="486"/>
      <c r="R1609" s="486"/>
      <c r="S1609" s="486"/>
      <c r="T1609" s="486"/>
      <c r="U1609" s="486"/>
      <c r="V1609" s="263"/>
      <c r="W1609" s="267"/>
      <c r="X1609" s="263"/>
    </row>
    <row r="1610" spans="1:53" ht="69.95" customHeight="1">
      <c r="E1610" s="264"/>
      <c r="F1610" s="265"/>
      <c r="G1610" s="263"/>
      <c r="H1610" s="275" t="s">
        <v>37</v>
      </c>
      <c r="I1610" s="486"/>
      <c r="J1610" s="486"/>
      <c r="K1610" s="486"/>
      <c r="L1610" s="486"/>
      <c r="M1610" s="263"/>
      <c r="N1610" s="263"/>
      <c r="O1610" s="275" t="s">
        <v>37</v>
      </c>
      <c r="P1610" s="486"/>
      <c r="Q1610" s="486"/>
      <c r="R1610" s="486"/>
      <c r="S1610" s="486"/>
      <c r="T1610" s="486"/>
      <c r="U1610" s="486"/>
      <c r="V1610" s="263"/>
      <c r="W1610" s="267"/>
      <c r="X1610" s="263"/>
    </row>
    <row r="1611" spans="1:53" ht="39.950000000000003" customHeight="1" thickBot="1">
      <c r="E1611" s="276"/>
      <c r="F1611" s="277"/>
      <c r="G1611" s="278"/>
      <c r="H1611" s="278"/>
      <c r="I1611" s="278"/>
      <c r="J1611" s="278"/>
      <c r="K1611" s="278"/>
      <c r="L1611" s="278"/>
      <c r="M1611" s="278"/>
      <c r="N1611" s="278"/>
      <c r="O1611" s="278"/>
      <c r="P1611" s="278"/>
      <c r="Q1611" s="278"/>
      <c r="R1611" s="278"/>
      <c r="S1611" s="278"/>
      <c r="T1611" s="279"/>
      <c r="U1611" s="279"/>
      <c r="V1611" s="279"/>
      <c r="W1611" s="280"/>
      <c r="X1611" s="263"/>
    </row>
    <row r="1612" spans="1:53" ht="62.25" thickBot="1"/>
    <row r="1613" spans="1:53" ht="39.950000000000003" customHeight="1">
      <c r="A1613" s="252" t="str">
        <f>CONCATENATE(F1620,F1622,F1624)</f>
        <v>CH4P5</v>
      </c>
      <c r="C1613" s="223"/>
      <c r="D1613" s="223"/>
      <c r="E1613" s="259" t="s">
        <v>70</v>
      </c>
      <c r="F1613" s="260">
        <f>VLOOKUP(CONCATENATE(A1613,1),'zoznam zapasov'!$A$6:$K$160,3,0)</f>
        <v>81</v>
      </c>
      <c r="G1613" s="261"/>
      <c r="H1613" s="322" t="s">
        <v>501</v>
      </c>
      <c r="I1613" s="261"/>
      <c r="J1613" s="261"/>
      <c r="K1613" s="261"/>
      <c r="L1613" s="261"/>
      <c r="M1613" s="261"/>
      <c r="N1613" s="261"/>
      <c r="O1613" s="261"/>
      <c r="P1613" s="261"/>
      <c r="Q1613" s="261"/>
      <c r="R1613" s="261"/>
      <c r="S1613" s="261"/>
      <c r="T1613" s="261"/>
      <c r="U1613" s="261"/>
      <c r="V1613" s="261" t="s">
        <v>30</v>
      </c>
      <c r="W1613" s="262"/>
      <c r="X1613" s="263"/>
      <c r="Y1613" s="253" t="str">
        <f>A1615</f>
        <v>CH4P51</v>
      </c>
      <c r="Z1613" s="258" t="str">
        <f>CONCATENATE(V1615,":",V1618)</f>
        <v>3:0</v>
      </c>
      <c r="AA1613" s="255" t="str">
        <f>IF(V1615&gt;V1618,B1615,IF(V1618&gt;V1615,B1618,""))</f>
        <v>PETRÍK / TUREK</v>
      </c>
      <c r="AB1613" s="255" t="str">
        <f>IF(V1615&gt;V1618,AV1613,IF(V1618&gt;V1615,AV1614,""))</f>
        <v xml:space="preserve">3:0 ( 3,9,4,,,, ) </v>
      </c>
      <c r="AC1613" s="255" t="str">
        <f>CONCATENATE("Tbl.: ",F1615,"   H: ",F1618,"   D: ",F1617)</f>
        <v>Tbl.: 5   H: 13.55   D: So</v>
      </c>
      <c r="AE1613" s="253" t="s">
        <v>11</v>
      </c>
      <c r="AV1613" s="256" t="str">
        <f>CONCATENATE(V1615,":",V1618, " ( ",AN1615,",",AO1615,",",AP1615,",",AQ1615,",",AR1615,",",AS1615,",",AT1615," ) ")</f>
        <v xml:space="preserve">3:0 ( 3,9,4,,,, ) </v>
      </c>
    </row>
    <row r="1614" spans="1:53" ht="39.950000000000003" customHeight="1">
      <c r="C1614" s="223"/>
      <c r="D1614" s="223"/>
      <c r="E1614" s="264"/>
      <c r="F1614" s="265"/>
      <c r="G1614" s="321" t="s">
        <v>500</v>
      </c>
      <c r="H1614" s="323" t="s">
        <v>502</v>
      </c>
      <c r="I1614" s="263"/>
      <c r="J1614" s="263"/>
      <c r="K1614" s="263"/>
      <c r="L1614" s="263"/>
      <c r="M1614" s="263"/>
      <c r="N1614" s="266">
        <v>1</v>
      </c>
      <c r="O1614" s="266">
        <v>2</v>
      </c>
      <c r="P1614" s="266">
        <v>3</v>
      </c>
      <c r="Q1614" s="266">
        <v>4</v>
      </c>
      <c r="R1614" s="266">
        <v>5</v>
      </c>
      <c r="S1614" s="266">
        <v>6</v>
      </c>
      <c r="T1614" s="266">
        <v>7</v>
      </c>
      <c r="U1614" s="263"/>
      <c r="V1614" s="266" t="s">
        <v>31</v>
      </c>
      <c r="W1614" s="267"/>
      <c r="X1614" s="263"/>
      <c r="AE1614" s="253" t="s">
        <v>68</v>
      </c>
      <c r="AV1614" s="256" t="str">
        <f>CONCATENATE(V1618,":",V1615, " ( ",AN1616,",",AO1616,",",AP1616,",",AQ1616,",",AR1616,",",AS1616,",",AT1616," ) ")</f>
        <v xml:space="preserve">0:3 ( -3,-9,-4,,,, ) </v>
      </c>
    </row>
    <row r="1615" spans="1:53" ht="39.950000000000003" customHeight="1">
      <c r="A1615" s="252" t="str">
        <f>CONCATENATE(A1613,1)</f>
        <v>CH4P51</v>
      </c>
      <c r="B1615" s="252" t="str">
        <f>VLOOKUP(A1615,'KO KODY SPOLU'!$A$3:$B$189,2,0)</f>
        <v>PETRÍK / TUREK</v>
      </c>
      <c r="C1615" s="223"/>
      <c r="D1615" s="223"/>
      <c r="E1615" s="264" t="s">
        <v>29</v>
      </c>
      <c r="F1615" s="265">
        <f>VLOOKUP(CONCATENATE(A1613,1),'zoznam zapasov'!$A$6:$K$160,11,0)</f>
        <v>5</v>
      </c>
      <c r="G1615" s="508"/>
      <c r="H1615" s="319"/>
      <c r="I1615" s="487" t="str">
        <f>IF(ISERROR(VLOOKUP(B1615,vylosovanie!$N$75:$Q$191,3,0))=TRUE," ",VLOOKUP(B1615,vylosovanie!$N$75:$Q$191,3,0))</f>
        <v>PETRÍK Filip</v>
      </c>
      <c r="J1615" s="488"/>
      <c r="K1615" s="488"/>
      <c r="L1615" s="488"/>
      <c r="M1615" s="263"/>
      <c r="N1615" s="489">
        <v>11</v>
      </c>
      <c r="O1615" s="489">
        <v>11</v>
      </c>
      <c r="P1615" s="489">
        <v>11</v>
      </c>
      <c r="Q1615" s="489"/>
      <c r="R1615" s="489"/>
      <c r="S1615" s="491"/>
      <c r="T1615" s="491"/>
      <c r="U1615" s="263"/>
      <c r="V1615" s="493">
        <f>IF(SUM(AF1615:AL1616)=0,"",SUM(AF1615:AL1615))</f>
        <v>3</v>
      </c>
      <c r="W1615" s="267"/>
      <c r="X1615" s="263"/>
      <c r="AE1615" s="253" t="str">
        <f>VLOOKUP(I1615,vylosovanie!$F$8:$L$190,7,0)</f>
        <v>CH51</v>
      </c>
      <c r="AF1615" s="268">
        <f>IF(N1615&gt;N1618,1,0)</f>
        <v>1</v>
      </c>
      <c r="AG1615" s="268">
        <f t="shared" ref="AG1615" si="1206">IF(O1615&gt;O1618,1,0)</f>
        <v>1</v>
      </c>
      <c r="AH1615" s="268">
        <f t="shared" ref="AH1615" si="1207">IF(P1615&gt;P1618,1,0)</f>
        <v>1</v>
      </c>
      <c r="AI1615" s="268">
        <f t="shared" ref="AI1615" si="1208">IF(Q1615&gt;Q1618,1,0)</f>
        <v>0</v>
      </c>
      <c r="AJ1615" s="268">
        <f t="shared" ref="AJ1615" si="1209">IF(R1615&gt;R1618,1,0)</f>
        <v>0</v>
      </c>
      <c r="AK1615" s="268">
        <f t="shared" ref="AK1615" si="1210">IF(S1615&gt;S1618,1,0)</f>
        <v>0</v>
      </c>
      <c r="AL1615" s="268">
        <f t="shared" ref="AL1615" si="1211">IF(T1615&gt;T1618,1,0)</f>
        <v>0</v>
      </c>
      <c r="AN1615" s="268">
        <f t="shared" ref="AN1615" si="1212">IF(ISBLANK(N1615)=TRUE,"",IF(AF1615=1,N1618,-N1615))</f>
        <v>3</v>
      </c>
      <c r="AO1615" s="268">
        <f t="shared" ref="AO1615" si="1213">IF(ISBLANK(O1615)=TRUE,"",IF(AG1615=1,O1618,-O1615))</f>
        <v>9</v>
      </c>
      <c r="AP1615" s="268">
        <f t="shared" ref="AP1615" si="1214">IF(ISBLANK(P1615)=TRUE,"",IF(AH1615=1,P1618,-P1615))</f>
        <v>4</v>
      </c>
      <c r="AQ1615" s="268" t="str">
        <f t="shared" ref="AQ1615" si="1215">IF(ISBLANK(Q1615)=TRUE,"",IF(AI1615=1,Q1618,-Q1615))</f>
        <v/>
      </c>
      <c r="AR1615" s="268" t="str">
        <f t="shared" ref="AR1615" si="1216">IF(ISBLANK(R1615)=TRUE,"",IF(AJ1615=1,R1618,-R1615))</f>
        <v/>
      </c>
      <c r="AS1615" s="268" t="str">
        <f t="shared" ref="AS1615" si="1217">IF(ISBLANK(S1615)=TRUE,"",IF(AK1615=1,S1618,-S1615))</f>
        <v/>
      </c>
      <c r="AT1615" s="268" t="str">
        <f t="shared" ref="AT1615" si="1218">IF(ISBLANK(T1615)=TRUE,"",IF(AL1615=1,T1618,-T1615))</f>
        <v/>
      </c>
      <c r="AZ1615" s="269" t="s">
        <v>12</v>
      </c>
      <c r="BA1615" s="269">
        <v>1</v>
      </c>
    </row>
    <row r="1616" spans="1:53" ht="39.950000000000003" customHeight="1">
      <c r="C1616" s="223"/>
      <c r="D1616" s="223"/>
      <c r="E1616" s="264"/>
      <c r="F1616" s="265"/>
      <c r="G1616" s="509"/>
      <c r="H1616" s="319"/>
      <c r="I1616" s="487" t="str">
        <f>IF(ISERROR(VLOOKUP(B1615,vylosovanie!$N$75:$Q$191,3,0))=TRUE," ",VLOOKUP(B1615,vylosovanie!$N$75:$Q$191,4,0))</f>
        <v>TUREK Teodor</v>
      </c>
      <c r="J1616" s="488"/>
      <c r="K1616" s="488"/>
      <c r="L1616" s="488"/>
      <c r="M1616" s="263"/>
      <c r="N1616" s="490"/>
      <c r="O1616" s="490"/>
      <c r="P1616" s="490"/>
      <c r="Q1616" s="490"/>
      <c r="R1616" s="490"/>
      <c r="S1616" s="492"/>
      <c r="T1616" s="492"/>
      <c r="U1616" s="263"/>
      <c r="V1616" s="493"/>
      <c r="W1616" s="267"/>
      <c r="X1616" s="263"/>
      <c r="AE1616" s="253" t="str">
        <f>VLOOKUP(I1618,vylosovanie!$F$8:$L$190,7,0)</f>
        <v>CH22</v>
      </c>
      <c r="AF1616" s="268">
        <f>IF(N1618&gt;N1615,1,0)</f>
        <v>0</v>
      </c>
      <c r="AG1616" s="268">
        <f t="shared" ref="AG1616" si="1219">IF(O1618&gt;O1615,1,0)</f>
        <v>0</v>
      </c>
      <c r="AH1616" s="268">
        <f t="shared" ref="AH1616" si="1220">IF(P1618&gt;P1615,1,0)</f>
        <v>0</v>
      </c>
      <c r="AI1616" s="268">
        <f t="shared" ref="AI1616" si="1221">IF(Q1618&gt;Q1615,1,0)</f>
        <v>0</v>
      </c>
      <c r="AJ1616" s="268">
        <f t="shared" ref="AJ1616" si="1222">IF(R1618&gt;R1615,1,0)</f>
        <v>0</v>
      </c>
      <c r="AK1616" s="268">
        <f t="shared" ref="AK1616" si="1223">IF(S1618&gt;S1615,1,0)</f>
        <v>0</v>
      </c>
      <c r="AL1616" s="268">
        <f t="shared" ref="AL1616" si="1224">IF(T1618&gt;T1615,1,0)</f>
        <v>0</v>
      </c>
      <c r="AN1616" s="268">
        <f t="shared" ref="AN1616" si="1225">IF(ISBLANK(N1618)=TRUE,"",IF(AF1616=1,N1615,-N1618))</f>
        <v>-3</v>
      </c>
      <c r="AO1616" s="268">
        <f t="shared" ref="AO1616" si="1226">IF(ISBLANK(O1618)=TRUE,"",IF(AG1616=1,O1615,-O1618))</f>
        <v>-9</v>
      </c>
      <c r="AP1616" s="268">
        <f t="shared" ref="AP1616" si="1227">IF(ISBLANK(P1618)=TRUE,"",IF(AH1616=1,P1615,-P1618))</f>
        <v>-4</v>
      </c>
      <c r="AQ1616" s="268" t="str">
        <f t="shared" ref="AQ1616" si="1228">IF(ISBLANK(Q1618)=TRUE,"",IF(AI1616=1,Q1615,-Q1618))</f>
        <v/>
      </c>
      <c r="AR1616" s="268" t="str">
        <f t="shared" ref="AR1616" si="1229">IF(ISBLANK(R1618)=TRUE,"",IF(AJ1616=1,R1615,-R1618))</f>
        <v/>
      </c>
      <c r="AS1616" s="268" t="str">
        <f t="shared" ref="AS1616" si="1230">IF(ISBLANK(S1618)=TRUE,"",IF(AK1616=1,S1615,-S1618))</f>
        <v/>
      </c>
      <c r="AT1616" s="268" t="str">
        <f t="shared" ref="AT1616" si="1231">IF(ISBLANK(T1618)=TRUE,"",IF(AL1616=1,T1615,-T1618))</f>
        <v/>
      </c>
      <c r="AZ1616" s="269" t="s">
        <v>18</v>
      </c>
      <c r="BA1616" s="269">
        <v>2</v>
      </c>
    </row>
    <row r="1617" spans="1:53" ht="39.950000000000003" customHeight="1">
      <c r="C1617" s="223"/>
      <c r="D1617" s="223"/>
      <c r="E1617" s="264" t="s">
        <v>35</v>
      </c>
      <c r="F1617" s="265" t="str">
        <f>VLOOKUP(CONCATENATE(A1613,1),'zoznam zapasov'!$A$6:$K$160,9,0)</f>
        <v>So</v>
      </c>
      <c r="G1617" s="263"/>
      <c r="H1617" s="263"/>
      <c r="I1617" s="263"/>
      <c r="J1617" s="263"/>
      <c r="K1617" s="263"/>
      <c r="L1617" s="263"/>
      <c r="M1617" s="263"/>
      <c r="N1617" s="263"/>
      <c r="O1617" s="263"/>
      <c r="P1617" s="263"/>
      <c r="Q1617" s="263"/>
      <c r="R1617" s="263"/>
      <c r="S1617" s="263"/>
      <c r="T1617" s="263"/>
      <c r="U1617" s="263"/>
      <c r="V1617" s="263"/>
      <c r="W1617" s="267"/>
      <c r="X1617" s="263"/>
      <c r="AZ1617" s="269" t="s">
        <v>38</v>
      </c>
      <c r="BA1617" s="269">
        <v>3</v>
      </c>
    </row>
    <row r="1618" spans="1:53" ht="39.950000000000003" customHeight="1">
      <c r="A1618" s="252" t="str">
        <f>CONCATENATE(A1613,2)</f>
        <v>CH4P52</v>
      </c>
      <c r="B1618" s="252" t="str">
        <f>VLOOKUP(A1618,'KO KODY SPOLU'!$A$3:$B$189,2,0)</f>
        <v>SUCHA / MIKLUŠČÁK</v>
      </c>
      <c r="C1618" s="223"/>
      <c r="D1618" s="223"/>
      <c r="E1618" s="264" t="s">
        <v>28</v>
      </c>
      <c r="F1618" s="270" t="str">
        <f>VLOOKUP(CONCATENATE(A1613,1),'zoznam zapasov'!$A$6:$K$160,10,0)</f>
        <v>13.55</v>
      </c>
      <c r="G1618" s="508"/>
      <c r="H1618" s="319"/>
      <c r="I1618" s="487" t="str">
        <f>IF(ISERROR(VLOOKUP(B1618,vylosovanie!$N$75:$Q$191,3,0))=TRUE," ",VLOOKUP(B1618,vylosovanie!$N$75:$Q$191,3,0))</f>
        <v>SUCHA Tomáš</v>
      </c>
      <c r="J1618" s="488"/>
      <c r="K1618" s="488"/>
      <c r="L1618" s="488"/>
      <c r="M1618" s="263"/>
      <c r="N1618" s="489">
        <v>3</v>
      </c>
      <c r="O1618" s="489">
        <v>9</v>
      </c>
      <c r="P1618" s="489">
        <v>4</v>
      </c>
      <c r="Q1618" s="489"/>
      <c r="R1618" s="489"/>
      <c r="S1618" s="491"/>
      <c r="T1618" s="491"/>
      <c r="U1618" s="263"/>
      <c r="V1618" s="493">
        <f>IF(SUM(AF1615:AL1616)=0,"",SUM(AF1616:AL1616))</f>
        <v>0</v>
      </c>
      <c r="W1618" s="267"/>
      <c r="X1618" s="263"/>
      <c r="AZ1618" s="269" t="s">
        <v>39</v>
      </c>
      <c r="BA1618" s="269">
        <v>4</v>
      </c>
    </row>
    <row r="1619" spans="1:53" ht="39.950000000000003" customHeight="1">
      <c r="C1619" s="223"/>
      <c r="D1619" s="223"/>
      <c r="E1619" s="271"/>
      <c r="F1619" s="272"/>
      <c r="G1619" s="509"/>
      <c r="H1619" s="319"/>
      <c r="I1619" s="487" t="str">
        <f>IF(ISERROR(VLOOKUP(B1618,vylosovanie!$N$75:$Q$191,3,0))=TRUE," ",VLOOKUP(B1618,vylosovanie!$N$75:$Q$191,4,0))</f>
        <v>MIKLUŠČÁK Benjamín</v>
      </c>
      <c r="J1619" s="488"/>
      <c r="K1619" s="488"/>
      <c r="L1619" s="488"/>
      <c r="M1619" s="263"/>
      <c r="N1619" s="490"/>
      <c r="O1619" s="490"/>
      <c r="P1619" s="490"/>
      <c r="Q1619" s="490"/>
      <c r="R1619" s="490"/>
      <c r="S1619" s="492"/>
      <c r="T1619" s="492"/>
      <c r="U1619" s="263"/>
      <c r="V1619" s="493"/>
      <c r="W1619" s="267"/>
      <c r="X1619" s="263"/>
      <c r="AZ1619" s="269" t="s">
        <v>40</v>
      </c>
      <c r="BA1619" s="269">
        <v>5</v>
      </c>
    </row>
    <row r="1620" spans="1:53" ht="39.950000000000003" customHeight="1">
      <c r="C1620" s="223"/>
      <c r="D1620" s="223"/>
      <c r="E1620" s="264" t="s">
        <v>66</v>
      </c>
      <c r="F1620" s="265" t="s">
        <v>309</v>
      </c>
      <c r="G1620" s="263"/>
      <c r="H1620" s="263"/>
      <c r="I1620" s="263"/>
      <c r="J1620" s="263"/>
      <c r="K1620" s="263"/>
      <c r="L1620" s="263"/>
      <c r="M1620" s="263"/>
      <c r="N1620" s="263"/>
      <c r="O1620" s="263"/>
      <c r="P1620" s="263"/>
      <c r="Q1620" s="263"/>
      <c r="R1620" s="263"/>
      <c r="S1620" s="263"/>
      <c r="T1620" s="263"/>
      <c r="U1620" s="263"/>
      <c r="V1620" s="263"/>
      <c r="W1620" s="267"/>
      <c r="X1620" s="263"/>
      <c r="AZ1620" s="269" t="s">
        <v>41</v>
      </c>
      <c r="BA1620" s="269">
        <v>6</v>
      </c>
    </row>
    <row r="1621" spans="1:53" ht="39.950000000000003" customHeight="1">
      <c r="C1621" s="223"/>
      <c r="D1621" s="223"/>
      <c r="E1621" s="271"/>
      <c r="F1621" s="272"/>
      <c r="G1621" s="263"/>
      <c r="H1621" s="263"/>
      <c r="I1621" s="263" t="s">
        <v>32</v>
      </c>
      <c r="J1621" s="263"/>
      <c r="K1621" s="263"/>
      <c r="L1621" s="263"/>
      <c r="M1621" s="263"/>
      <c r="N1621" s="273"/>
      <c r="O1621" s="266"/>
      <c r="P1621" s="266" t="s">
        <v>34</v>
      </c>
      <c r="Q1621" s="266"/>
      <c r="R1621" s="266"/>
      <c r="S1621" s="266"/>
      <c r="T1621" s="266"/>
      <c r="U1621" s="263"/>
      <c r="V1621" s="263"/>
      <c r="W1621" s="267"/>
      <c r="X1621" s="263"/>
      <c r="AZ1621" s="269" t="s">
        <v>42</v>
      </c>
      <c r="BA1621" s="269">
        <v>7</v>
      </c>
    </row>
    <row r="1622" spans="1:53" ht="39.950000000000003" customHeight="1">
      <c r="E1622" s="264" t="s">
        <v>26</v>
      </c>
      <c r="F1622" s="265" t="s">
        <v>128</v>
      </c>
      <c r="G1622" s="263"/>
      <c r="H1622" s="263"/>
      <c r="I1622" s="486"/>
      <c r="J1622" s="486"/>
      <c r="K1622" s="486"/>
      <c r="L1622" s="486"/>
      <c r="M1622" s="263"/>
      <c r="N1622" s="483" t="str">
        <f>IF(V1615&gt;V1618,I1615,IF(V1618&gt;V1615,I1618,""))</f>
        <v>PETRÍK Filip</v>
      </c>
      <c r="O1622" s="494"/>
      <c r="P1622" s="494"/>
      <c r="Q1622" s="494"/>
      <c r="R1622" s="494"/>
      <c r="S1622" s="495"/>
      <c r="T1622" s="263"/>
      <c r="U1622" s="263"/>
      <c r="V1622" s="263"/>
      <c r="W1622" s="267"/>
      <c r="X1622" s="263"/>
      <c r="AZ1622" s="269" t="s">
        <v>43</v>
      </c>
      <c r="BA1622" s="269">
        <v>8</v>
      </c>
    </row>
    <row r="1623" spans="1:53" ht="39.950000000000003" customHeight="1">
      <c r="E1623" s="271"/>
      <c r="F1623" s="272"/>
      <c r="G1623" s="263"/>
      <c r="H1623" s="263"/>
      <c r="I1623" s="486"/>
      <c r="J1623" s="486"/>
      <c r="K1623" s="486"/>
      <c r="L1623" s="486"/>
      <c r="M1623" s="263"/>
      <c r="N1623" s="483" t="str">
        <f>IF(V1615&gt;V1618,I1616,IF(V1618&gt;V1615,I1619,""))</f>
        <v>TUREK Teodor</v>
      </c>
      <c r="O1623" s="494"/>
      <c r="P1623" s="494"/>
      <c r="Q1623" s="494"/>
      <c r="R1623" s="494"/>
      <c r="S1623" s="495"/>
      <c r="T1623" s="263"/>
      <c r="U1623" s="263"/>
      <c r="V1623" s="263"/>
      <c r="W1623" s="267"/>
      <c r="X1623" s="263"/>
    </row>
    <row r="1624" spans="1:53" ht="39.950000000000003" customHeight="1">
      <c r="E1624" s="264" t="s">
        <v>27</v>
      </c>
      <c r="F1624" s="274" t="s">
        <v>310</v>
      </c>
      <c r="G1624" s="263"/>
      <c r="H1624" s="263"/>
      <c r="I1624" s="263"/>
      <c r="J1624" s="263"/>
      <c r="K1624" s="263"/>
      <c r="L1624" s="263"/>
      <c r="M1624" s="263"/>
      <c r="N1624" s="263"/>
      <c r="O1624" s="263"/>
      <c r="P1624" s="263"/>
      <c r="Q1624" s="263"/>
      <c r="R1624" s="263"/>
      <c r="S1624" s="263"/>
      <c r="T1624" s="263"/>
      <c r="U1624" s="263"/>
      <c r="V1624" s="263"/>
      <c r="W1624" s="267"/>
      <c r="X1624" s="263"/>
    </row>
    <row r="1625" spans="1:53" ht="39.950000000000003" customHeight="1">
      <c r="E1625" s="271"/>
      <c r="F1625" s="272"/>
      <c r="G1625" s="263"/>
      <c r="H1625" s="263" t="s">
        <v>33</v>
      </c>
      <c r="I1625" s="263"/>
      <c r="J1625" s="263"/>
      <c r="K1625" s="263"/>
      <c r="L1625" s="263"/>
      <c r="M1625" s="263"/>
      <c r="N1625" s="263"/>
      <c r="O1625" s="263"/>
      <c r="P1625" s="263"/>
      <c r="Q1625" s="263"/>
      <c r="R1625" s="263"/>
      <c r="S1625" s="263"/>
      <c r="T1625" s="263"/>
      <c r="U1625" s="263"/>
      <c r="V1625" s="263"/>
      <c r="W1625" s="267"/>
      <c r="X1625" s="263"/>
    </row>
    <row r="1626" spans="1:53" ht="39.950000000000003" customHeight="1">
      <c r="E1626" s="271"/>
      <c r="F1626" s="272"/>
      <c r="G1626" s="263"/>
      <c r="H1626" s="263"/>
      <c r="I1626" s="263"/>
      <c r="J1626" s="263"/>
      <c r="K1626" s="263"/>
      <c r="L1626" s="263"/>
      <c r="M1626" s="263"/>
      <c r="N1626" s="263"/>
      <c r="O1626" s="263"/>
      <c r="P1626" s="263"/>
      <c r="Q1626" s="263"/>
      <c r="R1626" s="263"/>
      <c r="S1626" s="263"/>
      <c r="T1626" s="263"/>
      <c r="U1626" s="263"/>
      <c r="V1626" s="263"/>
      <c r="W1626" s="267"/>
      <c r="X1626" s="263"/>
    </row>
    <row r="1627" spans="1:53" ht="39.950000000000003" customHeight="1">
      <c r="E1627" s="271"/>
      <c r="F1627" s="272"/>
      <c r="G1627" s="263"/>
      <c r="H1627" s="263"/>
      <c r="I1627" s="496" t="str">
        <f>I1615</f>
        <v>PETRÍK Filip</v>
      </c>
      <c r="J1627" s="496"/>
      <c r="K1627" s="496"/>
      <c r="L1627" s="496"/>
      <c r="M1627" s="263"/>
      <c r="N1627" s="263"/>
      <c r="P1627" s="496" t="str">
        <f>I1618</f>
        <v>SUCHA Tomáš</v>
      </c>
      <c r="Q1627" s="496"/>
      <c r="R1627" s="496"/>
      <c r="S1627" s="496"/>
      <c r="T1627" s="497"/>
      <c r="U1627" s="497"/>
      <c r="V1627" s="263"/>
      <c r="W1627" s="267"/>
      <c r="X1627" s="263"/>
    </row>
    <row r="1628" spans="1:53" ht="39.950000000000003" customHeight="1">
      <c r="E1628" s="271"/>
      <c r="F1628" s="272"/>
      <c r="G1628" s="263"/>
      <c r="H1628" s="263"/>
      <c r="I1628" s="496" t="str">
        <f>I1616</f>
        <v>TUREK Teodor</v>
      </c>
      <c r="J1628" s="496"/>
      <c r="K1628" s="496"/>
      <c r="L1628" s="496"/>
      <c r="M1628" s="263"/>
      <c r="N1628" s="263"/>
      <c r="O1628" s="263"/>
      <c r="P1628" s="496" t="str">
        <f>I1619</f>
        <v>MIKLUŠČÁK Benjamín</v>
      </c>
      <c r="Q1628" s="496"/>
      <c r="R1628" s="496"/>
      <c r="S1628" s="496"/>
      <c r="T1628" s="497"/>
      <c r="U1628" s="497"/>
      <c r="V1628" s="263"/>
      <c r="W1628" s="267"/>
      <c r="X1628" s="263"/>
    </row>
    <row r="1629" spans="1:53" ht="69.95" customHeight="1">
      <c r="E1629" s="264"/>
      <c r="F1629" s="265"/>
      <c r="G1629" s="263"/>
      <c r="H1629" s="275" t="s">
        <v>36</v>
      </c>
      <c r="I1629" s="483"/>
      <c r="J1629" s="484"/>
      <c r="K1629" s="484"/>
      <c r="L1629" s="485"/>
      <c r="M1629" s="263"/>
      <c r="N1629" s="263"/>
      <c r="O1629" s="275" t="s">
        <v>36</v>
      </c>
      <c r="P1629" s="486"/>
      <c r="Q1629" s="486"/>
      <c r="R1629" s="486"/>
      <c r="S1629" s="486"/>
      <c r="T1629" s="486"/>
      <c r="U1629" s="486"/>
      <c r="V1629" s="263"/>
      <c r="W1629" s="267"/>
      <c r="X1629" s="263"/>
    </row>
    <row r="1630" spans="1:53" ht="69.95" customHeight="1">
      <c r="E1630" s="264"/>
      <c r="F1630" s="265"/>
      <c r="G1630" s="263"/>
      <c r="H1630" s="275" t="s">
        <v>37</v>
      </c>
      <c r="I1630" s="486"/>
      <c r="J1630" s="486"/>
      <c r="K1630" s="486"/>
      <c r="L1630" s="486"/>
      <c r="M1630" s="263"/>
      <c r="N1630" s="263"/>
      <c r="O1630" s="275" t="s">
        <v>37</v>
      </c>
      <c r="P1630" s="486"/>
      <c r="Q1630" s="486"/>
      <c r="R1630" s="486"/>
      <c r="S1630" s="486"/>
      <c r="T1630" s="486"/>
      <c r="U1630" s="486"/>
      <c r="V1630" s="263"/>
      <c r="W1630" s="267"/>
      <c r="X1630" s="263"/>
    </row>
    <row r="1631" spans="1:53" ht="69.95" customHeight="1">
      <c r="E1631" s="264"/>
      <c r="F1631" s="265"/>
      <c r="G1631" s="263"/>
      <c r="H1631" s="275" t="s">
        <v>37</v>
      </c>
      <c r="I1631" s="486"/>
      <c r="J1631" s="486"/>
      <c r="K1631" s="486"/>
      <c r="L1631" s="486"/>
      <c r="M1631" s="263"/>
      <c r="N1631" s="263"/>
      <c r="O1631" s="275" t="s">
        <v>37</v>
      </c>
      <c r="P1631" s="486"/>
      <c r="Q1631" s="486"/>
      <c r="R1631" s="486"/>
      <c r="S1631" s="486"/>
      <c r="T1631" s="486"/>
      <c r="U1631" s="486"/>
      <c r="V1631" s="263"/>
      <c r="W1631" s="267"/>
      <c r="X1631" s="263"/>
    </row>
    <row r="1632" spans="1:53" ht="39.950000000000003" customHeight="1" thickBot="1">
      <c r="E1632" s="276"/>
      <c r="F1632" s="277"/>
      <c r="G1632" s="278"/>
      <c r="H1632" s="278"/>
      <c r="I1632" s="278"/>
      <c r="J1632" s="278"/>
      <c r="K1632" s="278"/>
      <c r="L1632" s="278"/>
      <c r="M1632" s="278"/>
      <c r="N1632" s="278"/>
      <c r="O1632" s="278"/>
      <c r="P1632" s="278"/>
      <c r="Q1632" s="278"/>
      <c r="R1632" s="278"/>
      <c r="S1632" s="278"/>
      <c r="T1632" s="279"/>
      <c r="U1632" s="279"/>
      <c r="V1632" s="279"/>
      <c r="W1632" s="280"/>
      <c r="X1632" s="263"/>
    </row>
    <row r="1633" spans="1:53" ht="62.25" thickBot="1"/>
    <row r="1634" spans="1:53" ht="39.950000000000003" customHeight="1">
      <c r="A1634" s="252" t="str">
        <f>CONCATENATE(F1641,F1643,F1645)</f>
        <v>CH4P6</v>
      </c>
      <c r="C1634" s="223"/>
      <c r="D1634" s="223"/>
      <c r="E1634" s="259" t="s">
        <v>70</v>
      </c>
      <c r="F1634" s="260">
        <f>VLOOKUP(CONCATENATE(A1634,1),'zoznam zapasov'!$A$6:$K$160,3,0)</f>
        <v>82</v>
      </c>
      <c r="G1634" s="261"/>
      <c r="H1634" s="322" t="s">
        <v>501</v>
      </c>
      <c r="I1634" s="261"/>
      <c r="J1634" s="261"/>
      <c r="K1634" s="261"/>
      <c r="L1634" s="261"/>
      <c r="M1634" s="261"/>
      <c r="N1634" s="261"/>
      <c r="O1634" s="261"/>
      <c r="P1634" s="261"/>
      <c r="Q1634" s="261"/>
      <c r="R1634" s="261"/>
      <c r="S1634" s="261"/>
      <c r="T1634" s="261"/>
      <c r="U1634" s="261"/>
      <c r="V1634" s="261" t="s">
        <v>30</v>
      </c>
      <c r="W1634" s="262"/>
      <c r="X1634" s="263"/>
      <c r="Y1634" s="253" t="str">
        <f>A1636</f>
        <v>CH4P61</v>
      </c>
      <c r="Z1634" s="258" t="str">
        <f>CONCATENATE(V1636,":",V1639)</f>
        <v>1:3</v>
      </c>
      <c r="AA1634" s="255" t="str">
        <f>IF(V1636&gt;V1639,B1636,IF(V1639&gt;V1636,B1639,""))</f>
        <v>ĎANOVSKÝ / MILAN</v>
      </c>
      <c r="AB1634" s="255" t="str">
        <f>IF(V1636&gt;V1639,AV1634,IF(V1639&gt;V1636,AV1635,""))</f>
        <v xml:space="preserve">3:1 ( 6,-7,9,9,,, ) </v>
      </c>
      <c r="AC1634" s="255" t="str">
        <f>CONCATENATE("Tbl.: ",F1636,"   H: ",F1639,"   D: ",F1638)</f>
        <v>Tbl.: 6   H: 13.55   D: So</v>
      </c>
      <c r="AE1634" s="253" t="s">
        <v>11</v>
      </c>
      <c r="AV1634" s="256" t="str">
        <f>CONCATENATE(V1636,":",V1639, " ( ",AN1636,",",AO1636,",",AP1636,",",AQ1636,",",AR1636,",",AS1636,",",AT1636," ) ")</f>
        <v xml:space="preserve">1:3 ( -6,7,-9,-9,,, ) </v>
      </c>
    </row>
    <row r="1635" spans="1:53" ht="39.950000000000003" customHeight="1">
      <c r="C1635" s="223"/>
      <c r="D1635" s="223"/>
      <c r="E1635" s="264"/>
      <c r="F1635" s="265"/>
      <c r="G1635" s="321" t="s">
        <v>500</v>
      </c>
      <c r="H1635" s="323" t="s">
        <v>502</v>
      </c>
      <c r="I1635" s="263"/>
      <c r="J1635" s="263"/>
      <c r="K1635" s="263"/>
      <c r="L1635" s="263"/>
      <c r="M1635" s="263"/>
      <c r="N1635" s="266">
        <v>1</v>
      </c>
      <c r="O1635" s="266">
        <v>2</v>
      </c>
      <c r="P1635" s="266">
        <v>3</v>
      </c>
      <c r="Q1635" s="266">
        <v>4</v>
      </c>
      <c r="R1635" s="266">
        <v>5</v>
      </c>
      <c r="S1635" s="266">
        <v>6</v>
      </c>
      <c r="T1635" s="266">
        <v>7</v>
      </c>
      <c r="U1635" s="263"/>
      <c r="V1635" s="266" t="s">
        <v>31</v>
      </c>
      <c r="W1635" s="267"/>
      <c r="X1635" s="263"/>
      <c r="AE1635" s="253" t="s">
        <v>68</v>
      </c>
      <c r="AV1635" s="256" t="str">
        <f>CONCATENATE(V1639,":",V1636, " ( ",AN1637,",",AO1637,",",AP1637,",",AQ1637,",",AR1637,",",AS1637,",",AT1637," ) ")</f>
        <v xml:space="preserve">3:1 ( 6,-7,9,9,,, ) </v>
      </c>
    </row>
    <row r="1636" spans="1:53" ht="39.950000000000003" customHeight="1">
      <c r="A1636" s="252" t="str">
        <f>CONCATENATE(A1634,1)</f>
        <v>CH4P61</v>
      </c>
      <c r="B1636" s="252" t="str">
        <f>VLOOKUP(A1636,'KO KODY SPOLU'!$A$3:$B$189,2,0)</f>
        <v>TRŇAN / TRUBÁČIK</v>
      </c>
      <c r="C1636" s="223"/>
      <c r="D1636" s="223"/>
      <c r="E1636" s="264" t="s">
        <v>29</v>
      </c>
      <c r="F1636" s="265">
        <f>VLOOKUP(CONCATENATE(A1634,1),'zoznam zapasov'!$A$6:$K$160,11,0)</f>
        <v>6</v>
      </c>
      <c r="G1636" s="508"/>
      <c r="H1636" s="319"/>
      <c r="I1636" s="487" t="str">
        <f>IF(ISERROR(VLOOKUP(B1636,vylosovanie!$N$75:$Q$191,3,0))=TRUE," ",VLOOKUP(B1636,vylosovanie!$N$75:$Q$191,3,0))</f>
        <v>TRŇAN Jakub</v>
      </c>
      <c r="J1636" s="488"/>
      <c r="K1636" s="488"/>
      <c r="L1636" s="488"/>
      <c r="M1636" s="263"/>
      <c r="N1636" s="489">
        <v>6</v>
      </c>
      <c r="O1636" s="489">
        <v>11</v>
      </c>
      <c r="P1636" s="489">
        <v>9</v>
      </c>
      <c r="Q1636" s="489">
        <v>9</v>
      </c>
      <c r="R1636" s="489"/>
      <c r="S1636" s="491"/>
      <c r="T1636" s="491"/>
      <c r="U1636" s="263"/>
      <c r="V1636" s="493">
        <f>IF(SUM(AF1636:AL1637)=0,"",SUM(AF1636:AL1636))</f>
        <v>1</v>
      </c>
      <c r="W1636" s="267"/>
      <c r="X1636" s="263"/>
      <c r="AE1636" s="253" t="str">
        <f>VLOOKUP(I1636,vylosovanie!$F$8:$L$190,7,0)</f>
        <v>CH44</v>
      </c>
      <c r="AF1636" s="268">
        <f>IF(N1636&gt;N1639,1,0)</f>
        <v>0</v>
      </c>
      <c r="AG1636" s="268">
        <f t="shared" ref="AG1636" si="1232">IF(O1636&gt;O1639,1,0)</f>
        <v>1</v>
      </c>
      <c r="AH1636" s="268">
        <f t="shared" ref="AH1636" si="1233">IF(P1636&gt;P1639,1,0)</f>
        <v>0</v>
      </c>
      <c r="AI1636" s="268">
        <f t="shared" ref="AI1636" si="1234">IF(Q1636&gt;Q1639,1,0)</f>
        <v>0</v>
      </c>
      <c r="AJ1636" s="268">
        <f t="shared" ref="AJ1636" si="1235">IF(R1636&gt;R1639,1,0)</f>
        <v>0</v>
      </c>
      <c r="AK1636" s="268">
        <f t="shared" ref="AK1636" si="1236">IF(S1636&gt;S1639,1,0)</f>
        <v>0</v>
      </c>
      <c r="AL1636" s="268">
        <f t="shared" ref="AL1636" si="1237">IF(T1636&gt;T1639,1,0)</f>
        <v>0</v>
      </c>
      <c r="AN1636" s="268">
        <f t="shared" ref="AN1636" si="1238">IF(ISBLANK(N1636)=TRUE,"",IF(AF1636=1,N1639,-N1636))</f>
        <v>-6</v>
      </c>
      <c r="AO1636" s="268">
        <f t="shared" ref="AO1636" si="1239">IF(ISBLANK(O1636)=TRUE,"",IF(AG1636=1,O1639,-O1636))</f>
        <v>7</v>
      </c>
      <c r="AP1636" s="268">
        <f t="shared" ref="AP1636" si="1240">IF(ISBLANK(P1636)=TRUE,"",IF(AH1636=1,P1639,-P1636))</f>
        <v>-9</v>
      </c>
      <c r="AQ1636" s="268">
        <f t="shared" ref="AQ1636" si="1241">IF(ISBLANK(Q1636)=TRUE,"",IF(AI1636=1,Q1639,-Q1636))</f>
        <v>-9</v>
      </c>
      <c r="AR1636" s="268" t="str">
        <f t="shared" ref="AR1636" si="1242">IF(ISBLANK(R1636)=TRUE,"",IF(AJ1636=1,R1639,-R1636))</f>
        <v/>
      </c>
      <c r="AS1636" s="268" t="str">
        <f t="shared" ref="AS1636" si="1243">IF(ISBLANK(S1636)=TRUE,"",IF(AK1636=1,S1639,-S1636))</f>
        <v/>
      </c>
      <c r="AT1636" s="268" t="str">
        <f t="shared" ref="AT1636" si="1244">IF(ISBLANK(T1636)=TRUE,"",IF(AL1636=1,T1639,-T1636))</f>
        <v/>
      </c>
      <c r="AZ1636" s="269" t="s">
        <v>12</v>
      </c>
      <c r="BA1636" s="269">
        <v>1</v>
      </c>
    </row>
    <row r="1637" spans="1:53" ht="39.950000000000003" customHeight="1">
      <c r="C1637" s="223"/>
      <c r="D1637" s="223"/>
      <c r="E1637" s="264"/>
      <c r="F1637" s="265"/>
      <c r="G1637" s="509"/>
      <c r="H1637" s="319"/>
      <c r="I1637" s="487" t="str">
        <f>IF(ISERROR(VLOOKUP(B1636,vylosovanie!$N$75:$Q$191,3,0))=TRUE," ",VLOOKUP(B1636,vylosovanie!$N$75:$Q$191,4,0))</f>
        <v>TRUBÁČIK Tomáš</v>
      </c>
      <c r="J1637" s="488"/>
      <c r="K1637" s="488"/>
      <c r="L1637" s="488"/>
      <c r="M1637" s="263"/>
      <c r="N1637" s="490"/>
      <c r="O1637" s="490"/>
      <c r="P1637" s="490"/>
      <c r="Q1637" s="490"/>
      <c r="R1637" s="490"/>
      <c r="S1637" s="492"/>
      <c r="T1637" s="492"/>
      <c r="U1637" s="263"/>
      <c r="V1637" s="493"/>
      <c r="W1637" s="267"/>
      <c r="X1637" s="263"/>
      <c r="AE1637" s="253" t="str">
        <f>VLOOKUP(I1639,vylosovanie!$F$8:$L$190,7,0)</f>
        <v>CH52</v>
      </c>
      <c r="AF1637" s="268">
        <f>IF(N1639&gt;N1636,1,0)</f>
        <v>1</v>
      </c>
      <c r="AG1637" s="268">
        <f t="shared" ref="AG1637" si="1245">IF(O1639&gt;O1636,1,0)</f>
        <v>0</v>
      </c>
      <c r="AH1637" s="268">
        <f t="shared" ref="AH1637" si="1246">IF(P1639&gt;P1636,1,0)</f>
        <v>1</v>
      </c>
      <c r="AI1637" s="268">
        <f t="shared" ref="AI1637" si="1247">IF(Q1639&gt;Q1636,1,0)</f>
        <v>1</v>
      </c>
      <c r="AJ1637" s="268">
        <f t="shared" ref="AJ1637" si="1248">IF(R1639&gt;R1636,1,0)</f>
        <v>0</v>
      </c>
      <c r="AK1637" s="268">
        <f t="shared" ref="AK1637" si="1249">IF(S1639&gt;S1636,1,0)</f>
        <v>0</v>
      </c>
      <c r="AL1637" s="268">
        <f t="shared" ref="AL1637" si="1250">IF(T1639&gt;T1636,1,0)</f>
        <v>0</v>
      </c>
      <c r="AN1637" s="268">
        <f t="shared" ref="AN1637" si="1251">IF(ISBLANK(N1639)=TRUE,"",IF(AF1637=1,N1636,-N1639))</f>
        <v>6</v>
      </c>
      <c r="AO1637" s="268">
        <f t="shared" ref="AO1637" si="1252">IF(ISBLANK(O1639)=TRUE,"",IF(AG1637=1,O1636,-O1639))</f>
        <v>-7</v>
      </c>
      <c r="AP1637" s="268">
        <f t="shared" ref="AP1637" si="1253">IF(ISBLANK(P1639)=TRUE,"",IF(AH1637=1,P1636,-P1639))</f>
        <v>9</v>
      </c>
      <c r="AQ1637" s="268">
        <f t="shared" ref="AQ1637" si="1254">IF(ISBLANK(Q1639)=TRUE,"",IF(AI1637=1,Q1636,-Q1639))</f>
        <v>9</v>
      </c>
      <c r="AR1637" s="268" t="str">
        <f t="shared" ref="AR1637" si="1255">IF(ISBLANK(R1639)=TRUE,"",IF(AJ1637=1,R1636,-R1639))</f>
        <v/>
      </c>
      <c r="AS1637" s="268" t="str">
        <f t="shared" ref="AS1637" si="1256">IF(ISBLANK(S1639)=TRUE,"",IF(AK1637=1,S1636,-S1639))</f>
        <v/>
      </c>
      <c r="AT1637" s="268" t="str">
        <f t="shared" ref="AT1637" si="1257">IF(ISBLANK(T1639)=TRUE,"",IF(AL1637=1,T1636,-T1639))</f>
        <v/>
      </c>
      <c r="AZ1637" s="269" t="s">
        <v>18</v>
      </c>
      <c r="BA1637" s="269">
        <v>2</v>
      </c>
    </row>
    <row r="1638" spans="1:53" ht="39.950000000000003" customHeight="1">
      <c r="C1638" s="223"/>
      <c r="D1638" s="223"/>
      <c r="E1638" s="264" t="s">
        <v>35</v>
      </c>
      <c r="F1638" s="265" t="str">
        <f>VLOOKUP(CONCATENATE(A1634,1),'zoznam zapasov'!$A$6:$K$160,9,0)</f>
        <v>So</v>
      </c>
      <c r="G1638" s="263"/>
      <c r="H1638" s="263"/>
      <c r="I1638" s="263"/>
      <c r="J1638" s="263"/>
      <c r="K1638" s="263"/>
      <c r="L1638" s="263"/>
      <c r="M1638" s="263"/>
      <c r="N1638" s="263"/>
      <c r="O1638" s="263"/>
      <c r="P1638" s="263"/>
      <c r="Q1638" s="263"/>
      <c r="R1638" s="263"/>
      <c r="S1638" s="263"/>
      <c r="T1638" s="263"/>
      <c r="U1638" s="263"/>
      <c r="V1638" s="263"/>
      <c r="W1638" s="267"/>
      <c r="X1638" s="263"/>
      <c r="AZ1638" s="269" t="s">
        <v>38</v>
      </c>
      <c r="BA1638" s="269">
        <v>3</v>
      </c>
    </row>
    <row r="1639" spans="1:53" ht="39.950000000000003" customHeight="1">
      <c r="A1639" s="252" t="str">
        <f>CONCATENATE(A1634,2)</f>
        <v>CH4P62</v>
      </c>
      <c r="B1639" s="252" t="str">
        <f>VLOOKUP(A1639,'KO KODY SPOLU'!$A$3:$B$189,2,0)</f>
        <v>ĎANOVSKÝ / MILAN</v>
      </c>
      <c r="C1639" s="223"/>
      <c r="D1639" s="223"/>
      <c r="E1639" s="264" t="s">
        <v>28</v>
      </c>
      <c r="F1639" s="270" t="str">
        <f>VLOOKUP(CONCATENATE(A1634,1),'zoznam zapasov'!$A$6:$K$160,10,0)</f>
        <v>13.55</v>
      </c>
      <c r="G1639" s="508"/>
      <c r="H1639" s="319"/>
      <c r="I1639" s="487" t="str">
        <f>IF(ISERROR(VLOOKUP(B1639,vylosovanie!$N$75:$Q$191,3,0))=TRUE," ",VLOOKUP(B1639,vylosovanie!$N$75:$Q$191,3,0))</f>
        <v>ĎANOVSKÝ Martin</v>
      </c>
      <c r="J1639" s="488"/>
      <c r="K1639" s="488"/>
      <c r="L1639" s="488"/>
      <c r="M1639" s="263"/>
      <c r="N1639" s="489">
        <v>11</v>
      </c>
      <c r="O1639" s="489">
        <v>7</v>
      </c>
      <c r="P1639" s="489">
        <v>11</v>
      </c>
      <c r="Q1639" s="489">
        <v>11</v>
      </c>
      <c r="R1639" s="489"/>
      <c r="S1639" s="491"/>
      <c r="T1639" s="491"/>
      <c r="U1639" s="263"/>
      <c r="V1639" s="493">
        <f>IF(SUM(AF1636:AL1637)=0,"",SUM(AF1637:AL1637))</f>
        <v>3</v>
      </c>
      <c r="W1639" s="267"/>
      <c r="X1639" s="263"/>
      <c r="AZ1639" s="269" t="s">
        <v>39</v>
      </c>
      <c r="BA1639" s="269">
        <v>4</v>
      </c>
    </row>
    <row r="1640" spans="1:53" ht="39.950000000000003" customHeight="1">
      <c r="C1640" s="223"/>
      <c r="D1640" s="223"/>
      <c r="E1640" s="271"/>
      <c r="F1640" s="272"/>
      <c r="G1640" s="509"/>
      <c r="H1640" s="319"/>
      <c r="I1640" s="487" t="str">
        <f>IF(ISERROR(VLOOKUP(B1639,vylosovanie!$N$75:$Q$191,3,0))=TRUE," ",VLOOKUP(B1639,vylosovanie!$N$75:$Q$191,4,0))</f>
        <v>MILAN Martin</v>
      </c>
      <c r="J1640" s="488"/>
      <c r="K1640" s="488"/>
      <c r="L1640" s="488"/>
      <c r="M1640" s="263"/>
      <c r="N1640" s="490"/>
      <c r="O1640" s="490"/>
      <c r="P1640" s="490"/>
      <c r="Q1640" s="490"/>
      <c r="R1640" s="490"/>
      <c r="S1640" s="492"/>
      <c r="T1640" s="492"/>
      <c r="U1640" s="263"/>
      <c r="V1640" s="493"/>
      <c r="W1640" s="267"/>
      <c r="X1640" s="263"/>
      <c r="AZ1640" s="269" t="s">
        <v>40</v>
      </c>
      <c r="BA1640" s="269">
        <v>5</v>
      </c>
    </row>
    <row r="1641" spans="1:53" ht="39.950000000000003" customHeight="1">
      <c r="C1641" s="223"/>
      <c r="D1641" s="223"/>
      <c r="E1641" s="264" t="s">
        <v>66</v>
      </c>
      <c r="F1641" s="265" t="s">
        <v>309</v>
      </c>
      <c r="G1641" s="263"/>
      <c r="H1641" s="263"/>
      <c r="I1641" s="263"/>
      <c r="J1641" s="263"/>
      <c r="K1641" s="263"/>
      <c r="L1641" s="263"/>
      <c r="M1641" s="263"/>
      <c r="N1641" s="263"/>
      <c r="O1641" s="263"/>
      <c r="P1641" s="263"/>
      <c r="Q1641" s="263"/>
      <c r="R1641" s="263"/>
      <c r="S1641" s="263"/>
      <c r="T1641" s="263"/>
      <c r="U1641" s="263"/>
      <c r="V1641" s="263"/>
      <c r="W1641" s="267"/>
      <c r="X1641" s="263"/>
      <c r="AZ1641" s="269" t="s">
        <v>41</v>
      </c>
      <c r="BA1641" s="269">
        <v>6</v>
      </c>
    </row>
    <row r="1642" spans="1:53" ht="39.950000000000003" customHeight="1">
      <c r="C1642" s="223"/>
      <c r="D1642" s="223"/>
      <c r="E1642" s="271"/>
      <c r="F1642" s="272"/>
      <c r="G1642" s="263"/>
      <c r="H1642" s="263"/>
      <c r="I1642" s="263" t="s">
        <v>32</v>
      </c>
      <c r="J1642" s="263"/>
      <c r="K1642" s="263"/>
      <c r="L1642" s="263"/>
      <c r="M1642" s="263"/>
      <c r="N1642" s="273"/>
      <c r="O1642" s="266"/>
      <c r="P1642" s="266" t="s">
        <v>34</v>
      </c>
      <c r="Q1642" s="266"/>
      <c r="R1642" s="266"/>
      <c r="S1642" s="266"/>
      <c r="T1642" s="266"/>
      <c r="U1642" s="263"/>
      <c r="V1642" s="263"/>
      <c r="W1642" s="267"/>
      <c r="X1642" s="263"/>
      <c r="AZ1642" s="269" t="s">
        <v>42</v>
      </c>
      <c r="BA1642" s="269">
        <v>7</v>
      </c>
    </row>
    <row r="1643" spans="1:53" ht="39.950000000000003" customHeight="1">
      <c r="E1643" s="264" t="s">
        <v>26</v>
      </c>
      <c r="F1643" s="265" t="s">
        <v>128</v>
      </c>
      <c r="G1643" s="263"/>
      <c r="H1643" s="263"/>
      <c r="I1643" s="486"/>
      <c r="J1643" s="486"/>
      <c r="K1643" s="486"/>
      <c r="L1643" s="486"/>
      <c r="M1643" s="263"/>
      <c r="N1643" s="483" t="str">
        <f>IF(V1636&gt;V1639,I1636,IF(V1639&gt;V1636,I1639,""))</f>
        <v>ĎANOVSKÝ Martin</v>
      </c>
      <c r="O1643" s="494"/>
      <c r="P1643" s="494"/>
      <c r="Q1643" s="494"/>
      <c r="R1643" s="494"/>
      <c r="S1643" s="495"/>
      <c r="T1643" s="263"/>
      <c r="U1643" s="263"/>
      <c r="V1643" s="263"/>
      <c r="W1643" s="267"/>
      <c r="X1643" s="263"/>
      <c r="AZ1643" s="269" t="s">
        <v>43</v>
      </c>
      <c r="BA1643" s="269">
        <v>8</v>
      </c>
    </row>
    <row r="1644" spans="1:53" ht="39.950000000000003" customHeight="1">
      <c r="E1644" s="271"/>
      <c r="F1644" s="272"/>
      <c r="G1644" s="263"/>
      <c r="H1644" s="263"/>
      <c r="I1644" s="486"/>
      <c r="J1644" s="486"/>
      <c r="K1644" s="486"/>
      <c r="L1644" s="486"/>
      <c r="M1644" s="263"/>
      <c r="N1644" s="483" t="str">
        <f>IF(V1636&gt;V1639,I1637,IF(V1639&gt;V1636,I1640,""))</f>
        <v>MILAN Martin</v>
      </c>
      <c r="O1644" s="494"/>
      <c r="P1644" s="494"/>
      <c r="Q1644" s="494"/>
      <c r="R1644" s="494"/>
      <c r="S1644" s="495"/>
      <c r="T1644" s="263"/>
      <c r="U1644" s="263"/>
      <c r="V1644" s="263"/>
      <c r="W1644" s="267"/>
      <c r="X1644" s="263"/>
    </row>
    <row r="1645" spans="1:53" ht="39.950000000000003" customHeight="1">
      <c r="E1645" s="264" t="s">
        <v>27</v>
      </c>
      <c r="F1645" s="274" t="s">
        <v>311</v>
      </c>
      <c r="G1645" s="263"/>
      <c r="H1645" s="263"/>
      <c r="I1645" s="263"/>
      <c r="J1645" s="263"/>
      <c r="K1645" s="263"/>
      <c r="L1645" s="263"/>
      <c r="M1645" s="263"/>
      <c r="N1645" s="263"/>
      <c r="O1645" s="263"/>
      <c r="P1645" s="263"/>
      <c r="Q1645" s="263"/>
      <c r="R1645" s="263"/>
      <c r="S1645" s="263"/>
      <c r="T1645" s="263"/>
      <c r="U1645" s="263"/>
      <c r="V1645" s="263"/>
      <c r="W1645" s="267"/>
      <c r="X1645" s="263"/>
    </row>
    <row r="1646" spans="1:53" ht="39.950000000000003" customHeight="1">
      <c r="E1646" s="271"/>
      <c r="F1646" s="272"/>
      <c r="G1646" s="263"/>
      <c r="H1646" s="263" t="s">
        <v>33</v>
      </c>
      <c r="I1646" s="263"/>
      <c r="J1646" s="263"/>
      <c r="K1646" s="263"/>
      <c r="L1646" s="263"/>
      <c r="M1646" s="263"/>
      <c r="N1646" s="263"/>
      <c r="O1646" s="263"/>
      <c r="P1646" s="263"/>
      <c r="Q1646" s="263"/>
      <c r="R1646" s="263"/>
      <c r="S1646" s="263"/>
      <c r="T1646" s="263"/>
      <c r="U1646" s="263"/>
      <c r="V1646" s="263"/>
      <c r="W1646" s="267"/>
      <c r="X1646" s="263"/>
    </row>
    <row r="1647" spans="1:53" ht="39.950000000000003" customHeight="1">
      <c r="E1647" s="271"/>
      <c r="F1647" s="272"/>
      <c r="G1647" s="263"/>
      <c r="H1647" s="263"/>
      <c r="I1647" s="263"/>
      <c r="J1647" s="263"/>
      <c r="K1647" s="263"/>
      <c r="L1647" s="263"/>
      <c r="M1647" s="263"/>
      <c r="N1647" s="263"/>
      <c r="O1647" s="263"/>
      <c r="P1647" s="263"/>
      <c r="Q1647" s="263"/>
      <c r="R1647" s="263"/>
      <c r="S1647" s="263"/>
      <c r="T1647" s="263"/>
      <c r="U1647" s="263"/>
      <c r="V1647" s="263"/>
      <c r="W1647" s="267"/>
      <c r="X1647" s="263"/>
    </row>
    <row r="1648" spans="1:53" ht="39.950000000000003" customHeight="1">
      <c r="E1648" s="271"/>
      <c r="F1648" s="272"/>
      <c r="G1648" s="263"/>
      <c r="H1648" s="263"/>
      <c r="I1648" s="496" t="str">
        <f>I1636</f>
        <v>TRŇAN Jakub</v>
      </c>
      <c r="J1648" s="496"/>
      <c r="K1648" s="496"/>
      <c r="L1648" s="496"/>
      <c r="M1648" s="263"/>
      <c r="N1648" s="263"/>
      <c r="P1648" s="496" t="str">
        <f>I1639</f>
        <v>ĎANOVSKÝ Martin</v>
      </c>
      <c r="Q1648" s="496"/>
      <c r="R1648" s="496"/>
      <c r="S1648" s="496"/>
      <c r="T1648" s="497"/>
      <c r="U1648" s="497"/>
      <c r="V1648" s="263"/>
      <c r="W1648" s="267"/>
      <c r="X1648" s="263"/>
    </row>
    <row r="1649" spans="1:53" ht="39.950000000000003" customHeight="1">
      <c r="E1649" s="271"/>
      <c r="F1649" s="272"/>
      <c r="G1649" s="263"/>
      <c r="H1649" s="263"/>
      <c r="I1649" s="496" t="str">
        <f>I1637</f>
        <v>TRUBÁČIK Tomáš</v>
      </c>
      <c r="J1649" s="496"/>
      <c r="K1649" s="496"/>
      <c r="L1649" s="496"/>
      <c r="M1649" s="263"/>
      <c r="N1649" s="263"/>
      <c r="O1649" s="263"/>
      <c r="P1649" s="496" t="str">
        <f>I1640</f>
        <v>MILAN Martin</v>
      </c>
      <c r="Q1649" s="496"/>
      <c r="R1649" s="496"/>
      <c r="S1649" s="496"/>
      <c r="T1649" s="497"/>
      <c r="U1649" s="497"/>
      <c r="V1649" s="263"/>
      <c r="W1649" s="267"/>
      <c r="X1649" s="263"/>
    </row>
    <row r="1650" spans="1:53" ht="69.95" customHeight="1">
      <c r="E1650" s="264"/>
      <c r="F1650" s="265"/>
      <c r="G1650" s="263"/>
      <c r="H1650" s="275" t="s">
        <v>36</v>
      </c>
      <c r="I1650" s="483"/>
      <c r="J1650" s="484"/>
      <c r="K1650" s="484"/>
      <c r="L1650" s="485"/>
      <c r="M1650" s="263"/>
      <c r="N1650" s="263"/>
      <c r="O1650" s="275" t="s">
        <v>36</v>
      </c>
      <c r="P1650" s="486"/>
      <c r="Q1650" s="486"/>
      <c r="R1650" s="486"/>
      <c r="S1650" s="486"/>
      <c r="T1650" s="486"/>
      <c r="U1650" s="486"/>
      <c r="V1650" s="263"/>
      <c r="W1650" s="267"/>
      <c r="X1650" s="263"/>
    </row>
    <row r="1651" spans="1:53" ht="69.95" customHeight="1">
      <c r="E1651" s="264"/>
      <c r="F1651" s="265"/>
      <c r="G1651" s="263"/>
      <c r="H1651" s="275" t="s">
        <v>37</v>
      </c>
      <c r="I1651" s="486"/>
      <c r="J1651" s="486"/>
      <c r="K1651" s="486"/>
      <c r="L1651" s="486"/>
      <c r="M1651" s="263"/>
      <c r="N1651" s="263"/>
      <c r="O1651" s="275" t="s">
        <v>37</v>
      </c>
      <c r="P1651" s="486"/>
      <c r="Q1651" s="486"/>
      <c r="R1651" s="486"/>
      <c r="S1651" s="486"/>
      <c r="T1651" s="486"/>
      <c r="U1651" s="486"/>
      <c r="V1651" s="263"/>
      <c r="W1651" s="267"/>
      <c r="X1651" s="263"/>
    </row>
    <row r="1652" spans="1:53" ht="69.95" customHeight="1">
      <c r="E1652" s="264"/>
      <c r="F1652" s="265"/>
      <c r="G1652" s="263"/>
      <c r="H1652" s="275" t="s">
        <v>37</v>
      </c>
      <c r="I1652" s="486"/>
      <c r="J1652" s="486"/>
      <c r="K1652" s="486"/>
      <c r="L1652" s="486"/>
      <c r="M1652" s="263"/>
      <c r="N1652" s="263"/>
      <c r="O1652" s="275" t="s">
        <v>37</v>
      </c>
      <c r="P1652" s="486"/>
      <c r="Q1652" s="486"/>
      <c r="R1652" s="486"/>
      <c r="S1652" s="486"/>
      <c r="T1652" s="486"/>
      <c r="U1652" s="486"/>
      <c r="V1652" s="263"/>
      <c r="W1652" s="267"/>
      <c r="X1652" s="263"/>
    </row>
    <row r="1653" spans="1:53" ht="39.950000000000003" customHeight="1" thickBot="1">
      <c r="E1653" s="276"/>
      <c r="F1653" s="277"/>
      <c r="G1653" s="278"/>
      <c r="H1653" s="278"/>
      <c r="I1653" s="278"/>
      <c r="J1653" s="278"/>
      <c r="K1653" s="278"/>
      <c r="L1653" s="278"/>
      <c r="M1653" s="278"/>
      <c r="N1653" s="278"/>
      <c r="O1653" s="278"/>
      <c r="P1653" s="278"/>
      <c r="Q1653" s="278"/>
      <c r="R1653" s="278"/>
      <c r="S1653" s="278"/>
      <c r="T1653" s="279"/>
      <c r="U1653" s="279"/>
      <c r="V1653" s="279"/>
      <c r="W1653" s="280"/>
      <c r="X1653" s="263"/>
    </row>
    <row r="1654" spans="1:53" ht="62.25" thickBot="1"/>
    <row r="1655" spans="1:53" ht="39.950000000000003" customHeight="1">
      <c r="A1655" s="252" t="str">
        <f>CONCATENATE(F1662,F1664,F1666)</f>
        <v>CH4P7</v>
      </c>
      <c r="C1655" s="223"/>
      <c r="D1655" s="223"/>
      <c r="E1655" s="259" t="s">
        <v>70</v>
      </c>
      <c r="F1655" s="260">
        <f>VLOOKUP(CONCATENATE(A1655,1),'zoznam zapasov'!$A$6:$K$160,3,0)</f>
        <v>83</v>
      </c>
      <c r="G1655" s="261"/>
      <c r="H1655" s="322" t="s">
        <v>501</v>
      </c>
      <c r="I1655" s="261"/>
      <c r="J1655" s="261"/>
      <c r="K1655" s="261"/>
      <c r="L1655" s="261"/>
      <c r="M1655" s="261"/>
      <c r="N1655" s="261"/>
      <c r="O1655" s="261"/>
      <c r="P1655" s="261"/>
      <c r="Q1655" s="261"/>
      <c r="R1655" s="261"/>
      <c r="S1655" s="261"/>
      <c r="T1655" s="261"/>
      <c r="U1655" s="261"/>
      <c r="V1655" s="261" t="s">
        <v>30</v>
      </c>
      <c r="W1655" s="262"/>
      <c r="X1655" s="263"/>
      <c r="Y1655" s="253" t="str">
        <f>A1657</f>
        <v>CH4P71</v>
      </c>
      <c r="Z1655" s="258" t="str">
        <f>CONCATENATE(V1657,":",V1660)</f>
        <v>3:2</v>
      </c>
      <c r="AA1655" s="255" t="str">
        <f>IF(V1657&gt;V1660,B1657,IF(V1660&gt;V1657,B1660,""))</f>
        <v>HURKA / JALOVECKÝ</v>
      </c>
      <c r="AB1655" s="255" t="str">
        <f>IF(V1657&gt;V1660,AV1655,IF(V1660&gt;V1657,AV1656,""))</f>
        <v xml:space="preserve">3:2 ( 12,-11,4,-6,7,, ) </v>
      </c>
      <c r="AC1655" s="255" t="str">
        <f>CONCATENATE("Tbl.: ",F1657,"   H: ",F1660,"   D: ",F1659)</f>
        <v>Tbl.: 7   H: 13.55   D: So</v>
      </c>
      <c r="AE1655" s="253" t="s">
        <v>11</v>
      </c>
      <c r="AV1655" s="256" t="str">
        <f>CONCATENATE(V1657,":",V1660, " ( ",AN1657,",",AO1657,",",AP1657,",",AQ1657,",",AR1657,",",AS1657,",",AT1657," ) ")</f>
        <v xml:space="preserve">3:2 ( 12,-11,4,-6,7,, ) </v>
      </c>
    </row>
    <row r="1656" spans="1:53" ht="39.950000000000003" customHeight="1">
      <c r="C1656" s="223"/>
      <c r="D1656" s="223"/>
      <c r="E1656" s="264"/>
      <c r="F1656" s="265"/>
      <c r="G1656" s="321" t="s">
        <v>500</v>
      </c>
      <c r="H1656" s="323" t="s">
        <v>502</v>
      </c>
      <c r="I1656" s="263"/>
      <c r="J1656" s="263"/>
      <c r="K1656" s="263"/>
      <c r="L1656" s="263"/>
      <c r="M1656" s="263"/>
      <c r="N1656" s="266">
        <v>1</v>
      </c>
      <c r="O1656" s="266">
        <v>2</v>
      </c>
      <c r="P1656" s="266">
        <v>3</v>
      </c>
      <c r="Q1656" s="266">
        <v>4</v>
      </c>
      <c r="R1656" s="266">
        <v>5</v>
      </c>
      <c r="S1656" s="266">
        <v>6</v>
      </c>
      <c r="T1656" s="266">
        <v>7</v>
      </c>
      <c r="U1656" s="263"/>
      <c r="V1656" s="266" t="s">
        <v>31</v>
      </c>
      <c r="W1656" s="267"/>
      <c r="X1656" s="263"/>
      <c r="AE1656" s="253" t="s">
        <v>68</v>
      </c>
      <c r="AV1656" s="256" t="str">
        <f>CONCATENATE(V1660,":",V1657, " ( ",AN1658,",",AO1658,",",AP1658,",",AQ1658,",",AR1658,",",AS1658,",",AT1658," ) ")</f>
        <v xml:space="preserve">2:3 ( -12,11,-4,6,-7,, ) </v>
      </c>
    </row>
    <row r="1657" spans="1:53" ht="39.950000000000003" customHeight="1">
      <c r="A1657" s="252" t="str">
        <f>CONCATENATE(A1655,1)</f>
        <v>CH4P71</v>
      </c>
      <c r="B1657" s="252" t="str">
        <f>VLOOKUP(A1657,'KO KODY SPOLU'!$A$3:$B$189,2,0)</f>
        <v>HURKA / JALOVECKÝ</v>
      </c>
      <c r="C1657" s="223"/>
      <c r="D1657" s="223"/>
      <c r="E1657" s="264" t="s">
        <v>29</v>
      </c>
      <c r="F1657" s="265">
        <f>VLOOKUP(CONCATENATE(A1655,1),'zoznam zapasov'!$A$6:$K$160,11,0)</f>
        <v>7</v>
      </c>
      <c r="G1657" s="508"/>
      <c r="H1657" s="319"/>
      <c r="I1657" s="487" t="str">
        <f>IF(ISERROR(VLOOKUP(B1657,vylosovanie!$N$75:$Q$191,3,0))=TRUE," ",VLOOKUP(B1657,vylosovanie!$N$75:$Q$191,3,0))</f>
        <v>HURKA Rastislav</v>
      </c>
      <c r="J1657" s="488"/>
      <c r="K1657" s="488"/>
      <c r="L1657" s="488"/>
      <c r="M1657" s="263"/>
      <c r="N1657" s="489">
        <v>14</v>
      </c>
      <c r="O1657" s="489">
        <v>11</v>
      </c>
      <c r="P1657" s="489">
        <v>11</v>
      </c>
      <c r="Q1657" s="489">
        <v>6</v>
      </c>
      <c r="R1657" s="489">
        <v>11</v>
      </c>
      <c r="S1657" s="491"/>
      <c r="T1657" s="491"/>
      <c r="U1657" s="263"/>
      <c r="V1657" s="493">
        <f>IF(SUM(AF1657:AL1658)=0,"",SUM(AF1657:AL1657))</f>
        <v>3</v>
      </c>
      <c r="W1657" s="267"/>
      <c r="X1657" s="263"/>
      <c r="AE1657" s="253" t="str">
        <f>VLOOKUP(I1657,vylosovanie!$F$8:$L$190,7,0)</f>
        <v>CH42</v>
      </c>
      <c r="AF1657" s="268">
        <f>IF(N1657&gt;N1660,1,0)</f>
        <v>1</v>
      </c>
      <c r="AG1657" s="268">
        <f t="shared" ref="AG1657" si="1258">IF(O1657&gt;O1660,1,0)</f>
        <v>0</v>
      </c>
      <c r="AH1657" s="268">
        <f t="shared" ref="AH1657" si="1259">IF(P1657&gt;P1660,1,0)</f>
        <v>1</v>
      </c>
      <c r="AI1657" s="268">
        <f t="shared" ref="AI1657" si="1260">IF(Q1657&gt;Q1660,1,0)</f>
        <v>0</v>
      </c>
      <c r="AJ1657" s="268">
        <f t="shared" ref="AJ1657" si="1261">IF(R1657&gt;R1660,1,0)</f>
        <v>1</v>
      </c>
      <c r="AK1657" s="268">
        <f t="shared" ref="AK1657" si="1262">IF(S1657&gt;S1660,1,0)</f>
        <v>0</v>
      </c>
      <c r="AL1657" s="268">
        <f t="shared" ref="AL1657" si="1263">IF(T1657&gt;T1660,1,0)</f>
        <v>0</v>
      </c>
      <c r="AN1657" s="268">
        <f t="shared" ref="AN1657" si="1264">IF(ISBLANK(N1657)=TRUE,"",IF(AF1657=1,N1660,-N1657))</f>
        <v>12</v>
      </c>
      <c r="AO1657" s="268">
        <f t="shared" ref="AO1657" si="1265">IF(ISBLANK(O1657)=TRUE,"",IF(AG1657=1,O1660,-O1657))</f>
        <v>-11</v>
      </c>
      <c r="AP1657" s="268">
        <f t="shared" ref="AP1657" si="1266">IF(ISBLANK(P1657)=TRUE,"",IF(AH1657=1,P1660,-P1657))</f>
        <v>4</v>
      </c>
      <c r="AQ1657" s="268">
        <f t="shared" ref="AQ1657" si="1267">IF(ISBLANK(Q1657)=TRUE,"",IF(AI1657=1,Q1660,-Q1657))</f>
        <v>-6</v>
      </c>
      <c r="AR1657" s="268">
        <f t="shared" ref="AR1657" si="1268">IF(ISBLANK(R1657)=TRUE,"",IF(AJ1657=1,R1660,-R1657))</f>
        <v>7</v>
      </c>
      <c r="AS1657" s="268" t="str">
        <f t="shared" ref="AS1657" si="1269">IF(ISBLANK(S1657)=TRUE,"",IF(AK1657=1,S1660,-S1657))</f>
        <v/>
      </c>
      <c r="AT1657" s="268" t="str">
        <f t="shared" ref="AT1657" si="1270">IF(ISBLANK(T1657)=TRUE,"",IF(AL1657=1,T1660,-T1657))</f>
        <v/>
      </c>
      <c r="AZ1657" s="269" t="s">
        <v>12</v>
      </c>
      <c r="BA1657" s="269">
        <v>1</v>
      </c>
    </row>
    <row r="1658" spans="1:53" ht="39.950000000000003" customHeight="1">
      <c r="C1658" s="223"/>
      <c r="D1658" s="223"/>
      <c r="E1658" s="264"/>
      <c r="F1658" s="265"/>
      <c r="G1658" s="509"/>
      <c r="H1658" s="319"/>
      <c r="I1658" s="487" t="str">
        <f>IF(ISERROR(VLOOKUP(B1657,vylosovanie!$N$75:$Q$191,3,0))=TRUE," ",VLOOKUP(B1657,vylosovanie!$N$75:$Q$191,4,0))</f>
        <v>JALOVECKÝ Marek</v>
      </c>
      <c r="J1658" s="488"/>
      <c r="K1658" s="488"/>
      <c r="L1658" s="488"/>
      <c r="M1658" s="263"/>
      <c r="N1658" s="490"/>
      <c r="O1658" s="490"/>
      <c r="P1658" s="490"/>
      <c r="Q1658" s="490"/>
      <c r="R1658" s="490"/>
      <c r="S1658" s="492"/>
      <c r="T1658" s="492"/>
      <c r="U1658" s="263"/>
      <c r="V1658" s="493"/>
      <c r="W1658" s="267"/>
      <c r="X1658" s="263"/>
      <c r="AE1658" s="253" t="str">
        <f>VLOOKUP(I1660,vylosovanie!$F$8:$L$190,7,0)</f>
        <v>CH24</v>
      </c>
      <c r="AF1658" s="268">
        <f>IF(N1660&gt;N1657,1,0)</f>
        <v>0</v>
      </c>
      <c r="AG1658" s="268">
        <f t="shared" ref="AG1658" si="1271">IF(O1660&gt;O1657,1,0)</f>
        <v>1</v>
      </c>
      <c r="AH1658" s="268">
        <f t="shared" ref="AH1658" si="1272">IF(P1660&gt;P1657,1,0)</f>
        <v>0</v>
      </c>
      <c r="AI1658" s="268">
        <f t="shared" ref="AI1658" si="1273">IF(Q1660&gt;Q1657,1,0)</f>
        <v>1</v>
      </c>
      <c r="AJ1658" s="268">
        <f t="shared" ref="AJ1658" si="1274">IF(R1660&gt;R1657,1,0)</f>
        <v>0</v>
      </c>
      <c r="AK1658" s="268">
        <f t="shared" ref="AK1658" si="1275">IF(S1660&gt;S1657,1,0)</f>
        <v>0</v>
      </c>
      <c r="AL1658" s="268">
        <f t="shared" ref="AL1658" si="1276">IF(T1660&gt;T1657,1,0)</f>
        <v>0</v>
      </c>
      <c r="AN1658" s="268">
        <f t="shared" ref="AN1658" si="1277">IF(ISBLANK(N1660)=TRUE,"",IF(AF1658=1,N1657,-N1660))</f>
        <v>-12</v>
      </c>
      <c r="AO1658" s="268">
        <f t="shared" ref="AO1658" si="1278">IF(ISBLANK(O1660)=TRUE,"",IF(AG1658=1,O1657,-O1660))</f>
        <v>11</v>
      </c>
      <c r="AP1658" s="268">
        <f t="shared" ref="AP1658" si="1279">IF(ISBLANK(P1660)=TRUE,"",IF(AH1658=1,P1657,-P1660))</f>
        <v>-4</v>
      </c>
      <c r="AQ1658" s="268">
        <f t="shared" ref="AQ1658" si="1280">IF(ISBLANK(Q1660)=TRUE,"",IF(AI1658=1,Q1657,-Q1660))</f>
        <v>6</v>
      </c>
      <c r="AR1658" s="268">
        <f t="shared" ref="AR1658" si="1281">IF(ISBLANK(R1660)=TRUE,"",IF(AJ1658=1,R1657,-R1660))</f>
        <v>-7</v>
      </c>
      <c r="AS1658" s="268" t="str">
        <f t="shared" ref="AS1658" si="1282">IF(ISBLANK(S1660)=TRUE,"",IF(AK1658=1,S1657,-S1660))</f>
        <v/>
      </c>
      <c r="AT1658" s="268" t="str">
        <f t="shared" ref="AT1658" si="1283">IF(ISBLANK(T1660)=TRUE,"",IF(AL1658=1,T1657,-T1660))</f>
        <v/>
      </c>
      <c r="AZ1658" s="269" t="s">
        <v>18</v>
      </c>
      <c r="BA1658" s="269">
        <v>2</v>
      </c>
    </row>
    <row r="1659" spans="1:53" ht="39.950000000000003" customHeight="1">
      <c r="C1659" s="223"/>
      <c r="D1659" s="223"/>
      <c r="E1659" s="264" t="s">
        <v>35</v>
      </c>
      <c r="F1659" s="265" t="str">
        <f>VLOOKUP(CONCATENATE(A1655,1),'zoznam zapasov'!$A$6:$K$160,9,0)</f>
        <v>So</v>
      </c>
      <c r="G1659" s="263"/>
      <c r="H1659" s="263"/>
      <c r="I1659" s="263"/>
      <c r="J1659" s="263"/>
      <c r="K1659" s="263"/>
      <c r="L1659" s="263"/>
      <c r="M1659" s="263"/>
      <c r="N1659" s="263"/>
      <c r="O1659" s="263"/>
      <c r="P1659" s="263"/>
      <c r="Q1659" s="263"/>
      <c r="R1659" s="263"/>
      <c r="S1659" s="263"/>
      <c r="T1659" s="263"/>
      <c r="U1659" s="263"/>
      <c r="V1659" s="263"/>
      <c r="W1659" s="267"/>
      <c r="X1659" s="263"/>
      <c r="AZ1659" s="269" t="s">
        <v>38</v>
      </c>
      <c r="BA1659" s="269">
        <v>3</v>
      </c>
    </row>
    <row r="1660" spans="1:53" ht="39.950000000000003" customHeight="1">
      <c r="A1660" s="252" t="str">
        <f>CONCATENATE(A1655,2)</f>
        <v>CH4P72</v>
      </c>
      <c r="B1660" s="252" t="str">
        <f>VLOOKUP(A1660,'KO KODY SPOLU'!$A$3:$B$189,2,0)</f>
        <v>ZAJAC / MAKÚCH</v>
      </c>
      <c r="C1660" s="223"/>
      <c r="D1660" s="223"/>
      <c r="E1660" s="264" t="s">
        <v>28</v>
      </c>
      <c r="F1660" s="270" t="str">
        <f>VLOOKUP(CONCATENATE(A1655,1),'zoznam zapasov'!$A$6:$K$160,10,0)</f>
        <v>13.55</v>
      </c>
      <c r="G1660" s="508"/>
      <c r="H1660" s="319"/>
      <c r="I1660" s="487" t="str">
        <f>IF(ISERROR(VLOOKUP(B1660,vylosovanie!$N$75:$Q$191,3,0))=TRUE," ",VLOOKUP(B1660,vylosovanie!$N$75:$Q$191,3,0))</f>
        <v>ZAJAC Jakub</v>
      </c>
      <c r="J1660" s="488"/>
      <c r="K1660" s="488"/>
      <c r="L1660" s="488"/>
      <c r="M1660" s="263"/>
      <c r="N1660" s="489">
        <v>12</v>
      </c>
      <c r="O1660" s="489">
        <v>13</v>
      </c>
      <c r="P1660" s="489">
        <v>4</v>
      </c>
      <c r="Q1660" s="489">
        <v>11</v>
      </c>
      <c r="R1660" s="489">
        <v>7</v>
      </c>
      <c r="S1660" s="491"/>
      <c r="T1660" s="491"/>
      <c r="U1660" s="263"/>
      <c r="V1660" s="493">
        <f>IF(SUM(AF1657:AL1658)=0,"",SUM(AF1658:AL1658))</f>
        <v>2</v>
      </c>
      <c r="W1660" s="267"/>
      <c r="X1660" s="263"/>
      <c r="AZ1660" s="269" t="s">
        <v>39</v>
      </c>
      <c r="BA1660" s="269">
        <v>4</v>
      </c>
    </row>
    <row r="1661" spans="1:53" ht="39.950000000000003" customHeight="1">
      <c r="C1661" s="223"/>
      <c r="D1661" s="223"/>
      <c r="E1661" s="271"/>
      <c r="F1661" s="272"/>
      <c r="G1661" s="509"/>
      <c r="H1661" s="319"/>
      <c r="I1661" s="487" t="str">
        <f>IF(ISERROR(VLOOKUP(B1660,vylosovanie!$N$75:$Q$191,3,0))=TRUE," ",VLOOKUP(B1660,vylosovanie!$N$75:$Q$191,4,0))</f>
        <v>MAKÚCH Damian</v>
      </c>
      <c r="J1661" s="488"/>
      <c r="K1661" s="488"/>
      <c r="L1661" s="488"/>
      <c r="M1661" s="263"/>
      <c r="N1661" s="490"/>
      <c r="O1661" s="490"/>
      <c r="P1661" s="490"/>
      <c r="Q1661" s="490"/>
      <c r="R1661" s="490"/>
      <c r="S1661" s="492"/>
      <c r="T1661" s="492"/>
      <c r="U1661" s="263"/>
      <c r="V1661" s="493"/>
      <c r="W1661" s="267"/>
      <c r="X1661" s="263"/>
      <c r="AZ1661" s="269" t="s">
        <v>40</v>
      </c>
      <c r="BA1661" s="269">
        <v>5</v>
      </c>
    </row>
    <row r="1662" spans="1:53" ht="39.950000000000003" customHeight="1">
      <c r="C1662" s="223"/>
      <c r="D1662" s="223"/>
      <c r="E1662" s="264" t="s">
        <v>66</v>
      </c>
      <c r="F1662" s="265" t="s">
        <v>309</v>
      </c>
      <c r="G1662" s="263"/>
      <c r="H1662" s="263"/>
      <c r="I1662" s="263"/>
      <c r="J1662" s="263"/>
      <c r="K1662" s="263"/>
      <c r="L1662" s="263"/>
      <c r="M1662" s="263"/>
      <c r="N1662" s="263"/>
      <c r="O1662" s="263"/>
      <c r="P1662" s="263"/>
      <c r="Q1662" s="263"/>
      <c r="R1662" s="263"/>
      <c r="S1662" s="263"/>
      <c r="T1662" s="263"/>
      <c r="U1662" s="263"/>
      <c r="V1662" s="263"/>
      <c r="W1662" s="267"/>
      <c r="X1662" s="263"/>
      <c r="AZ1662" s="269" t="s">
        <v>41</v>
      </c>
      <c r="BA1662" s="269">
        <v>6</v>
      </c>
    </row>
    <row r="1663" spans="1:53" ht="39.950000000000003" customHeight="1">
      <c r="C1663" s="223"/>
      <c r="D1663" s="223"/>
      <c r="E1663" s="271"/>
      <c r="F1663" s="272"/>
      <c r="G1663" s="263"/>
      <c r="H1663" s="263"/>
      <c r="I1663" s="263" t="s">
        <v>32</v>
      </c>
      <c r="J1663" s="263"/>
      <c r="K1663" s="263"/>
      <c r="L1663" s="263"/>
      <c r="M1663" s="263"/>
      <c r="N1663" s="273"/>
      <c r="O1663" s="266"/>
      <c r="P1663" s="266" t="s">
        <v>34</v>
      </c>
      <c r="Q1663" s="266"/>
      <c r="R1663" s="266"/>
      <c r="S1663" s="266"/>
      <c r="T1663" s="266"/>
      <c r="U1663" s="263"/>
      <c r="V1663" s="263"/>
      <c r="W1663" s="267"/>
      <c r="X1663" s="263"/>
      <c r="AZ1663" s="269" t="s">
        <v>42</v>
      </c>
      <c r="BA1663" s="269">
        <v>7</v>
      </c>
    </row>
    <row r="1664" spans="1:53" ht="39.950000000000003" customHeight="1">
      <c r="E1664" s="264" t="s">
        <v>26</v>
      </c>
      <c r="F1664" s="265" t="s">
        <v>128</v>
      </c>
      <c r="G1664" s="263"/>
      <c r="H1664" s="263"/>
      <c r="I1664" s="486"/>
      <c r="J1664" s="486"/>
      <c r="K1664" s="486"/>
      <c r="L1664" s="486"/>
      <c r="M1664" s="263"/>
      <c r="N1664" s="483" t="str">
        <f>IF(V1657&gt;V1660,I1657,IF(V1660&gt;V1657,I1660,""))</f>
        <v>HURKA Rastislav</v>
      </c>
      <c r="O1664" s="494"/>
      <c r="P1664" s="494"/>
      <c r="Q1664" s="494"/>
      <c r="R1664" s="494"/>
      <c r="S1664" s="495"/>
      <c r="T1664" s="263"/>
      <c r="U1664" s="263"/>
      <c r="V1664" s="263"/>
      <c r="W1664" s="267"/>
      <c r="X1664" s="263"/>
      <c r="AZ1664" s="269" t="s">
        <v>43</v>
      </c>
      <c r="BA1664" s="269">
        <v>8</v>
      </c>
    </row>
    <row r="1665" spans="1:53" ht="39.950000000000003" customHeight="1">
      <c r="E1665" s="271"/>
      <c r="F1665" s="272"/>
      <c r="G1665" s="263"/>
      <c r="H1665" s="263"/>
      <c r="I1665" s="486"/>
      <c r="J1665" s="486"/>
      <c r="K1665" s="486"/>
      <c r="L1665" s="486"/>
      <c r="M1665" s="263"/>
      <c r="N1665" s="483" t="str">
        <f>IF(V1657&gt;V1660,I1658,IF(V1660&gt;V1657,I1661,""))</f>
        <v>JALOVECKÝ Marek</v>
      </c>
      <c r="O1665" s="494"/>
      <c r="P1665" s="494"/>
      <c r="Q1665" s="494"/>
      <c r="R1665" s="494"/>
      <c r="S1665" s="495"/>
      <c r="T1665" s="263"/>
      <c r="U1665" s="263"/>
      <c r="V1665" s="263"/>
      <c r="W1665" s="267"/>
      <c r="X1665" s="263"/>
    </row>
    <row r="1666" spans="1:53" ht="39.950000000000003" customHeight="1">
      <c r="E1666" s="264" t="s">
        <v>27</v>
      </c>
      <c r="F1666" s="274" t="s">
        <v>312</v>
      </c>
      <c r="G1666" s="263"/>
      <c r="H1666" s="263"/>
      <c r="I1666" s="263"/>
      <c r="J1666" s="263"/>
      <c r="K1666" s="263"/>
      <c r="L1666" s="263"/>
      <c r="M1666" s="263"/>
      <c r="N1666" s="263"/>
      <c r="O1666" s="263"/>
      <c r="P1666" s="263"/>
      <c r="Q1666" s="263"/>
      <c r="R1666" s="263"/>
      <c r="S1666" s="263"/>
      <c r="T1666" s="263"/>
      <c r="U1666" s="263"/>
      <c r="V1666" s="263"/>
      <c r="W1666" s="267"/>
      <c r="X1666" s="263"/>
    </row>
    <row r="1667" spans="1:53" ht="39.950000000000003" customHeight="1">
      <c r="E1667" s="271"/>
      <c r="F1667" s="272"/>
      <c r="G1667" s="263"/>
      <c r="H1667" s="263" t="s">
        <v>33</v>
      </c>
      <c r="I1667" s="263"/>
      <c r="J1667" s="263"/>
      <c r="K1667" s="263"/>
      <c r="L1667" s="263"/>
      <c r="M1667" s="263"/>
      <c r="N1667" s="263"/>
      <c r="O1667" s="263"/>
      <c r="P1667" s="263"/>
      <c r="Q1667" s="263"/>
      <c r="R1667" s="263"/>
      <c r="S1667" s="263"/>
      <c r="T1667" s="263"/>
      <c r="U1667" s="263"/>
      <c r="V1667" s="263"/>
      <c r="W1667" s="267"/>
      <c r="X1667" s="263"/>
    </row>
    <row r="1668" spans="1:53" ht="39.950000000000003" customHeight="1">
      <c r="E1668" s="271"/>
      <c r="F1668" s="272"/>
      <c r="G1668" s="263"/>
      <c r="H1668" s="263"/>
      <c r="I1668" s="263"/>
      <c r="J1668" s="263"/>
      <c r="K1668" s="263"/>
      <c r="L1668" s="263"/>
      <c r="M1668" s="263"/>
      <c r="N1668" s="263"/>
      <c r="O1668" s="263"/>
      <c r="P1668" s="263"/>
      <c r="Q1668" s="263"/>
      <c r="R1668" s="263"/>
      <c r="S1668" s="263"/>
      <c r="T1668" s="263"/>
      <c r="U1668" s="263"/>
      <c r="V1668" s="263"/>
      <c r="W1668" s="267"/>
      <c r="X1668" s="263"/>
    </row>
    <row r="1669" spans="1:53" ht="39.950000000000003" customHeight="1">
      <c r="E1669" s="271"/>
      <c r="F1669" s="272"/>
      <c r="G1669" s="263"/>
      <c r="H1669" s="263"/>
      <c r="I1669" s="496" t="str">
        <f>I1657</f>
        <v>HURKA Rastislav</v>
      </c>
      <c r="J1669" s="496"/>
      <c r="K1669" s="496"/>
      <c r="L1669" s="496"/>
      <c r="M1669" s="263"/>
      <c r="N1669" s="263"/>
      <c r="P1669" s="496" t="str">
        <f>I1660</f>
        <v>ZAJAC Jakub</v>
      </c>
      <c r="Q1669" s="496"/>
      <c r="R1669" s="496"/>
      <c r="S1669" s="496"/>
      <c r="T1669" s="497"/>
      <c r="U1669" s="497"/>
      <c r="V1669" s="263"/>
      <c r="W1669" s="267"/>
      <c r="X1669" s="263"/>
    </row>
    <row r="1670" spans="1:53" ht="39.950000000000003" customHeight="1">
      <c r="E1670" s="271"/>
      <c r="F1670" s="272"/>
      <c r="G1670" s="263"/>
      <c r="H1670" s="263"/>
      <c r="I1670" s="496" t="str">
        <f>I1658</f>
        <v>JALOVECKÝ Marek</v>
      </c>
      <c r="J1670" s="496"/>
      <c r="K1670" s="496"/>
      <c r="L1670" s="496"/>
      <c r="M1670" s="263"/>
      <c r="N1670" s="263"/>
      <c r="O1670" s="263"/>
      <c r="P1670" s="496" t="str">
        <f>I1661</f>
        <v>MAKÚCH Damian</v>
      </c>
      <c r="Q1670" s="496"/>
      <c r="R1670" s="496"/>
      <c r="S1670" s="496"/>
      <c r="T1670" s="497"/>
      <c r="U1670" s="497"/>
      <c r="V1670" s="263"/>
      <c r="W1670" s="267"/>
      <c r="X1670" s="263"/>
    </row>
    <row r="1671" spans="1:53" ht="69.95" customHeight="1">
      <c r="E1671" s="264"/>
      <c r="F1671" s="265"/>
      <c r="G1671" s="263"/>
      <c r="H1671" s="275" t="s">
        <v>36</v>
      </c>
      <c r="I1671" s="483"/>
      <c r="J1671" s="484"/>
      <c r="K1671" s="484"/>
      <c r="L1671" s="485"/>
      <c r="M1671" s="263"/>
      <c r="N1671" s="263"/>
      <c r="O1671" s="275" t="s">
        <v>36</v>
      </c>
      <c r="P1671" s="486"/>
      <c r="Q1671" s="486"/>
      <c r="R1671" s="486"/>
      <c r="S1671" s="486"/>
      <c r="T1671" s="486"/>
      <c r="U1671" s="486"/>
      <c r="V1671" s="263"/>
      <c r="W1671" s="267"/>
      <c r="X1671" s="263"/>
    </row>
    <row r="1672" spans="1:53" ht="69.95" customHeight="1">
      <c r="E1672" s="264"/>
      <c r="F1672" s="265"/>
      <c r="G1672" s="263"/>
      <c r="H1672" s="275" t="s">
        <v>37</v>
      </c>
      <c r="I1672" s="486"/>
      <c r="J1672" s="486"/>
      <c r="K1672" s="486"/>
      <c r="L1672" s="486"/>
      <c r="M1672" s="263"/>
      <c r="N1672" s="263"/>
      <c r="O1672" s="275" t="s">
        <v>37</v>
      </c>
      <c r="P1672" s="486"/>
      <c r="Q1672" s="486"/>
      <c r="R1672" s="486"/>
      <c r="S1672" s="486"/>
      <c r="T1672" s="486"/>
      <c r="U1672" s="486"/>
      <c r="V1672" s="263"/>
      <c r="W1672" s="267"/>
      <c r="X1672" s="263"/>
    </row>
    <row r="1673" spans="1:53" ht="69.95" customHeight="1">
      <c r="E1673" s="264"/>
      <c r="F1673" s="265"/>
      <c r="G1673" s="263"/>
      <c r="H1673" s="275" t="s">
        <v>37</v>
      </c>
      <c r="I1673" s="486"/>
      <c r="J1673" s="486"/>
      <c r="K1673" s="486"/>
      <c r="L1673" s="486"/>
      <c r="M1673" s="263"/>
      <c r="N1673" s="263"/>
      <c r="O1673" s="275" t="s">
        <v>37</v>
      </c>
      <c r="P1673" s="486"/>
      <c r="Q1673" s="486"/>
      <c r="R1673" s="486"/>
      <c r="S1673" s="486"/>
      <c r="T1673" s="486"/>
      <c r="U1673" s="486"/>
      <c r="V1673" s="263"/>
      <c r="W1673" s="267"/>
      <c r="X1673" s="263"/>
    </row>
    <row r="1674" spans="1:53" ht="39.950000000000003" customHeight="1" thickBot="1">
      <c r="E1674" s="276"/>
      <c r="F1674" s="277"/>
      <c r="G1674" s="278"/>
      <c r="H1674" s="278"/>
      <c r="I1674" s="278"/>
      <c r="J1674" s="278"/>
      <c r="K1674" s="278"/>
      <c r="L1674" s="278"/>
      <c r="M1674" s="278"/>
      <c r="N1674" s="278"/>
      <c r="O1674" s="278"/>
      <c r="P1674" s="278"/>
      <c r="Q1674" s="278"/>
      <c r="R1674" s="278"/>
      <c r="S1674" s="278"/>
      <c r="T1674" s="279"/>
      <c r="U1674" s="279"/>
      <c r="V1674" s="279"/>
      <c r="W1674" s="280"/>
      <c r="X1674" s="263"/>
    </row>
    <row r="1675" spans="1:53" ht="62.25" thickBot="1"/>
    <row r="1676" spans="1:53" ht="39.950000000000003" customHeight="1">
      <c r="A1676" s="252" t="str">
        <f>CONCATENATE(F1683,F1685,F1687)</f>
        <v>CH4P8</v>
      </c>
      <c r="C1676" s="223"/>
      <c r="D1676" s="223"/>
      <c r="E1676" s="259" t="s">
        <v>70</v>
      </c>
      <c r="F1676" s="260">
        <f>VLOOKUP(CONCATENATE(A1676,1),'zoznam zapasov'!$A$6:$K$160,3,0)</f>
        <v>84</v>
      </c>
      <c r="G1676" s="261"/>
      <c r="H1676" s="322" t="s">
        <v>501</v>
      </c>
      <c r="I1676" s="261"/>
      <c r="J1676" s="261"/>
      <c r="K1676" s="261"/>
      <c r="L1676" s="261"/>
      <c r="M1676" s="261"/>
      <c r="N1676" s="261"/>
      <c r="O1676" s="261"/>
      <c r="P1676" s="261"/>
      <c r="Q1676" s="261"/>
      <c r="R1676" s="261"/>
      <c r="S1676" s="261"/>
      <c r="T1676" s="261"/>
      <c r="U1676" s="261"/>
      <c r="V1676" s="261" t="s">
        <v>30</v>
      </c>
      <c r="W1676" s="262"/>
      <c r="X1676" s="263"/>
      <c r="Y1676" s="253" t="str">
        <f>A1678</f>
        <v>CH4P81</v>
      </c>
      <c r="Z1676" s="258" t="str">
        <f>CONCATENATE(V1678,":",V1681)</f>
        <v>0:3</v>
      </c>
      <c r="AA1676" s="255" t="str">
        <f>IF(V1678&gt;V1681,B1678,IF(V1681&gt;V1678,B1681,""))</f>
        <v>PINDURA / CYPRICH</v>
      </c>
      <c r="AB1676" s="255" t="str">
        <f>IF(V1678&gt;V1681,AV1676,IF(V1681&gt;V1678,AV1677,""))</f>
        <v xml:space="preserve">3:0 ( 8,5,10,,,, ) </v>
      </c>
      <c r="AC1676" s="255" t="str">
        <f>CONCATENATE("Tbl.: ",F1678,"   H: ",F1681,"   D: ",F1680)</f>
        <v>Tbl.: 8   H: 13.55   D: So</v>
      </c>
      <c r="AE1676" s="253" t="s">
        <v>11</v>
      </c>
      <c r="AV1676" s="256" t="str">
        <f>CONCATENATE(V1678,":",V1681, " ( ",AN1678,",",AO1678,",",AP1678,",",AQ1678,",",AR1678,",",AS1678,",",AT1678," ) ")</f>
        <v xml:space="preserve">0:3 ( -8,-5,-10,,,, ) </v>
      </c>
    </row>
    <row r="1677" spans="1:53" ht="39.950000000000003" customHeight="1">
      <c r="C1677" s="223"/>
      <c r="D1677" s="223"/>
      <c r="E1677" s="264"/>
      <c r="F1677" s="265"/>
      <c r="G1677" s="321" t="s">
        <v>500</v>
      </c>
      <c r="H1677" s="323" t="s">
        <v>502</v>
      </c>
      <c r="I1677" s="263"/>
      <c r="J1677" s="263"/>
      <c r="K1677" s="263"/>
      <c r="L1677" s="263"/>
      <c r="M1677" s="263"/>
      <c r="N1677" s="266">
        <v>1</v>
      </c>
      <c r="O1677" s="266">
        <v>2</v>
      </c>
      <c r="P1677" s="266">
        <v>3</v>
      </c>
      <c r="Q1677" s="266">
        <v>4</v>
      </c>
      <c r="R1677" s="266">
        <v>5</v>
      </c>
      <c r="S1677" s="266">
        <v>6</v>
      </c>
      <c r="T1677" s="266">
        <v>7</v>
      </c>
      <c r="U1677" s="263"/>
      <c r="V1677" s="266" t="s">
        <v>31</v>
      </c>
      <c r="W1677" s="267"/>
      <c r="X1677" s="263"/>
      <c r="AE1677" s="253" t="s">
        <v>68</v>
      </c>
      <c r="AV1677" s="256" t="str">
        <f>CONCATENATE(V1681,":",V1678, " ( ",AN1679,",",AO1679,",",AP1679,",",AQ1679,",",AR1679,",",AS1679,",",AT1679," ) ")</f>
        <v xml:space="preserve">3:0 ( 8,5,10,,,, ) </v>
      </c>
    </row>
    <row r="1678" spans="1:53" ht="39.950000000000003" customHeight="1">
      <c r="A1678" s="252" t="str">
        <f>CONCATENATE(A1676,1)</f>
        <v>CH4P81</v>
      </c>
      <c r="B1678" s="252" t="str">
        <f>VLOOKUP(A1678,'KO KODY SPOLU'!$A$3:$B$189,2,0)</f>
        <v>MARUNIAK / KALINKA</v>
      </c>
      <c r="C1678" s="223"/>
      <c r="D1678" s="223"/>
      <c r="E1678" s="264" t="s">
        <v>29</v>
      </c>
      <c r="F1678" s="265">
        <f>VLOOKUP(CONCATENATE(A1676,1),'zoznam zapasov'!$A$6:$K$160,11,0)</f>
        <v>8</v>
      </c>
      <c r="G1678" s="508"/>
      <c r="H1678" s="319"/>
      <c r="I1678" s="487" t="str">
        <f>IF(ISERROR(VLOOKUP(B1678,vylosovanie!$N$75:$Q$191,3,0))=TRUE," ",VLOOKUP(B1678,vylosovanie!$N$75:$Q$191,3,0))</f>
        <v>MARUNIAK Martin</v>
      </c>
      <c r="J1678" s="488"/>
      <c r="K1678" s="488"/>
      <c r="L1678" s="488"/>
      <c r="M1678" s="263"/>
      <c r="N1678" s="489">
        <v>8</v>
      </c>
      <c r="O1678" s="489">
        <v>5</v>
      </c>
      <c r="P1678" s="489">
        <v>10</v>
      </c>
      <c r="Q1678" s="489"/>
      <c r="R1678" s="489"/>
      <c r="S1678" s="491"/>
      <c r="T1678" s="491"/>
      <c r="U1678" s="263"/>
      <c r="V1678" s="493">
        <f>IF(SUM(AF1678:AL1679)=0,"",SUM(AF1678:AL1678))</f>
        <v>0</v>
      </c>
      <c r="W1678" s="267"/>
      <c r="X1678" s="263"/>
      <c r="AE1678" s="253" t="str">
        <f>VLOOKUP(I1678,vylosovanie!$F$8:$L$190,7,0)</f>
        <v>CH14</v>
      </c>
      <c r="AF1678" s="268">
        <f>IF(N1678&gt;N1681,1,0)</f>
        <v>0</v>
      </c>
      <c r="AG1678" s="268">
        <f t="shared" ref="AG1678" si="1284">IF(O1678&gt;O1681,1,0)</f>
        <v>0</v>
      </c>
      <c r="AH1678" s="268">
        <f t="shared" ref="AH1678" si="1285">IF(P1678&gt;P1681,1,0)</f>
        <v>0</v>
      </c>
      <c r="AI1678" s="268">
        <f t="shared" ref="AI1678" si="1286">IF(Q1678&gt;Q1681,1,0)</f>
        <v>0</v>
      </c>
      <c r="AJ1678" s="268">
        <f t="shared" ref="AJ1678" si="1287">IF(R1678&gt;R1681,1,0)</f>
        <v>0</v>
      </c>
      <c r="AK1678" s="268">
        <f t="shared" ref="AK1678" si="1288">IF(S1678&gt;S1681,1,0)</f>
        <v>0</v>
      </c>
      <c r="AL1678" s="268">
        <f t="shared" ref="AL1678" si="1289">IF(T1678&gt;T1681,1,0)</f>
        <v>0</v>
      </c>
      <c r="AN1678" s="268">
        <f t="shared" ref="AN1678" si="1290">IF(ISBLANK(N1678)=TRUE,"",IF(AF1678=1,N1681,-N1678))</f>
        <v>-8</v>
      </c>
      <c r="AO1678" s="268">
        <f t="shared" ref="AO1678" si="1291">IF(ISBLANK(O1678)=TRUE,"",IF(AG1678=1,O1681,-O1678))</f>
        <v>-5</v>
      </c>
      <c r="AP1678" s="268">
        <f t="shared" ref="AP1678" si="1292">IF(ISBLANK(P1678)=TRUE,"",IF(AH1678=1,P1681,-P1678))</f>
        <v>-10</v>
      </c>
      <c r="AQ1678" s="268" t="str">
        <f t="shared" ref="AQ1678" si="1293">IF(ISBLANK(Q1678)=TRUE,"",IF(AI1678=1,Q1681,-Q1678))</f>
        <v/>
      </c>
      <c r="AR1678" s="268" t="str">
        <f t="shared" ref="AR1678" si="1294">IF(ISBLANK(R1678)=TRUE,"",IF(AJ1678=1,R1681,-R1678))</f>
        <v/>
      </c>
      <c r="AS1678" s="268" t="str">
        <f t="shared" ref="AS1678" si="1295">IF(ISBLANK(S1678)=TRUE,"",IF(AK1678=1,S1681,-S1678))</f>
        <v/>
      </c>
      <c r="AT1678" s="268" t="str">
        <f t="shared" ref="AT1678" si="1296">IF(ISBLANK(T1678)=TRUE,"",IF(AL1678=1,T1681,-T1678))</f>
        <v/>
      </c>
      <c r="AZ1678" s="269" t="s">
        <v>12</v>
      </c>
      <c r="BA1678" s="269">
        <v>1</v>
      </c>
    </row>
    <row r="1679" spans="1:53" ht="39.950000000000003" customHeight="1">
      <c r="C1679" s="223"/>
      <c r="D1679" s="223"/>
      <c r="E1679" s="264"/>
      <c r="F1679" s="265"/>
      <c r="G1679" s="509"/>
      <c r="H1679" s="319"/>
      <c r="I1679" s="487" t="str">
        <f>IF(ISERROR(VLOOKUP(B1678,vylosovanie!$N$75:$Q$191,3,0))=TRUE," ",VLOOKUP(B1678,vylosovanie!$N$75:$Q$191,4,0))</f>
        <v>KALINKA Timotej</v>
      </c>
      <c r="J1679" s="488"/>
      <c r="K1679" s="488"/>
      <c r="L1679" s="488"/>
      <c r="M1679" s="263"/>
      <c r="N1679" s="490"/>
      <c r="O1679" s="490"/>
      <c r="P1679" s="490"/>
      <c r="Q1679" s="490"/>
      <c r="R1679" s="490"/>
      <c r="S1679" s="492"/>
      <c r="T1679" s="492"/>
      <c r="U1679" s="263"/>
      <c r="V1679" s="493"/>
      <c r="W1679" s="267"/>
      <c r="X1679" s="263"/>
      <c r="AE1679" s="253" t="str">
        <f>VLOOKUP(I1681,vylosovanie!$F$8:$L$190,7,0)</f>
        <v>CH41</v>
      </c>
      <c r="AF1679" s="268">
        <f>IF(N1681&gt;N1678,1,0)</f>
        <v>1</v>
      </c>
      <c r="AG1679" s="268">
        <f t="shared" ref="AG1679" si="1297">IF(O1681&gt;O1678,1,0)</f>
        <v>1</v>
      </c>
      <c r="AH1679" s="268">
        <f t="shared" ref="AH1679" si="1298">IF(P1681&gt;P1678,1,0)</f>
        <v>1</v>
      </c>
      <c r="AI1679" s="268">
        <f t="shared" ref="AI1679" si="1299">IF(Q1681&gt;Q1678,1,0)</f>
        <v>0</v>
      </c>
      <c r="AJ1679" s="268">
        <f t="shared" ref="AJ1679" si="1300">IF(R1681&gt;R1678,1,0)</f>
        <v>0</v>
      </c>
      <c r="AK1679" s="268">
        <f t="shared" ref="AK1679" si="1301">IF(S1681&gt;S1678,1,0)</f>
        <v>0</v>
      </c>
      <c r="AL1679" s="268">
        <f t="shared" ref="AL1679" si="1302">IF(T1681&gt;T1678,1,0)</f>
        <v>0</v>
      </c>
      <c r="AN1679" s="268">
        <f t="shared" ref="AN1679" si="1303">IF(ISBLANK(N1681)=TRUE,"",IF(AF1679=1,N1678,-N1681))</f>
        <v>8</v>
      </c>
      <c r="AO1679" s="268">
        <f t="shared" ref="AO1679" si="1304">IF(ISBLANK(O1681)=TRUE,"",IF(AG1679=1,O1678,-O1681))</f>
        <v>5</v>
      </c>
      <c r="AP1679" s="268">
        <f t="shared" ref="AP1679" si="1305">IF(ISBLANK(P1681)=TRUE,"",IF(AH1679=1,P1678,-P1681))</f>
        <v>10</v>
      </c>
      <c r="AQ1679" s="268" t="str">
        <f t="shared" ref="AQ1679" si="1306">IF(ISBLANK(Q1681)=TRUE,"",IF(AI1679=1,Q1678,-Q1681))</f>
        <v/>
      </c>
      <c r="AR1679" s="268" t="str">
        <f t="shared" ref="AR1679" si="1307">IF(ISBLANK(R1681)=TRUE,"",IF(AJ1679=1,R1678,-R1681))</f>
        <v/>
      </c>
      <c r="AS1679" s="268" t="str">
        <f t="shared" ref="AS1679" si="1308">IF(ISBLANK(S1681)=TRUE,"",IF(AK1679=1,S1678,-S1681))</f>
        <v/>
      </c>
      <c r="AT1679" s="268" t="str">
        <f t="shared" ref="AT1679" si="1309">IF(ISBLANK(T1681)=TRUE,"",IF(AL1679=1,T1678,-T1681))</f>
        <v/>
      </c>
      <c r="AZ1679" s="269" t="s">
        <v>18</v>
      </c>
      <c r="BA1679" s="269">
        <v>2</v>
      </c>
    </row>
    <row r="1680" spans="1:53" ht="39.950000000000003" customHeight="1">
      <c r="C1680" s="223"/>
      <c r="D1680" s="223"/>
      <c r="E1680" s="264" t="s">
        <v>35</v>
      </c>
      <c r="F1680" s="265" t="str">
        <f>VLOOKUP(CONCATENATE(A1676,1),'zoznam zapasov'!$A$6:$K$160,9,0)</f>
        <v>So</v>
      </c>
      <c r="G1680" s="263"/>
      <c r="H1680" s="263"/>
      <c r="I1680" s="263"/>
      <c r="J1680" s="263"/>
      <c r="K1680" s="263"/>
      <c r="L1680" s="263"/>
      <c r="M1680" s="263"/>
      <c r="N1680" s="263"/>
      <c r="O1680" s="263"/>
      <c r="P1680" s="263"/>
      <c r="Q1680" s="263"/>
      <c r="R1680" s="263"/>
      <c r="S1680" s="263"/>
      <c r="T1680" s="263"/>
      <c r="U1680" s="263"/>
      <c r="V1680" s="263"/>
      <c r="W1680" s="267"/>
      <c r="X1680" s="263"/>
      <c r="AZ1680" s="269" t="s">
        <v>38</v>
      </c>
      <c r="BA1680" s="269">
        <v>3</v>
      </c>
    </row>
    <row r="1681" spans="1:53" ht="39.950000000000003" customHeight="1">
      <c r="A1681" s="252" t="str">
        <f>CONCATENATE(A1676,2)</f>
        <v>CH4P82</v>
      </c>
      <c r="B1681" s="252" t="str">
        <f>VLOOKUP(A1681,'KO KODY SPOLU'!$A$3:$B$189,2,0)</f>
        <v>PINDURA / CYPRICH</v>
      </c>
      <c r="C1681" s="223"/>
      <c r="D1681" s="223"/>
      <c r="E1681" s="264" t="s">
        <v>28</v>
      </c>
      <c r="F1681" s="270" t="str">
        <f>VLOOKUP(CONCATENATE(A1676,1),'zoznam zapasov'!$A$6:$K$160,10,0)</f>
        <v>13.55</v>
      </c>
      <c r="G1681" s="508"/>
      <c r="H1681" s="319"/>
      <c r="I1681" s="487" t="str">
        <f>IF(ISERROR(VLOOKUP(B1681,vylosovanie!$N$75:$Q$191,3,0))=TRUE," ",VLOOKUP(B1681,vylosovanie!$N$75:$Q$191,3,0))</f>
        <v>PINDURA Tobiáš</v>
      </c>
      <c r="J1681" s="488"/>
      <c r="K1681" s="488"/>
      <c r="L1681" s="488"/>
      <c r="M1681" s="263"/>
      <c r="N1681" s="489">
        <v>11</v>
      </c>
      <c r="O1681" s="489">
        <v>11</v>
      </c>
      <c r="P1681" s="489">
        <v>12</v>
      </c>
      <c r="Q1681" s="489"/>
      <c r="R1681" s="489"/>
      <c r="S1681" s="491"/>
      <c r="T1681" s="491"/>
      <c r="U1681" s="263"/>
      <c r="V1681" s="493">
        <f>IF(SUM(AF1678:AL1679)=0,"",SUM(AF1679:AL1679))</f>
        <v>3</v>
      </c>
      <c r="W1681" s="267"/>
      <c r="X1681" s="263"/>
      <c r="AZ1681" s="269" t="s">
        <v>39</v>
      </c>
      <c r="BA1681" s="269">
        <v>4</v>
      </c>
    </row>
    <row r="1682" spans="1:53" ht="39.950000000000003" customHeight="1">
      <c r="C1682" s="223"/>
      <c r="D1682" s="223"/>
      <c r="E1682" s="271"/>
      <c r="F1682" s="272"/>
      <c r="G1682" s="509"/>
      <c r="H1682" s="319"/>
      <c r="I1682" s="487" t="str">
        <f>IF(ISERROR(VLOOKUP(B1681,vylosovanie!$N$75:$Q$191,3,0))=TRUE," ",VLOOKUP(B1681,vylosovanie!$N$75:$Q$191,4,0))</f>
        <v>CYPRICH Samuel</v>
      </c>
      <c r="J1682" s="488"/>
      <c r="K1682" s="488"/>
      <c r="L1682" s="488"/>
      <c r="M1682" s="263"/>
      <c r="N1682" s="490"/>
      <c r="O1682" s="490"/>
      <c r="P1682" s="490"/>
      <c r="Q1682" s="490"/>
      <c r="R1682" s="490"/>
      <c r="S1682" s="492"/>
      <c r="T1682" s="492"/>
      <c r="U1682" s="263"/>
      <c r="V1682" s="493"/>
      <c r="W1682" s="267"/>
      <c r="X1682" s="263"/>
      <c r="AZ1682" s="269" t="s">
        <v>40</v>
      </c>
      <c r="BA1682" s="269">
        <v>5</v>
      </c>
    </row>
    <row r="1683" spans="1:53" ht="39.950000000000003" customHeight="1">
      <c r="C1683" s="223"/>
      <c r="D1683" s="223"/>
      <c r="E1683" s="264" t="s">
        <v>66</v>
      </c>
      <c r="F1683" s="265" t="s">
        <v>309</v>
      </c>
      <c r="G1683" s="263"/>
      <c r="H1683" s="263"/>
      <c r="I1683" s="263"/>
      <c r="J1683" s="263"/>
      <c r="K1683" s="263"/>
      <c r="L1683" s="263"/>
      <c r="M1683" s="263"/>
      <c r="N1683" s="263"/>
      <c r="O1683" s="263"/>
      <c r="P1683" s="263"/>
      <c r="Q1683" s="263"/>
      <c r="R1683" s="263"/>
      <c r="S1683" s="263"/>
      <c r="T1683" s="263"/>
      <c r="U1683" s="263"/>
      <c r="V1683" s="263"/>
      <c r="W1683" s="267"/>
      <c r="X1683" s="263"/>
      <c r="AZ1683" s="269" t="s">
        <v>41</v>
      </c>
      <c r="BA1683" s="269">
        <v>6</v>
      </c>
    </row>
    <row r="1684" spans="1:53" ht="39.950000000000003" customHeight="1">
      <c r="C1684" s="223"/>
      <c r="D1684" s="223"/>
      <c r="E1684" s="271"/>
      <c r="F1684" s="272"/>
      <c r="G1684" s="263"/>
      <c r="H1684" s="263"/>
      <c r="I1684" s="263" t="s">
        <v>32</v>
      </c>
      <c r="J1684" s="263"/>
      <c r="K1684" s="263"/>
      <c r="L1684" s="263"/>
      <c r="M1684" s="263"/>
      <c r="N1684" s="273"/>
      <c r="O1684" s="266"/>
      <c r="P1684" s="266" t="s">
        <v>34</v>
      </c>
      <c r="Q1684" s="266"/>
      <c r="R1684" s="266"/>
      <c r="S1684" s="266"/>
      <c r="T1684" s="266"/>
      <c r="U1684" s="263"/>
      <c r="V1684" s="263"/>
      <c r="W1684" s="267"/>
      <c r="X1684" s="263"/>
      <c r="AZ1684" s="269" t="s">
        <v>42</v>
      </c>
      <c r="BA1684" s="269">
        <v>7</v>
      </c>
    </row>
    <row r="1685" spans="1:53" ht="39.950000000000003" customHeight="1">
      <c r="E1685" s="264" t="s">
        <v>26</v>
      </c>
      <c r="F1685" s="265" t="s">
        <v>128</v>
      </c>
      <c r="G1685" s="263"/>
      <c r="H1685" s="263"/>
      <c r="I1685" s="486"/>
      <c r="J1685" s="486"/>
      <c r="K1685" s="486"/>
      <c r="L1685" s="486"/>
      <c r="M1685" s="263"/>
      <c r="N1685" s="483" t="str">
        <f>IF(V1678&gt;V1681,I1678,IF(V1681&gt;V1678,I1681,""))</f>
        <v>PINDURA Tobiáš</v>
      </c>
      <c r="O1685" s="494"/>
      <c r="P1685" s="494"/>
      <c r="Q1685" s="494"/>
      <c r="R1685" s="494"/>
      <c r="S1685" s="495"/>
      <c r="T1685" s="263"/>
      <c r="U1685" s="263"/>
      <c r="V1685" s="263"/>
      <c r="W1685" s="267"/>
      <c r="X1685" s="263"/>
      <c r="AZ1685" s="269" t="s">
        <v>43</v>
      </c>
      <c r="BA1685" s="269">
        <v>8</v>
      </c>
    </row>
    <row r="1686" spans="1:53" ht="39.950000000000003" customHeight="1">
      <c r="E1686" s="271"/>
      <c r="F1686" s="272"/>
      <c r="G1686" s="263"/>
      <c r="H1686" s="263"/>
      <c r="I1686" s="486"/>
      <c r="J1686" s="486"/>
      <c r="K1686" s="486"/>
      <c r="L1686" s="486"/>
      <c r="M1686" s="263"/>
      <c r="N1686" s="483" t="str">
        <f>IF(V1678&gt;V1681,I1679,IF(V1681&gt;V1678,I1682,""))</f>
        <v>CYPRICH Samuel</v>
      </c>
      <c r="O1686" s="494"/>
      <c r="P1686" s="494"/>
      <c r="Q1686" s="494"/>
      <c r="R1686" s="494"/>
      <c r="S1686" s="495"/>
      <c r="T1686" s="263"/>
      <c r="U1686" s="263"/>
      <c r="V1686" s="263"/>
      <c r="W1686" s="267"/>
      <c r="X1686" s="263"/>
    </row>
    <row r="1687" spans="1:53" ht="39.950000000000003" customHeight="1">
      <c r="E1687" s="264" t="s">
        <v>27</v>
      </c>
      <c r="F1687" s="274" t="s">
        <v>313</v>
      </c>
      <c r="G1687" s="263"/>
      <c r="H1687" s="263"/>
      <c r="I1687" s="263"/>
      <c r="J1687" s="263"/>
      <c r="K1687" s="263"/>
      <c r="L1687" s="263"/>
      <c r="M1687" s="263"/>
      <c r="N1687" s="263"/>
      <c r="O1687" s="263"/>
      <c r="P1687" s="263"/>
      <c r="Q1687" s="263"/>
      <c r="R1687" s="263"/>
      <c r="S1687" s="263"/>
      <c r="T1687" s="263"/>
      <c r="U1687" s="263"/>
      <c r="V1687" s="263"/>
      <c r="W1687" s="267"/>
      <c r="X1687" s="263"/>
    </row>
    <row r="1688" spans="1:53" ht="39.950000000000003" customHeight="1">
      <c r="E1688" s="271"/>
      <c r="F1688" s="272"/>
      <c r="G1688" s="263"/>
      <c r="H1688" s="263" t="s">
        <v>33</v>
      </c>
      <c r="I1688" s="263"/>
      <c r="J1688" s="263"/>
      <c r="K1688" s="263"/>
      <c r="L1688" s="263"/>
      <c r="M1688" s="263"/>
      <c r="N1688" s="263"/>
      <c r="O1688" s="263"/>
      <c r="P1688" s="263"/>
      <c r="Q1688" s="263"/>
      <c r="R1688" s="263"/>
      <c r="S1688" s="263"/>
      <c r="T1688" s="263"/>
      <c r="U1688" s="263"/>
      <c r="V1688" s="263"/>
      <c r="W1688" s="267"/>
      <c r="X1688" s="263"/>
    </row>
    <row r="1689" spans="1:53" ht="39.950000000000003" customHeight="1">
      <c r="E1689" s="271"/>
      <c r="F1689" s="272"/>
      <c r="G1689" s="263"/>
      <c r="H1689" s="263"/>
      <c r="I1689" s="263"/>
      <c r="J1689" s="263"/>
      <c r="K1689" s="263"/>
      <c r="L1689" s="263"/>
      <c r="M1689" s="263"/>
      <c r="N1689" s="263"/>
      <c r="O1689" s="263"/>
      <c r="P1689" s="263"/>
      <c r="Q1689" s="263"/>
      <c r="R1689" s="263"/>
      <c r="S1689" s="263"/>
      <c r="T1689" s="263"/>
      <c r="U1689" s="263"/>
      <c r="V1689" s="263"/>
      <c r="W1689" s="267"/>
      <c r="X1689" s="263"/>
    </row>
    <row r="1690" spans="1:53" ht="39.950000000000003" customHeight="1">
      <c r="E1690" s="271"/>
      <c r="F1690" s="272"/>
      <c r="G1690" s="263"/>
      <c r="H1690" s="263"/>
      <c r="I1690" s="496" t="str">
        <f>I1678</f>
        <v>MARUNIAK Martin</v>
      </c>
      <c r="J1690" s="496"/>
      <c r="K1690" s="496"/>
      <c r="L1690" s="496"/>
      <c r="M1690" s="263"/>
      <c r="N1690" s="263"/>
      <c r="P1690" s="496" t="str">
        <f>I1681</f>
        <v>PINDURA Tobiáš</v>
      </c>
      <c r="Q1690" s="496"/>
      <c r="R1690" s="496"/>
      <c r="S1690" s="496"/>
      <c r="T1690" s="497"/>
      <c r="U1690" s="497"/>
      <c r="V1690" s="263"/>
      <c r="W1690" s="267"/>
      <c r="X1690" s="263"/>
    </row>
    <row r="1691" spans="1:53" ht="39.950000000000003" customHeight="1">
      <c r="E1691" s="271"/>
      <c r="F1691" s="272"/>
      <c r="G1691" s="263"/>
      <c r="H1691" s="263"/>
      <c r="I1691" s="496" t="str">
        <f>I1679</f>
        <v>KALINKA Timotej</v>
      </c>
      <c r="J1691" s="496"/>
      <c r="K1691" s="496"/>
      <c r="L1691" s="496"/>
      <c r="M1691" s="263"/>
      <c r="N1691" s="263"/>
      <c r="O1691" s="263"/>
      <c r="P1691" s="496" t="str">
        <f>I1682</f>
        <v>CYPRICH Samuel</v>
      </c>
      <c r="Q1691" s="496"/>
      <c r="R1691" s="496"/>
      <c r="S1691" s="496"/>
      <c r="T1691" s="497"/>
      <c r="U1691" s="497"/>
      <c r="V1691" s="263"/>
      <c r="W1691" s="267"/>
      <c r="X1691" s="263"/>
    </row>
    <row r="1692" spans="1:53" ht="69.95" customHeight="1">
      <c r="E1692" s="264"/>
      <c r="F1692" s="265"/>
      <c r="G1692" s="263"/>
      <c r="H1692" s="275" t="s">
        <v>36</v>
      </c>
      <c r="I1692" s="483"/>
      <c r="J1692" s="484"/>
      <c r="K1692" s="484"/>
      <c r="L1692" s="485"/>
      <c r="M1692" s="263"/>
      <c r="N1692" s="263"/>
      <c r="O1692" s="275" t="s">
        <v>36</v>
      </c>
      <c r="P1692" s="486"/>
      <c r="Q1692" s="486"/>
      <c r="R1692" s="486"/>
      <c r="S1692" s="486"/>
      <c r="T1692" s="486"/>
      <c r="U1692" s="486"/>
      <c r="V1692" s="263"/>
      <c r="W1692" s="267"/>
      <c r="X1692" s="263"/>
    </row>
    <row r="1693" spans="1:53" ht="69.95" customHeight="1">
      <c r="E1693" s="264"/>
      <c r="F1693" s="265"/>
      <c r="G1693" s="263"/>
      <c r="H1693" s="275" t="s">
        <v>37</v>
      </c>
      <c r="I1693" s="486"/>
      <c r="J1693" s="486"/>
      <c r="K1693" s="486"/>
      <c r="L1693" s="486"/>
      <c r="M1693" s="263"/>
      <c r="N1693" s="263"/>
      <c r="O1693" s="275" t="s">
        <v>37</v>
      </c>
      <c r="P1693" s="486"/>
      <c r="Q1693" s="486"/>
      <c r="R1693" s="486"/>
      <c r="S1693" s="486"/>
      <c r="T1693" s="486"/>
      <c r="U1693" s="486"/>
      <c r="V1693" s="263"/>
      <c r="W1693" s="267"/>
      <c r="X1693" s="263"/>
    </row>
    <row r="1694" spans="1:53" ht="69.95" customHeight="1">
      <c r="E1694" s="264"/>
      <c r="F1694" s="265"/>
      <c r="G1694" s="263"/>
      <c r="H1694" s="275" t="s">
        <v>37</v>
      </c>
      <c r="I1694" s="486"/>
      <c r="J1694" s="486"/>
      <c r="K1694" s="486"/>
      <c r="L1694" s="486"/>
      <c r="M1694" s="263"/>
      <c r="N1694" s="263"/>
      <c r="O1694" s="275" t="s">
        <v>37</v>
      </c>
      <c r="P1694" s="486"/>
      <c r="Q1694" s="486"/>
      <c r="R1694" s="486"/>
      <c r="S1694" s="486"/>
      <c r="T1694" s="486"/>
      <c r="U1694" s="486"/>
      <c r="V1694" s="263"/>
      <c r="W1694" s="267"/>
      <c r="X1694" s="263"/>
    </row>
    <row r="1695" spans="1:53" ht="39.950000000000003" customHeight="1" thickBot="1">
      <c r="E1695" s="276"/>
      <c r="F1695" s="277"/>
      <c r="G1695" s="278"/>
      <c r="H1695" s="278"/>
      <c r="I1695" s="278"/>
      <c r="J1695" s="278"/>
      <c r="K1695" s="278"/>
      <c r="L1695" s="278"/>
      <c r="M1695" s="278"/>
      <c r="N1695" s="278"/>
      <c r="O1695" s="278"/>
      <c r="P1695" s="278"/>
      <c r="Q1695" s="278"/>
      <c r="R1695" s="278"/>
      <c r="S1695" s="278"/>
      <c r="T1695" s="279"/>
      <c r="U1695" s="279"/>
      <c r="V1695" s="279"/>
      <c r="W1695" s="280"/>
      <c r="X1695" s="263"/>
    </row>
    <row r="1696" spans="1:53" ht="62.25" thickBot="1"/>
    <row r="1697" spans="1:53" ht="39.950000000000003" customHeight="1">
      <c r="A1697" s="252" t="str">
        <f>CONCATENATE(F1704,F1706,F1708)</f>
        <v>MIXP2</v>
      </c>
      <c r="C1697" s="223"/>
      <c r="D1697" s="223"/>
      <c r="E1697" s="259" t="s">
        <v>70</v>
      </c>
      <c r="F1697" s="260">
        <f>VLOOKUP(CONCATENATE(A1697,1),'zoznam zapasov'!$A$6:$K$160,3,0)</f>
        <v>85</v>
      </c>
      <c r="G1697" s="261"/>
      <c r="H1697" s="322" t="s">
        <v>501</v>
      </c>
      <c r="I1697" s="261"/>
      <c r="J1697" s="261"/>
      <c r="K1697" s="261"/>
      <c r="L1697" s="261"/>
      <c r="M1697" s="261"/>
      <c r="N1697" s="261"/>
      <c r="O1697" s="261"/>
      <c r="P1697" s="261"/>
      <c r="Q1697" s="261"/>
      <c r="R1697" s="261"/>
      <c r="S1697" s="261"/>
      <c r="T1697" s="261"/>
      <c r="U1697" s="261"/>
      <c r="V1697" s="261" t="s">
        <v>30</v>
      </c>
      <c r="W1697" s="262"/>
      <c r="X1697" s="263"/>
      <c r="Y1697" s="253" t="str">
        <f>A1699</f>
        <v>MIXP21</v>
      </c>
      <c r="Z1697" s="258" t="str">
        <f>CONCATENATE(V1699,":",V1702)</f>
        <v>1:3</v>
      </c>
      <c r="AA1697" s="255" t="str">
        <f>IF(V1699&gt;V1702,B1699,IF(V1702&gt;V1699,B1702,""))</f>
        <v>MILAN / GAŠPARÍKOVÁ</v>
      </c>
      <c r="AB1697" s="255" t="str">
        <f>IF(V1699&gt;V1702,AV1697,IF(V1702&gt;V1699,AV1698,""))</f>
        <v xml:space="preserve">3:1 ( 7,-9,2,8,,, ) </v>
      </c>
      <c r="AC1697" s="255" t="str">
        <f>CONCATENATE("Tbl.: ",F1699,"   H: ",F1702,"   D: ",F1701)</f>
        <v>Tbl.: 1   H: 14.25   D: So</v>
      </c>
      <c r="AE1697" s="253" t="s">
        <v>11</v>
      </c>
      <c r="AV1697" s="256" t="str">
        <f>CONCATENATE(V1699,":",V1702, " ( ",AN1699,",",AO1699,",",AP1699,",",AQ1699,",",AR1699,",",AS1699,",",AT1699," ) ")</f>
        <v xml:space="preserve">1:3 ( -7,9,-2,-8,,, ) </v>
      </c>
    </row>
    <row r="1698" spans="1:53" ht="39.950000000000003" customHeight="1">
      <c r="C1698" s="223"/>
      <c r="D1698" s="223"/>
      <c r="E1698" s="264"/>
      <c r="F1698" s="265"/>
      <c r="G1698" s="321" t="s">
        <v>500</v>
      </c>
      <c r="H1698" s="323" t="s">
        <v>502</v>
      </c>
      <c r="I1698" s="263"/>
      <c r="J1698" s="263"/>
      <c r="K1698" s="263"/>
      <c r="L1698" s="263"/>
      <c r="M1698" s="263"/>
      <c r="N1698" s="266">
        <v>1</v>
      </c>
      <c r="O1698" s="266">
        <v>2</v>
      </c>
      <c r="P1698" s="266">
        <v>3</v>
      </c>
      <c r="Q1698" s="266">
        <v>4</v>
      </c>
      <c r="R1698" s="266">
        <v>5</v>
      </c>
      <c r="S1698" s="266">
        <v>6</v>
      </c>
      <c r="T1698" s="266">
        <v>7</v>
      </c>
      <c r="U1698" s="263"/>
      <c r="V1698" s="266" t="s">
        <v>31</v>
      </c>
      <c r="W1698" s="267"/>
      <c r="X1698" s="263"/>
      <c r="AE1698" s="253" t="s">
        <v>68</v>
      </c>
      <c r="AV1698" s="256" t="str">
        <f>CONCATENATE(V1702,":",V1699, " ( ",AN1700,",",AO1700,",",AP1700,",",AQ1700,",",AR1700,",",AS1700,",",AT1700," ) ")</f>
        <v xml:space="preserve">3:1 ( 7,-9,2,8,,, ) </v>
      </c>
    </row>
    <row r="1699" spans="1:53" ht="39.950000000000003" customHeight="1">
      <c r="A1699" s="252" t="str">
        <f>CONCATENATE(A1697,1)</f>
        <v>MIXP21</v>
      </c>
      <c r="B1699" s="252" t="str">
        <f>VLOOKUP(A1699,'KO KODY SPOLU'!$A$3:$B$189,2,0)</f>
        <v>VICO / HUDÁKOVÁ</v>
      </c>
      <c r="C1699" s="223"/>
      <c r="D1699" s="223"/>
      <c r="E1699" s="264" t="s">
        <v>29</v>
      </c>
      <c r="F1699" s="265">
        <f>VLOOKUP(CONCATENATE(A1697,1),'zoznam zapasov'!$A$6:$K$160,11,0)</f>
        <v>1</v>
      </c>
      <c r="G1699" s="508"/>
      <c r="H1699" s="319"/>
      <c r="I1699" s="487" t="str">
        <f>IF(ISERROR(VLOOKUP(B1699,vylosovanie!$N$75:$Q$191,3,0))=TRUE," ",VLOOKUP(B1699,vylosovanie!$N$75:$Q$191,3,0))</f>
        <v>VICO Dávid</v>
      </c>
      <c r="J1699" s="488"/>
      <c r="K1699" s="488"/>
      <c r="L1699" s="488"/>
      <c r="M1699" s="263"/>
      <c r="N1699" s="489">
        <v>7</v>
      </c>
      <c r="O1699" s="489">
        <v>11</v>
      </c>
      <c r="P1699" s="489">
        <v>2</v>
      </c>
      <c r="Q1699" s="489">
        <v>8</v>
      </c>
      <c r="R1699" s="489"/>
      <c r="S1699" s="491"/>
      <c r="T1699" s="491"/>
      <c r="U1699" s="263"/>
      <c r="V1699" s="493">
        <f>IF(SUM(AF1699:AL1700)=0,"",SUM(AF1699:AL1699))</f>
        <v>1</v>
      </c>
      <c r="W1699" s="267"/>
      <c r="X1699" s="263"/>
      <c r="AE1699" s="253" t="str">
        <f>VLOOKUP(I1699,vylosovanie!$F$8:$L$190,7,0)</f>
        <v>CH53</v>
      </c>
      <c r="AF1699" s="268">
        <f>IF(N1699&gt;N1702,1,0)</f>
        <v>0</v>
      </c>
      <c r="AG1699" s="268">
        <f t="shared" ref="AG1699" si="1310">IF(O1699&gt;O1702,1,0)</f>
        <v>1</v>
      </c>
      <c r="AH1699" s="268">
        <f t="shared" ref="AH1699" si="1311">IF(P1699&gt;P1702,1,0)</f>
        <v>0</v>
      </c>
      <c r="AI1699" s="268">
        <f t="shared" ref="AI1699" si="1312">IF(Q1699&gt;Q1702,1,0)</f>
        <v>0</v>
      </c>
      <c r="AJ1699" s="268">
        <f t="shared" ref="AJ1699" si="1313">IF(R1699&gt;R1702,1,0)</f>
        <v>0</v>
      </c>
      <c r="AK1699" s="268">
        <f t="shared" ref="AK1699" si="1314">IF(S1699&gt;S1702,1,0)</f>
        <v>0</v>
      </c>
      <c r="AL1699" s="268">
        <f t="shared" ref="AL1699" si="1315">IF(T1699&gt;T1702,1,0)</f>
        <v>0</v>
      </c>
      <c r="AN1699" s="268">
        <f t="shared" ref="AN1699" si="1316">IF(ISBLANK(N1699)=TRUE,"",IF(AF1699=1,N1702,-N1699))</f>
        <v>-7</v>
      </c>
      <c r="AO1699" s="268">
        <f t="shared" ref="AO1699" si="1317">IF(ISBLANK(O1699)=TRUE,"",IF(AG1699=1,O1702,-O1699))</f>
        <v>9</v>
      </c>
      <c r="AP1699" s="268">
        <f t="shared" ref="AP1699" si="1318">IF(ISBLANK(P1699)=TRUE,"",IF(AH1699=1,P1702,-P1699))</f>
        <v>-2</v>
      </c>
      <c r="AQ1699" s="268">
        <f t="shared" ref="AQ1699" si="1319">IF(ISBLANK(Q1699)=TRUE,"",IF(AI1699=1,Q1702,-Q1699))</f>
        <v>-8</v>
      </c>
      <c r="AR1699" s="268" t="str">
        <f t="shared" ref="AR1699" si="1320">IF(ISBLANK(R1699)=TRUE,"",IF(AJ1699=1,R1702,-R1699))</f>
        <v/>
      </c>
      <c r="AS1699" s="268" t="str">
        <f t="shared" ref="AS1699" si="1321">IF(ISBLANK(S1699)=TRUE,"",IF(AK1699=1,S1702,-S1699))</f>
        <v/>
      </c>
      <c r="AT1699" s="268" t="str">
        <f t="shared" ref="AT1699" si="1322">IF(ISBLANK(T1699)=TRUE,"",IF(AL1699=1,T1702,-T1699))</f>
        <v/>
      </c>
      <c r="AZ1699" s="269" t="s">
        <v>12</v>
      </c>
      <c r="BA1699" s="269">
        <v>1</v>
      </c>
    </row>
    <row r="1700" spans="1:53" ht="39.950000000000003" customHeight="1">
      <c r="C1700" s="223"/>
      <c r="D1700" s="223"/>
      <c r="E1700" s="264"/>
      <c r="F1700" s="265"/>
      <c r="G1700" s="509"/>
      <c r="H1700" s="319"/>
      <c r="I1700" s="487" t="str">
        <f>IF(ISERROR(VLOOKUP(B1699,vylosovanie!$N$75:$Q$191,3,0))=TRUE," ",VLOOKUP(B1699,vylosovanie!$N$75:$Q$191,4,0))</f>
        <v>HUDÁKOVÁ Ivana</v>
      </c>
      <c r="J1700" s="488"/>
      <c r="K1700" s="488"/>
      <c r="L1700" s="488"/>
      <c r="M1700" s="263"/>
      <c r="N1700" s="490"/>
      <c r="O1700" s="490"/>
      <c r="P1700" s="490"/>
      <c r="Q1700" s="490"/>
      <c r="R1700" s="490"/>
      <c r="S1700" s="492"/>
      <c r="T1700" s="492"/>
      <c r="U1700" s="263"/>
      <c r="V1700" s="493"/>
      <c r="W1700" s="267"/>
      <c r="X1700" s="263"/>
      <c r="AE1700" s="253" t="str">
        <f>VLOOKUP(I1702,vylosovanie!$F$8:$L$190,7,0)</f>
        <v>CH62</v>
      </c>
      <c r="AF1700" s="268">
        <f>IF(N1702&gt;N1699,1,0)</f>
        <v>1</v>
      </c>
      <c r="AG1700" s="268">
        <f t="shared" ref="AG1700" si="1323">IF(O1702&gt;O1699,1,0)</f>
        <v>0</v>
      </c>
      <c r="AH1700" s="268">
        <f t="shared" ref="AH1700" si="1324">IF(P1702&gt;P1699,1,0)</f>
        <v>1</v>
      </c>
      <c r="AI1700" s="268">
        <f t="shared" ref="AI1700" si="1325">IF(Q1702&gt;Q1699,1,0)</f>
        <v>1</v>
      </c>
      <c r="AJ1700" s="268">
        <f t="shared" ref="AJ1700" si="1326">IF(R1702&gt;R1699,1,0)</f>
        <v>0</v>
      </c>
      <c r="AK1700" s="268">
        <f t="shared" ref="AK1700" si="1327">IF(S1702&gt;S1699,1,0)</f>
        <v>0</v>
      </c>
      <c r="AL1700" s="268">
        <f t="shared" ref="AL1700" si="1328">IF(T1702&gt;T1699,1,0)</f>
        <v>0</v>
      </c>
      <c r="AN1700" s="268">
        <f t="shared" ref="AN1700" si="1329">IF(ISBLANK(N1702)=TRUE,"",IF(AF1700=1,N1699,-N1702))</f>
        <v>7</v>
      </c>
      <c r="AO1700" s="268">
        <f t="shared" ref="AO1700" si="1330">IF(ISBLANK(O1702)=TRUE,"",IF(AG1700=1,O1699,-O1702))</f>
        <v>-9</v>
      </c>
      <c r="AP1700" s="268">
        <f t="shared" ref="AP1700" si="1331">IF(ISBLANK(P1702)=TRUE,"",IF(AH1700=1,P1699,-P1702))</f>
        <v>2</v>
      </c>
      <c r="AQ1700" s="268">
        <f t="shared" ref="AQ1700" si="1332">IF(ISBLANK(Q1702)=TRUE,"",IF(AI1700=1,Q1699,-Q1702))</f>
        <v>8</v>
      </c>
      <c r="AR1700" s="268" t="str">
        <f t="shared" ref="AR1700" si="1333">IF(ISBLANK(R1702)=TRUE,"",IF(AJ1700=1,R1699,-R1702))</f>
        <v/>
      </c>
      <c r="AS1700" s="268" t="str">
        <f t="shared" ref="AS1700" si="1334">IF(ISBLANK(S1702)=TRUE,"",IF(AK1700=1,S1699,-S1702))</f>
        <v/>
      </c>
      <c r="AT1700" s="268" t="str">
        <f t="shared" ref="AT1700" si="1335">IF(ISBLANK(T1702)=TRUE,"",IF(AL1700=1,T1699,-T1702))</f>
        <v/>
      </c>
      <c r="AZ1700" s="269" t="s">
        <v>18</v>
      </c>
      <c r="BA1700" s="269">
        <v>2</v>
      </c>
    </row>
    <row r="1701" spans="1:53" ht="39.950000000000003" customHeight="1">
      <c r="C1701" s="223"/>
      <c r="D1701" s="223"/>
      <c r="E1701" s="264" t="s">
        <v>35</v>
      </c>
      <c r="F1701" s="265" t="str">
        <f>VLOOKUP(CONCATENATE(A1697,1),'zoznam zapasov'!$A$6:$K$160,9,0)</f>
        <v>So</v>
      </c>
      <c r="G1701" s="263"/>
      <c r="H1701" s="263"/>
      <c r="I1701" s="263"/>
      <c r="J1701" s="263"/>
      <c r="K1701" s="263"/>
      <c r="L1701" s="263"/>
      <c r="M1701" s="263"/>
      <c r="N1701" s="263"/>
      <c r="O1701" s="263"/>
      <c r="P1701" s="263"/>
      <c r="Q1701" s="263"/>
      <c r="R1701" s="263"/>
      <c r="S1701" s="263"/>
      <c r="T1701" s="263"/>
      <c r="U1701" s="263"/>
      <c r="V1701" s="263"/>
      <c r="W1701" s="267"/>
      <c r="X1701" s="263"/>
      <c r="AZ1701" s="269" t="s">
        <v>38</v>
      </c>
      <c r="BA1701" s="269">
        <v>3</v>
      </c>
    </row>
    <row r="1702" spans="1:53" ht="39.950000000000003" customHeight="1">
      <c r="A1702" s="252" t="str">
        <f>CONCATENATE(A1697,2)</f>
        <v>MIXP22</v>
      </c>
      <c r="B1702" s="252" t="str">
        <f>VLOOKUP(A1702,'KO KODY SPOLU'!$A$3:$B$189,2,0)</f>
        <v>MILAN / GAŠPARÍKOVÁ</v>
      </c>
      <c r="C1702" s="223"/>
      <c r="D1702" s="223"/>
      <c r="E1702" s="264" t="s">
        <v>28</v>
      </c>
      <c r="F1702" s="270" t="str">
        <f>VLOOKUP(CONCATENATE(A1697,1),'zoznam zapasov'!$A$6:$K$160,10,0)</f>
        <v>14.25</v>
      </c>
      <c r="G1702" s="508"/>
      <c r="H1702" s="319"/>
      <c r="I1702" s="487" t="str">
        <f>IF(ISERROR(VLOOKUP(B1702,vylosovanie!$N$75:$Q$191,3,0))=TRUE," ",VLOOKUP(B1702,vylosovanie!$N$75:$Q$191,3,0))</f>
        <v>MILAN Martin</v>
      </c>
      <c r="J1702" s="488"/>
      <c r="K1702" s="488"/>
      <c r="L1702" s="488"/>
      <c r="M1702" s="263"/>
      <c r="N1702" s="489">
        <v>11</v>
      </c>
      <c r="O1702" s="489">
        <v>9</v>
      </c>
      <c r="P1702" s="489">
        <v>11</v>
      </c>
      <c r="Q1702" s="489">
        <v>11</v>
      </c>
      <c r="R1702" s="489"/>
      <c r="S1702" s="491"/>
      <c r="T1702" s="491"/>
      <c r="U1702" s="263"/>
      <c r="V1702" s="493">
        <f>IF(SUM(AF1699:AL1700)=0,"",SUM(AF1700:AL1700))</f>
        <v>3</v>
      </c>
      <c r="W1702" s="267"/>
      <c r="X1702" s="263"/>
      <c r="AZ1702" s="269" t="s">
        <v>39</v>
      </c>
      <c r="BA1702" s="269">
        <v>4</v>
      </c>
    </row>
    <row r="1703" spans="1:53" ht="39.950000000000003" customHeight="1">
      <c r="C1703" s="223"/>
      <c r="D1703" s="223"/>
      <c r="E1703" s="271"/>
      <c r="F1703" s="272"/>
      <c r="G1703" s="509"/>
      <c r="H1703" s="319"/>
      <c r="I1703" s="487" t="str">
        <f>IF(ISERROR(VLOOKUP(B1702,vylosovanie!$N$75:$Q$191,3,0))=TRUE," ",VLOOKUP(B1702,vylosovanie!$N$75:$Q$191,4,0))</f>
        <v>GAŠPARÍKOVÁ Lucia</v>
      </c>
      <c r="J1703" s="488"/>
      <c r="K1703" s="488"/>
      <c r="L1703" s="488"/>
      <c r="M1703" s="263"/>
      <c r="N1703" s="490"/>
      <c r="O1703" s="490"/>
      <c r="P1703" s="490"/>
      <c r="Q1703" s="490"/>
      <c r="R1703" s="490"/>
      <c r="S1703" s="492"/>
      <c r="T1703" s="492"/>
      <c r="U1703" s="263"/>
      <c r="V1703" s="493"/>
      <c r="W1703" s="267"/>
      <c r="X1703" s="263"/>
      <c r="AZ1703" s="269" t="s">
        <v>40</v>
      </c>
      <c r="BA1703" s="269">
        <v>5</v>
      </c>
    </row>
    <row r="1704" spans="1:53" ht="39.950000000000003" customHeight="1">
      <c r="C1704" s="223"/>
      <c r="D1704" s="223"/>
      <c r="E1704" s="264" t="s">
        <v>66</v>
      </c>
      <c r="F1704" s="265" t="s">
        <v>316</v>
      </c>
      <c r="G1704" s="263"/>
      <c r="H1704" s="263"/>
      <c r="I1704" s="263"/>
      <c r="J1704" s="263"/>
      <c r="K1704" s="263"/>
      <c r="L1704" s="263"/>
      <c r="M1704" s="263"/>
      <c r="N1704" s="263"/>
      <c r="O1704" s="263"/>
      <c r="P1704" s="263"/>
      <c r="Q1704" s="263"/>
      <c r="R1704" s="263"/>
      <c r="S1704" s="263"/>
      <c r="T1704" s="263"/>
      <c r="U1704" s="263"/>
      <c r="V1704" s="263"/>
      <c r="W1704" s="267"/>
      <c r="X1704" s="263"/>
      <c r="AZ1704" s="269" t="s">
        <v>41</v>
      </c>
      <c r="BA1704" s="269">
        <v>6</v>
      </c>
    </row>
    <row r="1705" spans="1:53" ht="39.950000000000003" customHeight="1">
      <c r="C1705" s="223"/>
      <c r="D1705" s="223"/>
      <c r="E1705" s="271"/>
      <c r="F1705" s="272"/>
      <c r="G1705" s="263"/>
      <c r="H1705" s="263"/>
      <c r="I1705" s="263" t="s">
        <v>32</v>
      </c>
      <c r="J1705" s="263"/>
      <c r="K1705" s="263"/>
      <c r="L1705" s="263"/>
      <c r="M1705" s="263"/>
      <c r="N1705" s="273"/>
      <c r="O1705" s="266"/>
      <c r="P1705" s="266" t="s">
        <v>34</v>
      </c>
      <c r="Q1705" s="266"/>
      <c r="R1705" s="266"/>
      <c r="S1705" s="266"/>
      <c r="T1705" s="266"/>
      <c r="U1705" s="263"/>
      <c r="V1705" s="263"/>
      <c r="W1705" s="267"/>
      <c r="X1705" s="263"/>
      <c r="AZ1705" s="269" t="s">
        <v>42</v>
      </c>
      <c r="BA1705" s="269">
        <v>7</v>
      </c>
    </row>
    <row r="1706" spans="1:53" ht="39.950000000000003" customHeight="1">
      <c r="E1706" s="264" t="s">
        <v>26</v>
      </c>
      <c r="F1706" s="265" t="s">
        <v>128</v>
      </c>
      <c r="G1706" s="263"/>
      <c r="H1706" s="263"/>
      <c r="I1706" s="486"/>
      <c r="J1706" s="486"/>
      <c r="K1706" s="486"/>
      <c r="L1706" s="486"/>
      <c r="M1706" s="263"/>
      <c r="N1706" s="483" t="str">
        <f>IF(V1699&gt;V1702,I1699,IF(V1702&gt;V1699,I1702,""))</f>
        <v>MILAN Martin</v>
      </c>
      <c r="O1706" s="494"/>
      <c r="P1706" s="494"/>
      <c r="Q1706" s="494"/>
      <c r="R1706" s="494"/>
      <c r="S1706" s="495"/>
      <c r="T1706" s="263"/>
      <c r="U1706" s="263"/>
      <c r="V1706" s="263"/>
      <c r="W1706" s="267"/>
      <c r="X1706" s="263"/>
      <c r="AZ1706" s="269" t="s">
        <v>43</v>
      </c>
      <c r="BA1706" s="269">
        <v>8</v>
      </c>
    </row>
    <row r="1707" spans="1:53" ht="39.950000000000003" customHeight="1">
      <c r="E1707" s="271"/>
      <c r="F1707" s="272"/>
      <c r="G1707" s="263"/>
      <c r="H1707" s="263"/>
      <c r="I1707" s="486"/>
      <c r="J1707" s="486"/>
      <c r="K1707" s="486"/>
      <c r="L1707" s="486"/>
      <c r="M1707" s="263"/>
      <c r="N1707" s="483" t="str">
        <f>IF(V1699&gt;V1702,I1700,IF(V1702&gt;V1699,I1703,""))</f>
        <v>GAŠPARÍKOVÁ Lucia</v>
      </c>
      <c r="O1707" s="494"/>
      <c r="P1707" s="494"/>
      <c r="Q1707" s="494"/>
      <c r="R1707" s="494"/>
      <c r="S1707" s="495"/>
      <c r="T1707" s="263"/>
      <c r="U1707" s="263"/>
      <c r="V1707" s="263"/>
      <c r="W1707" s="267"/>
      <c r="X1707" s="263"/>
    </row>
    <row r="1708" spans="1:53" ht="39.950000000000003" customHeight="1">
      <c r="E1708" s="264" t="s">
        <v>27</v>
      </c>
      <c r="F1708" s="274" t="s">
        <v>162</v>
      </c>
      <c r="G1708" s="263"/>
      <c r="H1708" s="263"/>
      <c r="I1708" s="263"/>
      <c r="J1708" s="263"/>
      <c r="K1708" s="263"/>
      <c r="L1708" s="263"/>
      <c r="M1708" s="263"/>
      <c r="N1708" s="263"/>
      <c r="O1708" s="263"/>
      <c r="P1708" s="263"/>
      <c r="Q1708" s="263"/>
      <c r="R1708" s="263"/>
      <c r="S1708" s="263"/>
      <c r="T1708" s="263"/>
      <c r="U1708" s="263"/>
      <c r="V1708" s="263"/>
      <c r="W1708" s="267"/>
      <c r="X1708" s="263"/>
    </row>
    <row r="1709" spans="1:53" ht="39.950000000000003" customHeight="1">
      <c r="E1709" s="271"/>
      <c r="F1709" s="272"/>
      <c r="G1709" s="263"/>
      <c r="H1709" s="263" t="s">
        <v>33</v>
      </c>
      <c r="I1709" s="263"/>
      <c r="J1709" s="263"/>
      <c r="K1709" s="263"/>
      <c r="L1709" s="263"/>
      <c r="M1709" s="263"/>
      <c r="N1709" s="263"/>
      <c r="O1709" s="263"/>
      <c r="P1709" s="263"/>
      <c r="Q1709" s="263"/>
      <c r="R1709" s="263"/>
      <c r="S1709" s="263"/>
      <c r="T1709" s="263"/>
      <c r="U1709" s="263"/>
      <c r="V1709" s="263"/>
      <c r="W1709" s="267"/>
      <c r="X1709" s="263"/>
    </row>
    <row r="1710" spans="1:53" ht="39.950000000000003" customHeight="1">
      <c r="E1710" s="271"/>
      <c r="F1710" s="272"/>
      <c r="G1710" s="263"/>
      <c r="H1710" s="263"/>
      <c r="I1710" s="263"/>
      <c r="J1710" s="263"/>
      <c r="K1710" s="263"/>
      <c r="L1710" s="263"/>
      <c r="M1710" s="263"/>
      <c r="N1710" s="263"/>
      <c r="O1710" s="263"/>
      <c r="P1710" s="263"/>
      <c r="Q1710" s="263"/>
      <c r="R1710" s="263"/>
      <c r="S1710" s="263"/>
      <c r="T1710" s="263"/>
      <c r="U1710" s="263"/>
      <c r="V1710" s="263"/>
      <c r="W1710" s="267"/>
      <c r="X1710" s="263"/>
    </row>
    <row r="1711" spans="1:53" ht="39.950000000000003" customHeight="1">
      <c r="E1711" s="271"/>
      <c r="F1711" s="272"/>
      <c r="G1711" s="263"/>
      <c r="H1711" s="263"/>
      <c r="I1711" s="496" t="str">
        <f>I1699</f>
        <v>VICO Dávid</v>
      </c>
      <c r="J1711" s="496"/>
      <c r="K1711" s="496"/>
      <c r="L1711" s="496"/>
      <c r="M1711" s="263"/>
      <c r="N1711" s="263"/>
      <c r="P1711" s="496" t="str">
        <f>I1702</f>
        <v>MILAN Martin</v>
      </c>
      <c r="Q1711" s="496"/>
      <c r="R1711" s="496"/>
      <c r="S1711" s="496"/>
      <c r="T1711" s="497"/>
      <c r="U1711" s="497"/>
      <c r="V1711" s="263"/>
      <c r="W1711" s="267"/>
      <c r="X1711" s="263"/>
    </row>
    <row r="1712" spans="1:53" ht="39.950000000000003" customHeight="1">
      <c r="E1712" s="271"/>
      <c r="F1712" s="272"/>
      <c r="G1712" s="263"/>
      <c r="H1712" s="263"/>
      <c r="I1712" s="496" t="str">
        <f>I1700</f>
        <v>HUDÁKOVÁ Ivana</v>
      </c>
      <c r="J1712" s="496"/>
      <c r="K1712" s="496"/>
      <c r="L1712" s="496"/>
      <c r="M1712" s="263"/>
      <c r="N1712" s="263"/>
      <c r="O1712" s="263"/>
      <c r="P1712" s="496" t="str">
        <f>I1703</f>
        <v>GAŠPARÍKOVÁ Lucia</v>
      </c>
      <c r="Q1712" s="496"/>
      <c r="R1712" s="496"/>
      <c r="S1712" s="496"/>
      <c r="T1712" s="497"/>
      <c r="U1712" s="497"/>
      <c r="V1712" s="263"/>
      <c r="W1712" s="267"/>
      <c r="X1712" s="263"/>
    </row>
    <row r="1713" spans="1:53" ht="69.95" customHeight="1">
      <c r="E1713" s="264"/>
      <c r="F1713" s="265"/>
      <c r="G1713" s="263"/>
      <c r="H1713" s="275" t="s">
        <v>36</v>
      </c>
      <c r="I1713" s="483"/>
      <c r="J1713" s="484"/>
      <c r="K1713" s="484"/>
      <c r="L1713" s="485"/>
      <c r="M1713" s="263"/>
      <c r="N1713" s="263"/>
      <c r="O1713" s="275" t="s">
        <v>36</v>
      </c>
      <c r="P1713" s="486"/>
      <c r="Q1713" s="486"/>
      <c r="R1713" s="486"/>
      <c r="S1713" s="486"/>
      <c r="T1713" s="486"/>
      <c r="U1713" s="486"/>
      <c r="V1713" s="263"/>
      <c r="W1713" s="267"/>
      <c r="X1713" s="263"/>
    </row>
    <row r="1714" spans="1:53" ht="69.95" customHeight="1">
      <c r="E1714" s="264"/>
      <c r="F1714" s="265"/>
      <c r="G1714" s="263"/>
      <c r="H1714" s="275" t="s">
        <v>37</v>
      </c>
      <c r="I1714" s="486"/>
      <c r="J1714" s="486"/>
      <c r="K1714" s="486"/>
      <c r="L1714" s="486"/>
      <c r="M1714" s="263"/>
      <c r="N1714" s="263"/>
      <c r="O1714" s="275" t="s">
        <v>37</v>
      </c>
      <c r="P1714" s="486"/>
      <c r="Q1714" s="486"/>
      <c r="R1714" s="486"/>
      <c r="S1714" s="486"/>
      <c r="T1714" s="486"/>
      <c r="U1714" s="486"/>
      <c r="V1714" s="263"/>
      <c r="W1714" s="267"/>
      <c r="X1714" s="263"/>
    </row>
    <row r="1715" spans="1:53" ht="69.95" customHeight="1">
      <c r="E1715" s="264"/>
      <c r="F1715" s="265"/>
      <c r="G1715" s="263"/>
      <c r="H1715" s="275" t="s">
        <v>37</v>
      </c>
      <c r="I1715" s="486"/>
      <c r="J1715" s="486"/>
      <c r="K1715" s="486"/>
      <c r="L1715" s="486"/>
      <c r="M1715" s="263"/>
      <c r="N1715" s="263"/>
      <c r="O1715" s="275" t="s">
        <v>37</v>
      </c>
      <c r="P1715" s="486"/>
      <c r="Q1715" s="486"/>
      <c r="R1715" s="486"/>
      <c r="S1715" s="486"/>
      <c r="T1715" s="486"/>
      <c r="U1715" s="486"/>
      <c r="V1715" s="263"/>
      <c r="W1715" s="267"/>
      <c r="X1715" s="263"/>
    </row>
    <row r="1716" spans="1:53" ht="39.950000000000003" customHeight="1" thickBot="1">
      <c r="E1716" s="276"/>
      <c r="F1716" s="277"/>
      <c r="G1716" s="278"/>
      <c r="H1716" s="278"/>
      <c r="I1716" s="278"/>
      <c r="J1716" s="278"/>
      <c r="K1716" s="278"/>
      <c r="L1716" s="278"/>
      <c r="M1716" s="278"/>
      <c r="N1716" s="278"/>
      <c r="O1716" s="278"/>
      <c r="P1716" s="278"/>
      <c r="Q1716" s="278"/>
      <c r="R1716" s="278"/>
      <c r="S1716" s="278"/>
      <c r="T1716" s="279"/>
      <c r="U1716" s="279"/>
      <c r="V1716" s="279"/>
      <c r="W1716" s="280"/>
      <c r="X1716" s="263"/>
    </row>
    <row r="1717" spans="1:53" ht="62.25" thickBot="1"/>
    <row r="1718" spans="1:53" ht="39.950000000000003" customHeight="1">
      <c r="A1718" s="252" t="str">
        <f>CONCATENATE(F1725,F1727,F1729)</f>
        <v>MIXP3</v>
      </c>
      <c r="C1718" s="223"/>
      <c r="D1718" s="223"/>
      <c r="E1718" s="259" t="s">
        <v>70</v>
      </c>
      <c r="F1718" s="260">
        <f>VLOOKUP(CONCATENATE(A1718,1),'zoznam zapasov'!$A$6:$K$160,3,0)</f>
        <v>86</v>
      </c>
      <c r="G1718" s="261"/>
      <c r="H1718" s="322" t="s">
        <v>501</v>
      </c>
      <c r="I1718" s="261"/>
      <c r="J1718" s="261"/>
      <c r="K1718" s="261"/>
      <c r="L1718" s="261"/>
      <c r="M1718" s="261"/>
      <c r="N1718" s="261"/>
      <c r="O1718" s="261"/>
      <c r="P1718" s="261"/>
      <c r="Q1718" s="261"/>
      <c r="R1718" s="261"/>
      <c r="S1718" s="261"/>
      <c r="T1718" s="261"/>
      <c r="U1718" s="261"/>
      <c r="V1718" s="261" t="s">
        <v>30</v>
      </c>
      <c r="W1718" s="262"/>
      <c r="X1718" s="263"/>
      <c r="Y1718" s="253" t="str">
        <f>A1720</f>
        <v>MIXP31</v>
      </c>
      <c r="Z1718" s="258" t="str">
        <f>CONCATENATE(V1720,":",V1723)</f>
        <v>3:0</v>
      </c>
      <c r="AA1718" s="255" t="str">
        <f>IF(V1720&gt;V1723,B1720,IF(V1723&gt;V1720,B1723,""))</f>
        <v>PACH / VIŠŇOVSKÁ</v>
      </c>
      <c r="AB1718" s="255" t="str">
        <f>IF(V1720&gt;V1723,AV1718,IF(V1723&gt;V1720,AV1719,""))</f>
        <v xml:space="preserve">3:0 ( 11,2,9,,,, ) </v>
      </c>
      <c r="AC1718" s="255" t="str">
        <f>CONCATENATE("Tbl.: ",F1720,"   H: ",F1723,"   D: ",F1722)</f>
        <v>Tbl.: 2   H: 14.25   D: So</v>
      </c>
      <c r="AE1718" s="253" t="s">
        <v>11</v>
      </c>
      <c r="AV1718" s="256" t="str">
        <f>CONCATENATE(V1720,":",V1723, " ( ",AN1720,",",AO1720,",",AP1720,",",AQ1720,",",AR1720,",",AS1720,",",AT1720," ) ")</f>
        <v xml:space="preserve">3:0 ( 11,2,9,,,, ) </v>
      </c>
    </row>
    <row r="1719" spans="1:53" ht="39.950000000000003" customHeight="1">
      <c r="C1719" s="223"/>
      <c r="D1719" s="223"/>
      <c r="E1719" s="264"/>
      <c r="F1719" s="265"/>
      <c r="G1719" s="321" t="s">
        <v>500</v>
      </c>
      <c r="H1719" s="323" t="s">
        <v>502</v>
      </c>
      <c r="I1719" s="263"/>
      <c r="J1719" s="263"/>
      <c r="K1719" s="263"/>
      <c r="L1719" s="263"/>
      <c r="M1719" s="263"/>
      <c r="N1719" s="266">
        <v>1</v>
      </c>
      <c r="O1719" s="266">
        <v>2</v>
      </c>
      <c r="P1719" s="266">
        <v>3</v>
      </c>
      <c r="Q1719" s="266">
        <v>4</v>
      </c>
      <c r="R1719" s="266">
        <v>5</v>
      </c>
      <c r="S1719" s="266">
        <v>6</v>
      </c>
      <c r="T1719" s="266">
        <v>7</v>
      </c>
      <c r="U1719" s="263"/>
      <c r="V1719" s="266" t="s">
        <v>31</v>
      </c>
      <c r="W1719" s="267"/>
      <c r="X1719" s="263"/>
      <c r="AE1719" s="253" t="s">
        <v>68</v>
      </c>
      <c r="AV1719" s="256" t="str">
        <f>CONCATENATE(V1723,":",V1720, " ( ",AN1721,",",AO1721,",",AP1721,",",AQ1721,",",AR1721,",",AS1721,",",AT1721," ) ")</f>
        <v xml:space="preserve">0:3 ( -11,-2,-9,,,, ) </v>
      </c>
    </row>
    <row r="1720" spans="1:53" ht="39.950000000000003" customHeight="1">
      <c r="A1720" s="252" t="str">
        <f>CONCATENATE(A1718,1)</f>
        <v>MIXP31</v>
      </c>
      <c r="B1720" s="252" t="str">
        <f>VLOOKUP(A1720,'KO KODY SPOLU'!$A$3:$B$189,2,0)</f>
        <v>PACH / VIŠŇOVSKÁ</v>
      </c>
      <c r="C1720" s="223"/>
      <c r="D1720" s="223"/>
      <c r="E1720" s="264" t="s">
        <v>29</v>
      </c>
      <c r="F1720" s="265">
        <f>VLOOKUP(CONCATENATE(A1718,1),'zoznam zapasov'!$A$6:$K$160,11,0)</f>
        <v>2</v>
      </c>
      <c r="G1720" s="508"/>
      <c r="H1720" s="319"/>
      <c r="I1720" s="487" t="str">
        <f>IF(ISERROR(VLOOKUP(B1720,vylosovanie!$N$75:$Q$191,3,0))=TRUE," ",VLOOKUP(B1720,vylosovanie!$N$75:$Q$191,3,0))</f>
        <v>PACH Kamil</v>
      </c>
      <c r="J1720" s="488"/>
      <c r="K1720" s="488"/>
      <c r="L1720" s="488"/>
      <c r="M1720" s="263"/>
      <c r="N1720" s="489">
        <v>13</v>
      </c>
      <c r="O1720" s="489">
        <v>11</v>
      </c>
      <c r="P1720" s="489">
        <v>11</v>
      </c>
      <c r="Q1720" s="489"/>
      <c r="R1720" s="489"/>
      <c r="S1720" s="491"/>
      <c r="T1720" s="491"/>
      <c r="U1720" s="263"/>
      <c r="V1720" s="493">
        <f>IF(SUM(AF1720:AL1721)=0,"",SUM(AF1720:AL1720))</f>
        <v>3</v>
      </c>
      <c r="W1720" s="267"/>
      <c r="X1720" s="263"/>
      <c r="AE1720" s="253" t="str">
        <f>VLOOKUP(I1720,vylosovanie!$F$8:$L$190,7,0)</f>
        <v>CH63</v>
      </c>
      <c r="AF1720" s="268">
        <f>IF(N1720&gt;N1723,1,0)</f>
        <v>1</v>
      </c>
      <c r="AG1720" s="268">
        <f t="shared" ref="AG1720" si="1336">IF(O1720&gt;O1723,1,0)</f>
        <v>1</v>
      </c>
      <c r="AH1720" s="268">
        <f t="shared" ref="AH1720" si="1337">IF(P1720&gt;P1723,1,0)</f>
        <v>1</v>
      </c>
      <c r="AI1720" s="268">
        <f t="shared" ref="AI1720" si="1338">IF(Q1720&gt;Q1723,1,0)</f>
        <v>0</v>
      </c>
      <c r="AJ1720" s="268">
        <f t="shared" ref="AJ1720" si="1339">IF(R1720&gt;R1723,1,0)</f>
        <v>0</v>
      </c>
      <c r="AK1720" s="268">
        <f t="shared" ref="AK1720" si="1340">IF(S1720&gt;S1723,1,0)</f>
        <v>0</v>
      </c>
      <c r="AL1720" s="268">
        <f t="shared" ref="AL1720" si="1341">IF(T1720&gt;T1723,1,0)</f>
        <v>0</v>
      </c>
      <c r="AN1720" s="268">
        <f t="shared" ref="AN1720" si="1342">IF(ISBLANK(N1720)=TRUE,"",IF(AF1720=1,N1723,-N1720))</f>
        <v>11</v>
      </c>
      <c r="AO1720" s="268">
        <f t="shared" ref="AO1720" si="1343">IF(ISBLANK(O1720)=TRUE,"",IF(AG1720=1,O1723,-O1720))</f>
        <v>2</v>
      </c>
      <c r="AP1720" s="268">
        <f t="shared" ref="AP1720" si="1344">IF(ISBLANK(P1720)=TRUE,"",IF(AH1720=1,P1723,-P1720))</f>
        <v>9</v>
      </c>
      <c r="AQ1720" s="268" t="str">
        <f t="shared" ref="AQ1720" si="1345">IF(ISBLANK(Q1720)=TRUE,"",IF(AI1720=1,Q1723,-Q1720))</f>
        <v/>
      </c>
      <c r="AR1720" s="268" t="str">
        <f t="shared" ref="AR1720" si="1346">IF(ISBLANK(R1720)=TRUE,"",IF(AJ1720=1,R1723,-R1720))</f>
        <v/>
      </c>
      <c r="AS1720" s="268" t="str">
        <f t="shared" ref="AS1720" si="1347">IF(ISBLANK(S1720)=TRUE,"",IF(AK1720=1,S1723,-S1720))</f>
        <v/>
      </c>
      <c r="AT1720" s="268" t="str">
        <f t="shared" ref="AT1720" si="1348">IF(ISBLANK(T1720)=TRUE,"",IF(AL1720=1,T1723,-T1720))</f>
        <v/>
      </c>
      <c r="AZ1720" s="269" t="s">
        <v>12</v>
      </c>
      <c r="BA1720" s="269">
        <v>1</v>
      </c>
    </row>
    <row r="1721" spans="1:53" ht="39.950000000000003" customHeight="1">
      <c r="C1721" s="223"/>
      <c r="D1721" s="223"/>
      <c r="E1721" s="264"/>
      <c r="F1721" s="265"/>
      <c r="G1721" s="509"/>
      <c r="H1721" s="319"/>
      <c r="I1721" s="487" t="str">
        <f>IF(ISERROR(VLOOKUP(B1720,vylosovanie!$N$75:$Q$191,3,0))=TRUE," ",VLOOKUP(B1720,vylosovanie!$N$75:$Q$191,4,0))</f>
        <v>VIŠŇOVSKÁ Nina</v>
      </c>
      <c r="J1721" s="488"/>
      <c r="K1721" s="488"/>
      <c r="L1721" s="488"/>
      <c r="M1721" s="263"/>
      <c r="N1721" s="490"/>
      <c r="O1721" s="490"/>
      <c r="P1721" s="490"/>
      <c r="Q1721" s="490"/>
      <c r="R1721" s="490"/>
      <c r="S1721" s="492"/>
      <c r="T1721" s="492"/>
      <c r="U1721" s="263"/>
      <c r="V1721" s="493"/>
      <c r="W1721" s="267"/>
      <c r="X1721" s="263"/>
      <c r="AE1721" s="253" t="str">
        <f>VLOOKUP(I1723,vylosovanie!$F$8:$L$190,7,0)</f>
        <v>CH23</v>
      </c>
      <c r="AF1721" s="268">
        <f>IF(N1723&gt;N1720,1,0)</f>
        <v>0</v>
      </c>
      <c r="AG1721" s="268">
        <f t="shared" ref="AG1721" si="1349">IF(O1723&gt;O1720,1,0)</f>
        <v>0</v>
      </c>
      <c r="AH1721" s="268">
        <f t="shared" ref="AH1721" si="1350">IF(P1723&gt;P1720,1,0)</f>
        <v>0</v>
      </c>
      <c r="AI1721" s="268">
        <f t="shared" ref="AI1721" si="1351">IF(Q1723&gt;Q1720,1,0)</f>
        <v>0</v>
      </c>
      <c r="AJ1721" s="268">
        <f t="shared" ref="AJ1721" si="1352">IF(R1723&gt;R1720,1,0)</f>
        <v>0</v>
      </c>
      <c r="AK1721" s="268">
        <f t="shared" ref="AK1721" si="1353">IF(S1723&gt;S1720,1,0)</f>
        <v>0</v>
      </c>
      <c r="AL1721" s="268">
        <f t="shared" ref="AL1721" si="1354">IF(T1723&gt;T1720,1,0)</f>
        <v>0</v>
      </c>
      <c r="AN1721" s="268">
        <f t="shared" ref="AN1721" si="1355">IF(ISBLANK(N1723)=TRUE,"",IF(AF1721=1,N1720,-N1723))</f>
        <v>-11</v>
      </c>
      <c r="AO1721" s="268">
        <f t="shared" ref="AO1721" si="1356">IF(ISBLANK(O1723)=TRUE,"",IF(AG1721=1,O1720,-O1723))</f>
        <v>-2</v>
      </c>
      <c r="AP1721" s="268">
        <f t="shared" ref="AP1721" si="1357">IF(ISBLANK(P1723)=TRUE,"",IF(AH1721=1,P1720,-P1723))</f>
        <v>-9</v>
      </c>
      <c r="AQ1721" s="268" t="str">
        <f t="shared" ref="AQ1721" si="1358">IF(ISBLANK(Q1723)=TRUE,"",IF(AI1721=1,Q1720,-Q1723))</f>
        <v/>
      </c>
      <c r="AR1721" s="268" t="str">
        <f t="shared" ref="AR1721" si="1359">IF(ISBLANK(R1723)=TRUE,"",IF(AJ1721=1,R1720,-R1723))</f>
        <v/>
      </c>
      <c r="AS1721" s="268" t="str">
        <f t="shared" ref="AS1721" si="1360">IF(ISBLANK(S1723)=TRUE,"",IF(AK1721=1,S1720,-S1723))</f>
        <v/>
      </c>
      <c r="AT1721" s="268" t="str">
        <f t="shared" ref="AT1721" si="1361">IF(ISBLANK(T1723)=TRUE,"",IF(AL1721=1,T1720,-T1723))</f>
        <v/>
      </c>
      <c r="AZ1721" s="269" t="s">
        <v>18</v>
      </c>
      <c r="BA1721" s="269">
        <v>2</v>
      </c>
    </row>
    <row r="1722" spans="1:53" ht="39.950000000000003" customHeight="1">
      <c r="C1722" s="223"/>
      <c r="D1722" s="223"/>
      <c r="E1722" s="264" t="s">
        <v>35</v>
      </c>
      <c r="F1722" s="265" t="str">
        <f>VLOOKUP(CONCATENATE(A1718,1),'zoznam zapasov'!$A$6:$K$160,9,0)</f>
        <v>So</v>
      </c>
      <c r="G1722" s="263"/>
      <c r="H1722" s="263"/>
      <c r="I1722" s="263"/>
      <c r="J1722" s="263"/>
      <c r="K1722" s="263"/>
      <c r="L1722" s="263"/>
      <c r="M1722" s="263"/>
      <c r="N1722" s="263"/>
      <c r="O1722" s="263"/>
      <c r="P1722" s="263"/>
      <c r="Q1722" s="263"/>
      <c r="R1722" s="263"/>
      <c r="S1722" s="263"/>
      <c r="T1722" s="263"/>
      <c r="U1722" s="263"/>
      <c r="V1722" s="263"/>
      <c r="W1722" s="267"/>
      <c r="X1722" s="263"/>
      <c r="AZ1722" s="269" t="s">
        <v>38</v>
      </c>
      <c r="BA1722" s="269">
        <v>3</v>
      </c>
    </row>
    <row r="1723" spans="1:53" ht="39.950000000000003" customHeight="1">
      <c r="A1723" s="252" t="str">
        <f>CONCATENATE(A1718,2)</f>
        <v>MIXP32</v>
      </c>
      <c r="B1723" s="252" t="str">
        <f>VLOOKUP(A1723,'KO KODY SPOLU'!$A$3:$B$189,2,0)</f>
        <v>KAPUSTA / CHYLOVÁ</v>
      </c>
      <c r="C1723" s="223"/>
      <c r="D1723" s="223"/>
      <c r="E1723" s="264" t="s">
        <v>28</v>
      </c>
      <c r="F1723" s="270" t="str">
        <f>VLOOKUP(CONCATENATE(A1718,1),'zoznam zapasov'!$A$6:$K$160,10,0)</f>
        <v>14.25</v>
      </c>
      <c r="G1723" s="508"/>
      <c r="H1723" s="319"/>
      <c r="I1723" s="487" t="str">
        <f>IF(ISERROR(VLOOKUP(B1723,vylosovanie!$N$75:$Q$191,3,0))=TRUE," ",VLOOKUP(B1723,vylosovanie!$N$75:$Q$191,3,0))</f>
        <v>KAPUSTA Martin</v>
      </c>
      <c r="J1723" s="488"/>
      <c r="K1723" s="488"/>
      <c r="L1723" s="488"/>
      <c r="M1723" s="263"/>
      <c r="N1723" s="489">
        <v>11</v>
      </c>
      <c r="O1723" s="489">
        <v>2</v>
      </c>
      <c r="P1723" s="489">
        <v>9</v>
      </c>
      <c r="Q1723" s="489"/>
      <c r="R1723" s="489"/>
      <c r="S1723" s="491"/>
      <c r="T1723" s="491"/>
      <c r="U1723" s="263"/>
      <c r="V1723" s="493">
        <f>IF(SUM(AF1720:AL1721)=0,"",SUM(AF1721:AL1721))</f>
        <v>0</v>
      </c>
      <c r="W1723" s="267"/>
      <c r="X1723" s="263"/>
      <c r="AZ1723" s="269" t="s">
        <v>39</v>
      </c>
      <c r="BA1723" s="269">
        <v>4</v>
      </c>
    </row>
    <row r="1724" spans="1:53" ht="39.950000000000003" customHeight="1">
      <c r="C1724" s="223"/>
      <c r="D1724" s="223"/>
      <c r="E1724" s="271"/>
      <c r="F1724" s="272"/>
      <c r="G1724" s="509"/>
      <c r="H1724" s="319"/>
      <c r="I1724" s="487" t="str">
        <f>IF(ISERROR(VLOOKUP(B1723,vylosovanie!$N$75:$Q$191,3,0))=TRUE," ",VLOOKUP(B1723,vylosovanie!$N$75:$Q$191,4,0))</f>
        <v>CHYLOVÁ Sabína</v>
      </c>
      <c r="J1724" s="488"/>
      <c r="K1724" s="488"/>
      <c r="L1724" s="488"/>
      <c r="M1724" s="263"/>
      <c r="N1724" s="490"/>
      <c r="O1724" s="490"/>
      <c r="P1724" s="490"/>
      <c r="Q1724" s="490"/>
      <c r="R1724" s="490"/>
      <c r="S1724" s="492"/>
      <c r="T1724" s="492"/>
      <c r="U1724" s="263"/>
      <c r="V1724" s="493"/>
      <c r="W1724" s="267"/>
      <c r="X1724" s="263"/>
      <c r="AZ1724" s="269" t="s">
        <v>40</v>
      </c>
      <c r="BA1724" s="269">
        <v>5</v>
      </c>
    </row>
    <row r="1725" spans="1:53" ht="39.950000000000003" customHeight="1">
      <c r="C1725" s="223"/>
      <c r="D1725" s="223"/>
      <c r="E1725" s="264" t="s">
        <v>66</v>
      </c>
      <c r="F1725" s="265" t="s">
        <v>316</v>
      </c>
      <c r="G1725" s="263"/>
      <c r="H1725" s="263"/>
      <c r="I1725" s="263"/>
      <c r="J1725" s="263"/>
      <c r="K1725" s="263"/>
      <c r="L1725" s="263"/>
      <c r="M1725" s="263"/>
      <c r="N1725" s="263"/>
      <c r="O1725" s="263"/>
      <c r="P1725" s="263"/>
      <c r="Q1725" s="263"/>
      <c r="R1725" s="263"/>
      <c r="S1725" s="263"/>
      <c r="T1725" s="263"/>
      <c r="U1725" s="263"/>
      <c r="V1725" s="263"/>
      <c r="W1725" s="267"/>
      <c r="X1725" s="263"/>
      <c r="AZ1725" s="269" t="s">
        <v>41</v>
      </c>
      <c r="BA1725" s="269">
        <v>6</v>
      </c>
    </row>
    <row r="1726" spans="1:53" ht="39.950000000000003" customHeight="1">
      <c r="C1726" s="223"/>
      <c r="D1726" s="223"/>
      <c r="E1726" s="271"/>
      <c r="F1726" s="272"/>
      <c r="G1726" s="263"/>
      <c r="H1726" s="263"/>
      <c r="I1726" s="263" t="s">
        <v>32</v>
      </c>
      <c r="J1726" s="263"/>
      <c r="K1726" s="263"/>
      <c r="L1726" s="263"/>
      <c r="M1726" s="263"/>
      <c r="N1726" s="273"/>
      <c r="O1726" s="266"/>
      <c r="P1726" s="266" t="s">
        <v>34</v>
      </c>
      <c r="Q1726" s="266"/>
      <c r="R1726" s="266"/>
      <c r="S1726" s="266"/>
      <c r="T1726" s="266"/>
      <c r="U1726" s="263"/>
      <c r="V1726" s="263"/>
      <c r="W1726" s="267"/>
      <c r="X1726" s="263"/>
      <c r="AZ1726" s="269" t="s">
        <v>42</v>
      </c>
      <c r="BA1726" s="269">
        <v>7</v>
      </c>
    </row>
    <row r="1727" spans="1:53" ht="39.950000000000003" customHeight="1">
      <c r="E1727" s="264" t="s">
        <v>26</v>
      </c>
      <c r="F1727" s="265" t="s">
        <v>128</v>
      </c>
      <c r="G1727" s="263"/>
      <c r="H1727" s="263"/>
      <c r="I1727" s="486"/>
      <c r="J1727" s="486"/>
      <c r="K1727" s="486"/>
      <c r="L1727" s="486"/>
      <c r="M1727" s="263"/>
      <c r="N1727" s="483" t="str">
        <f>IF(V1720&gt;V1723,I1720,IF(V1723&gt;V1720,I1723,""))</f>
        <v>PACH Kamil</v>
      </c>
      <c r="O1727" s="494"/>
      <c r="P1727" s="494"/>
      <c r="Q1727" s="494"/>
      <c r="R1727" s="494"/>
      <c r="S1727" s="495"/>
      <c r="T1727" s="263"/>
      <c r="U1727" s="263"/>
      <c r="V1727" s="263"/>
      <c r="W1727" s="267"/>
      <c r="X1727" s="263"/>
      <c r="AZ1727" s="269" t="s">
        <v>43</v>
      </c>
      <c r="BA1727" s="269">
        <v>8</v>
      </c>
    </row>
    <row r="1728" spans="1:53" ht="39.950000000000003" customHeight="1">
      <c r="E1728" s="271"/>
      <c r="F1728" s="272"/>
      <c r="G1728" s="263"/>
      <c r="H1728" s="263"/>
      <c r="I1728" s="486"/>
      <c r="J1728" s="486"/>
      <c r="K1728" s="486"/>
      <c r="L1728" s="486"/>
      <c r="M1728" s="263"/>
      <c r="N1728" s="483" t="str">
        <f>IF(V1720&gt;V1723,I1721,IF(V1723&gt;V1720,I1724,""))</f>
        <v>VIŠŇOVSKÁ Nina</v>
      </c>
      <c r="O1728" s="494"/>
      <c r="P1728" s="494"/>
      <c r="Q1728" s="494"/>
      <c r="R1728" s="494"/>
      <c r="S1728" s="495"/>
      <c r="T1728" s="263"/>
      <c r="U1728" s="263"/>
      <c r="V1728" s="263"/>
      <c r="W1728" s="267"/>
      <c r="X1728" s="263"/>
    </row>
    <row r="1729" spans="1:53" ht="39.950000000000003" customHeight="1">
      <c r="E1729" s="264" t="s">
        <v>27</v>
      </c>
      <c r="F1729" s="274" t="s">
        <v>163</v>
      </c>
      <c r="G1729" s="263"/>
      <c r="H1729" s="263"/>
      <c r="I1729" s="263"/>
      <c r="J1729" s="263"/>
      <c r="K1729" s="263"/>
      <c r="L1729" s="263"/>
      <c r="M1729" s="263"/>
      <c r="N1729" s="263"/>
      <c r="O1729" s="263"/>
      <c r="P1729" s="263"/>
      <c r="Q1729" s="263"/>
      <c r="R1729" s="263"/>
      <c r="S1729" s="263"/>
      <c r="T1729" s="263"/>
      <c r="U1729" s="263"/>
      <c r="V1729" s="263"/>
      <c r="W1729" s="267"/>
      <c r="X1729" s="263"/>
    </row>
    <row r="1730" spans="1:53" ht="39.950000000000003" customHeight="1">
      <c r="E1730" s="271"/>
      <c r="F1730" s="272"/>
      <c r="G1730" s="263"/>
      <c r="H1730" s="263" t="s">
        <v>33</v>
      </c>
      <c r="I1730" s="263"/>
      <c r="J1730" s="263"/>
      <c r="K1730" s="263"/>
      <c r="L1730" s="263"/>
      <c r="M1730" s="263"/>
      <c r="N1730" s="263"/>
      <c r="O1730" s="263"/>
      <c r="P1730" s="263"/>
      <c r="Q1730" s="263"/>
      <c r="R1730" s="263"/>
      <c r="S1730" s="263"/>
      <c r="T1730" s="263"/>
      <c r="U1730" s="263"/>
      <c r="V1730" s="263"/>
      <c r="W1730" s="267"/>
      <c r="X1730" s="263"/>
    </row>
    <row r="1731" spans="1:53" ht="39.950000000000003" customHeight="1">
      <c r="E1731" s="271"/>
      <c r="F1731" s="272"/>
      <c r="G1731" s="263"/>
      <c r="H1731" s="263"/>
      <c r="I1731" s="263"/>
      <c r="J1731" s="263"/>
      <c r="K1731" s="263"/>
      <c r="L1731" s="263"/>
      <c r="M1731" s="263"/>
      <c r="N1731" s="263"/>
      <c r="O1731" s="263"/>
      <c r="P1731" s="263"/>
      <c r="Q1731" s="263"/>
      <c r="R1731" s="263"/>
      <c r="S1731" s="263"/>
      <c r="T1731" s="263"/>
      <c r="U1731" s="263"/>
      <c r="V1731" s="263"/>
      <c r="W1731" s="267"/>
      <c r="X1731" s="263"/>
    </row>
    <row r="1732" spans="1:53" ht="39.950000000000003" customHeight="1">
      <c r="E1732" s="271"/>
      <c r="F1732" s="272"/>
      <c r="G1732" s="263"/>
      <c r="H1732" s="263"/>
      <c r="I1732" s="496" t="str">
        <f>I1720</f>
        <v>PACH Kamil</v>
      </c>
      <c r="J1732" s="496"/>
      <c r="K1732" s="496"/>
      <c r="L1732" s="496"/>
      <c r="M1732" s="263"/>
      <c r="N1732" s="263"/>
      <c r="P1732" s="496" t="str">
        <f>I1723</f>
        <v>KAPUSTA Martin</v>
      </c>
      <c r="Q1732" s="496"/>
      <c r="R1732" s="496"/>
      <c r="S1732" s="496"/>
      <c r="T1732" s="497"/>
      <c r="U1732" s="497"/>
      <c r="V1732" s="263"/>
      <c r="W1732" s="267"/>
      <c r="X1732" s="263"/>
    </row>
    <row r="1733" spans="1:53" ht="39.950000000000003" customHeight="1">
      <c r="E1733" s="271"/>
      <c r="F1733" s="272"/>
      <c r="G1733" s="263"/>
      <c r="H1733" s="263"/>
      <c r="I1733" s="496" t="str">
        <f>I1721</f>
        <v>VIŠŇOVSKÁ Nina</v>
      </c>
      <c r="J1733" s="496"/>
      <c r="K1733" s="496"/>
      <c r="L1733" s="496"/>
      <c r="M1733" s="263"/>
      <c r="N1733" s="263"/>
      <c r="O1733" s="263"/>
      <c r="P1733" s="496" t="str">
        <f>I1724</f>
        <v>CHYLOVÁ Sabína</v>
      </c>
      <c r="Q1733" s="496"/>
      <c r="R1733" s="496"/>
      <c r="S1733" s="496"/>
      <c r="T1733" s="497"/>
      <c r="U1733" s="497"/>
      <c r="V1733" s="263"/>
      <c r="W1733" s="267"/>
      <c r="X1733" s="263"/>
    </row>
    <row r="1734" spans="1:53" ht="69.95" customHeight="1">
      <c r="E1734" s="264"/>
      <c r="F1734" s="265"/>
      <c r="G1734" s="263"/>
      <c r="H1734" s="275" t="s">
        <v>36</v>
      </c>
      <c r="I1734" s="483"/>
      <c r="J1734" s="484"/>
      <c r="K1734" s="484"/>
      <c r="L1734" s="485"/>
      <c r="M1734" s="263"/>
      <c r="N1734" s="263"/>
      <c r="O1734" s="275" t="s">
        <v>36</v>
      </c>
      <c r="P1734" s="486"/>
      <c r="Q1734" s="486"/>
      <c r="R1734" s="486"/>
      <c r="S1734" s="486"/>
      <c r="T1734" s="486"/>
      <c r="U1734" s="486"/>
      <c r="V1734" s="263"/>
      <c r="W1734" s="267"/>
      <c r="X1734" s="263"/>
    </row>
    <row r="1735" spans="1:53" ht="69.95" customHeight="1">
      <c r="E1735" s="264"/>
      <c r="F1735" s="265"/>
      <c r="G1735" s="263"/>
      <c r="H1735" s="275" t="s">
        <v>37</v>
      </c>
      <c r="I1735" s="486"/>
      <c r="J1735" s="486"/>
      <c r="K1735" s="486"/>
      <c r="L1735" s="486"/>
      <c r="M1735" s="263"/>
      <c r="N1735" s="263"/>
      <c r="O1735" s="275" t="s">
        <v>37</v>
      </c>
      <c r="P1735" s="486"/>
      <c r="Q1735" s="486"/>
      <c r="R1735" s="486"/>
      <c r="S1735" s="486"/>
      <c r="T1735" s="486"/>
      <c r="U1735" s="486"/>
      <c r="V1735" s="263"/>
      <c r="W1735" s="267"/>
      <c r="X1735" s="263"/>
    </row>
    <row r="1736" spans="1:53" ht="69.95" customHeight="1">
      <c r="E1736" s="264"/>
      <c r="F1736" s="265"/>
      <c r="G1736" s="263"/>
      <c r="H1736" s="275" t="s">
        <v>37</v>
      </c>
      <c r="I1736" s="486"/>
      <c r="J1736" s="486"/>
      <c r="K1736" s="486"/>
      <c r="L1736" s="486"/>
      <c r="M1736" s="263"/>
      <c r="N1736" s="263"/>
      <c r="O1736" s="275" t="s">
        <v>37</v>
      </c>
      <c r="P1736" s="486"/>
      <c r="Q1736" s="486"/>
      <c r="R1736" s="486"/>
      <c r="S1736" s="486"/>
      <c r="T1736" s="486"/>
      <c r="U1736" s="486"/>
      <c r="V1736" s="263"/>
      <c r="W1736" s="267"/>
      <c r="X1736" s="263"/>
    </row>
    <row r="1737" spans="1:53" ht="39.950000000000003" customHeight="1" thickBot="1">
      <c r="E1737" s="276"/>
      <c r="F1737" s="277"/>
      <c r="G1737" s="278"/>
      <c r="H1737" s="278"/>
      <c r="I1737" s="278"/>
      <c r="J1737" s="278"/>
      <c r="K1737" s="278"/>
      <c r="L1737" s="278"/>
      <c r="M1737" s="278"/>
      <c r="N1737" s="278"/>
      <c r="O1737" s="278"/>
      <c r="P1737" s="278"/>
      <c r="Q1737" s="278"/>
      <c r="R1737" s="278"/>
      <c r="S1737" s="278"/>
      <c r="T1737" s="279"/>
      <c r="U1737" s="279"/>
      <c r="V1737" s="279"/>
      <c r="W1737" s="280"/>
      <c r="X1737" s="263"/>
    </row>
    <row r="1738" spans="1:53" ht="62.25" thickBot="1"/>
    <row r="1739" spans="1:53" ht="39.950000000000003" customHeight="1">
      <c r="A1739" s="252" t="str">
        <f>CONCATENATE(F1746,F1748,F1750)</f>
        <v>MIXP6</v>
      </c>
      <c r="C1739" s="223"/>
      <c r="D1739" s="223"/>
      <c r="E1739" s="259" t="s">
        <v>70</v>
      </c>
      <c r="F1739" s="260">
        <f>VLOOKUP(CONCATENATE(A1739,1),'zoznam zapasov'!$A$6:$K$160,3,0)</f>
        <v>87</v>
      </c>
      <c r="G1739" s="261"/>
      <c r="H1739" s="322" t="s">
        <v>501</v>
      </c>
      <c r="I1739" s="261"/>
      <c r="J1739" s="261"/>
      <c r="K1739" s="261"/>
      <c r="L1739" s="261"/>
      <c r="M1739" s="261"/>
      <c r="N1739" s="261"/>
      <c r="O1739" s="261"/>
      <c r="P1739" s="261"/>
      <c r="Q1739" s="261"/>
      <c r="R1739" s="261"/>
      <c r="S1739" s="261"/>
      <c r="T1739" s="261"/>
      <c r="U1739" s="261"/>
      <c r="V1739" s="261" t="s">
        <v>30</v>
      </c>
      <c r="W1739" s="262"/>
      <c r="X1739" s="263"/>
      <c r="Y1739" s="253" t="str">
        <f>A1741</f>
        <v>MIXP61</v>
      </c>
      <c r="Z1739" s="258" t="str">
        <f>CONCATENATE(V1741,":",V1744)</f>
        <v>3:1</v>
      </c>
      <c r="AA1739" s="255" t="str">
        <f>IF(V1741&gt;V1744,B1741,IF(V1744&gt;V1741,B1744,""))</f>
        <v>KLUČÁR / GORFOLOVÁ</v>
      </c>
      <c r="AB1739" s="255" t="str">
        <f>IF(V1741&gt;V1744,AV1739,IF(V1744&gt;V1741,AV1740,""))</f>
        <v xml:space="preserve">3:1 ( 4,-5,11,8,,, ) </v>
      </c>
      <c r="AC1739" s="255" t="str">
        <f>CONCATENATE("Tbl.: ",F1741,"   H: ",F1744,"   D: ",F1743)</f>
        <v>Tbl.: 3   H: 14.25   D: So</v>
      </c>
      <c r="AE1739" s="253" t="s">
        <v>11</v>
      </c>
      <c r="AV1739" s="256" t="str">
        <f>CONCATENATE(V1741,":",V1744, " ( ",AN1741,",",AO1741,",",AP1741,",",AQ1741,",",AR1741,",",AS1741,",",AT1741," ) ")</f>
        <v xml:space="preserve">3:1 ( 4,-5,11,8,,, ) </v>
      </c>
    </row>
    <row r="1740" spans="1:53" ht="39.950000000000003" customHeight="1">
      <c r="C1740" s="223"/>
      <c r="D1740" s="223"/>
      <c r="E1740" s="264"/>
      <c r="F1740" s="265"/>
      <c r="G1740" s="321" t="s">
        <v>500</v>
      </c>
      <c r="H1740" s="323" t="s">
        <v>502</v>
      </c>
      <c r="I1740" s="263"/>
      <c r="J1740" s="263"/>
      <c r="K1740" s="263"/>
      <c r="L1740" s="263"/>
      <c r="M1740" s="263"/>
      <c r="N1740" s="266">
        <v>1</v>
      </c>
      <c r="O1740" s="266">
        <v>2</v>
      </c>
      <c r="P1740" s="266">
        <v>3</v>
      </c>
      <c r="Q1740" s="266">
        <v>4</v>
      </c>
      <c r="R1740" s="266">
        <v>5</v>
      </c>
      <c r="S1740" s="266">
        <v>6</v>
      </c>
      <c r="T1740" s="266">
        <v>7</v>
      </c>
      <c r="U1740" s="263"/>
      <c r="V1740" s="266" t="s">
        <v>31</v>
      </c>
      <c r="W1740" s="267"/>
      <c r="X1740" s="263"/>
      <c r="AE1740" s="253" t="s">
        <v>68</v>
      </c>
      <c r="AV1740" s="256" t="str">
        <f>CONCATENATE(V1744,":",V1741, " ( ",AN1742,",",AO1742,",",AP1742,",",AQ1742,",",AR1742,",",AS1742,",",AT1742," ) ")</f>
        <v xml:space="preserve">1:3 ( -4,5,-11,-8,,, ) </v>
      </c>
    </row>
    <row r="1741" spans="1:53" ht="39.950000000000003" customHeight="1">
      <c r="A1741" s="252" t="str">
        <f>CONCATENATE(A1739,1)</f>
        <v>MIXP61</v>
      </c>
      <c r="B1741" s="252" t="str">
        <f>VLOOKUP(A1741,'KO KODY SPOLU'!$A$3:$B$189,2,0)</f>
        <v>KLUČÁR / GORFOLOVÁ</v>
      </c>
      <c r="C1741" s="223"/>
      <c r="D1741" s="223"/>
      <c r="E1741" s="264" t="s">
        <v>29</v>
      </c>
      <c r="F1741" s="265">
        <f>VLOOKUP(CONCATENATE(A1739,1),'zoznam zapasov'!$A$6:$K$160,11,0)</f>
        <v>3</v>
      </c>
      <c r="G1741" s="508"/>
      <c r="H1741" s="319"/>
      <c r="I1741" s="487" t="str">
        <f>IF(ISERROR(VLOOKUP(B1741,vylosovanie!$N$75:$Q$191,3,0))=TRUE," ",VLOOKUP(B1741,vylosovanie!$N$75:$Q$191,3,0))</f>
        <v>KLUČÁR Matej</v>
      </c>
      <c r="J1741" s="488"/>
      <c r="K1741" s="488"/>
      <c r="L1741" s="488"/>
      <c r="M1741" s="263"/>
      <c r="N1741" s="489">
        <v>11</v>
      </c>
      <c r="O1741" s="489">
        <v>5</v>
      </c>
      <c r="P1741" s="489">
        <v>13</v>
      </c>
      <c r="Q1741" s="489">
        <v>11</v>
      </c>
      <c r="R1741" s="489"/>
      <c r="S1741" s="491"/>
      <c r="T1741" s="491"/>
      <c r="U1741" s="263"/>
      <c r="V1741" s="493">
        <f>IF(SUM(AF1741:AL1742)=0,"",SUM(AF1741:AL1741))</f>
        <v>3</v>
      </c>
      <c r="W1741" s="267"/>
      <c r="X1741" s="263"/>
      <c r="AE1741" s="253" t="str">
        <f>VLOOKUP(I1741,vylosovanie!$F$8:$L$190,7,0)</f>
        <v>CH34</v>
      </c>
      <c r="AF1741" s="268">
        <f>IF(N1741&gt;N1744,1,0)</f>
        <v>1</v>
      </c>
      <c r="AG1741" s="268">
        <f t="shared" ref="AG1741" si="1362">IF(O1741&gt;O1744,1,0)</f>
        <v>0</v>
      </c>
      <c r="AH1741" s="268">
        <f t="shared" ref="AH1741" si="1363">IF(P1741&gt;P1744,1,0)</f>
        <v>1</v>
      </c>
      <c r="AI1741" s="268">
        <f t="shared" ref="AI1741" si="1364">IF(Q1741&gt;Q1744,1,0)</f>
        <v>1</v>
      </c>
      <c r="AJ1741" s="268">
        <f t="shared" ref="AJ1741" si="1365">IF(R1741&gt;R1744,1,0)</f>
        <v>0</v>
      </c>
      <c r="AK1741" s="268">
        <f t="shared" ref="AK1741" si="1366">IF(S1741&gt;S1744,1,0)</f>
        <v>0</v>
      </c>
      <c r="AL1741" s="268">
        <f t="shared" ref="AL1741" si="1367">IF(T1741&gt;T1744,1,0)</f>
        <v>0</v>
      </c>
      <c r="AN1741" s="268">
        <f t="shared" ref="AN1741" si="1368">IF(ISBLANK(N1741)=TRUE,"",IF(AF1741=1,N1744,-N1741))</f>
        <v>4</v>
      </c>
      <c r="AO1741" s="268">
        <f t="shared" ref="AO1741" si="1369">IF(ISBLANK(O1741)=TRUE,"",IF(AG1741=1,O1744,-O1741))</f>
        <v>-5</v>
      </c>
      <c r="AP1741" s="268">
        <f t="shared" ref="AP1741" si="1370">IF(ISBLANK(P1741)=TRUE,"",IF(AH1741=1,P1744,-P1741))</f>
        <v>11</v>
      </c>
      <c r="AQ1741" s="268">
        <f t="shared" ref="AQ1741" si="1371">IF(ISBLANK(Q1741)=TRUE,"",IF(AI1741=1,Q1744,-Q1741))</f>
        <v>8</v>
      </c>
      <c r="AR1741" s="268" t="str">
        <f t="shared" ref="AR1741" si="1372">IF(ISBLANK(R1741)=TRUE,"",IF(AJ1741=1,R1744,-R1741))</f>
        <v/>
      </c>
      <c r="AS1741" s="268" t="str">
        <f t="shared" ref="AS1741" si="1373">IF(ISBLANK(S1741)=TRUE,"",IF(AK1741=1,S1744,-S1741))</f>
        <v/>
      </c>
      <c r="AT1741" s="268" t="str">
        <f t="shared" ref="AT1741" si="1374">IF(ISBLANK(T1741)=TRUE,"",IF(AL1741=1,T1744,-T1741))</f>
        <v/>
      </c>
      <c r="AZ1741" s="269" t="s">
        <v>12</v>
      </c>
      <c r="BA1741" s="269">
        <v>1</v>
      </c>
    </row>
    <row r="1742" spans="1:53" ht="39.950000000000003" customHeight="1">
      <c r="C1742" s="223"/>
      <c r="D1742" s="223"/>
      <c r="E1742" s="264"/>
      <c r="F1742" s="265"/>
      <c r="G1742" s="509"/>
      <c r="H1742" s="319"/>
      <c r="I1742" s="487" t="str">
        <f>IF(ISERROR(VLOOKUP(B1741,vylosovanie!$N$75:$Q$191,3,0))=TRUE," ",VLOOKUP(B1741,vylosovanie!$N$75:$Q$191,4,0))</f>
        <v>GORFOLOVÁ Viktória</v>
      </c>
      <c r="J1742" s="488"/>
      <c r="K1742" s="488"/>
      <c r="L1742" s="488"/>
      <c r="M1742" s="263"/>
      <c r="N1742" s="490"/>
      <c r="O1742" s="490"/>
      <c r="P1742" s="490"/>
      <c r="Q1742" s="490"/>
      <c r="R1742" s="490"/>
      <c r="S1742" s="492"/>
      <c r="T1742" s="492"/>
      <c r="U1742" s="263"/>
      <c r="V1742" s="493"/>
      <c r="W1742" s="267"/>
      <c r="X1742" s="263"/>
      <c r="AE1742" s="253" t="str">
        <f>VLOOKUP(I1744,vylosovanie!$F$8:$L$190,7,0)</f>
        <v>CH81</v>
      </c>
      <c r="AF1742" s="268">
        <f>IF(N1744&gt;N1741,1,0)</f>
        <v>0</v>
      </c>
      <c r="AG1742" s="268">
        <f t="shared" ref="AG1742" si="1375">IF(O1744&gt;O1741,1,0)</f>
        <v>1</v>
      </c>
      <c r="AH1742" s="268">
        <f t="shared" ref="AH1742" si="1376">IF(P1744&gt;P1741,1,0)</f>
        <v>0</v>
      </c>
      <c r="AI1742" s="268">
        <f t="shared" ref="AI1742" si="1377">IF(Q1744&gt;Q1741,1,0)</f>
        <v>0</v>
      </c>
      <c r="AJ1742" s="268">
        <f t="shared" ref="AJ1742" si="1378">IF(R1744&gt;R1741,1,0)</f>
        <v>0</v>
      </c>
      <c r="AK1742" s="268">
        <f t="shared" ref="AK1742" si="1379">IF(S1744&gt;S1741,1,0)</f>
        <v>0</v>
      </c>
      <c r="AL1742" s="268">
        <f t="shared" ref="AL1742" si="1380">IF(T1744&gt;T1741,1,0)</f>
        <v>0</v>
      </c>
      <c r="AN1742" s="268">
        <f t="shared" ref="AN1742" si="1381">IF(ISBLANK(N1744)=TRUE,"",IF(AF1742=1,N1741,-N1744))</f>
        <v>-4</v>
      </c>
      <c r="AO1742" s="268">
        <f t="shared" ref="AO1742" si="1382">IF(ISBLANK(O1744)=TRUE,"",IF(AG1742=1,O1741,-O1744))</f>
        <v>5</v>
      </c>
      <c r="AP1742" s="268">
        <f t="shared" ref="AP1742" si="1383">IF(ISBLANK(P1744)=TRUE,"",IF(AH1742=1,P1741,-P1744))</f>
        <v>-11</v>
      </c>
      <c r="AQ1742" s="268">
        <f t="shared" ref="AQ1742" si="1384">IF(ISBLANK(Q1744)=TRUE,"",IF(AI1742=1,Q1741,-Q1744))</f>
        <v>-8</v>
      </c>
      <c r="AR1742" s="268" t="str">
        <f t="shared" ref="AR1742" si="1385">IF(ISBLANK(R1744)=TRUE,"",IF(AJ1742=1,R1741,-R1744))</f>
        <v/>
      </c>
      <c r="AS1742" s="268" t="str">
        <f t="shared" ref="AS1742" si="1386">IF(ISBLANK(S1744)=TRUE,"",IF(AK1742=1,S1741,-S1744))</f>
        <v/>
      </c>
      <c r="AT1742" s="268" t="str">
        <f t="shared" ref="AT1742" si="1387">IF(ISBLANK(T1744)=TRUE,"",IF(AL1742=1,T1741,-T1744))</f>
        <v/>
      </c>
      <c r="AZ1742" s="269" t="s">
        <v>18</v>
      </c>
      <c r="BA1742" s="269">
        <v>2</v>
      </c>
    </row>
    <row r="1743" spans="1:53" ht="39.950000000000003" customHeight="1">
      <c r="C1743" s="223"/>
      <c r="D1743" s="223"/>
      <c r="E1743" s="264" t="s">
        <v>35</v>
      </c>
      <c r="F1743" s="265" t="str">
        <f>VLOOKUP(CONCATENATE(A1739,1),'zoznam zapasov'!$A$6:$K$160,9,0)</f>
        <v>So</v>
      </c>
      <c r="G1743" s="263"/>
      <c r="H1743" s="263"/>
      <c r="I1743" s="263"/>
      <c r="J1743" s="263"/>
      <c r="K1743" s="263"/>
      <c r="L1743" s="263"/>
      <c r="M1743" s="263"/>
      <c r="N1743" s="263"/>
      <c r="O1743" s="263"/>
      <c r="P1743" s="263"/>
      <c r="Q1743" s="263"/>
      <c r="R1743" s="263"/>
      <c r="S1743" s="263"/>
      <c r="T1743" s="263"/>
      <c r="U1743" s="263"/>
      <c r="V1743" s="263"/>
      <c r="W1743" s="267"/>
      <c r="X1743" s="263"/>
      <c r="AZ1743" s="269" t="s">
        <v>38</v>
      </c>
      <c r="BA1743" s="269">
        <v>3</v>
      </c>
    </row>
    <row r="1744" spans="1:53" ht="39.950000000000003" customHeight="1">
      <c r="A1744" s="252" t="str">
        <f>CONCATENATE(A1739,2)</f>
        <v>MIXP62</v>
      </c>
      <c r="B1744" s="252" t="str">
        <f>VLOOKUP(A1744,'KO KODY SPOLU'!$A$3:$B$189,2,0)</f>
        <v>PAPÁNEK / MIKULOVÁ</v>
      </c>
      <c r="C1744" s="223"/>
      <c r="D1744" s="223"/>
      <c r="E1744" s="264" t="s">
        <v>28</v>
      </c>
      <c r="F1744" s="270" t="str">
        <f>VLOOKUP(CONCATENATE(A1739,1),'zoznam zapasov'!$A$6:$K$160,10,0)</f>
        <v>14.25</v>
      </c>
      <c r="G1744" s="508"/>
      <c r="H1744" s="319"/>
      <c r="I1744" s="487" t="str">
        <f>IF(ISERROR(VLOOKUP(B1744,vylosovanie!$N$75:$Q$191,3,0))=TRUE," ",VLOOKUP(B1744,vylosovanie!$N$75:$Q$191,3,0))</f>
        <v>PAPÁNEK Martin</v>
      </c>
      <c r="J1744" s="488"/>
      <c r="K1744" s="488"/>
      <c r="L1744" s="488"/>
      <c r="M1744" s="263"/>
      <c r="N1744" s="489">
        <v>4</v>
      </c>
      <c r="O1744" s="489">
        <v>11</v>
      </c>
      <c r="P1744" s="489">
        <v>11</v>
      </c>
      <c r="Q1744" s="489">
        <v>8</v>
      </c>
      <c r="R1744" s="489"/>
      <c r="S1744" s="491"/>
      <c r="T1744" s="491"/>
      <c r="U1744" s="263"/>
      <c r="V1744" s="493">
        <f>IF(SUM(AF1741:AL1742)=0,"",SUM(AF1742:AL1742))</f>
        <v>1</v>
      </c>
      <c r="W1744" s="267"/>
      <c r="X1744" s="263"/>
      <c r="AZ1744" s="269" t="s">
        <v>39</v>
      </c>
      <c r="BA1744" s="269">
        <v>4</v>
      </c>
    </row>
    <row r="1745" spans="1:53" ht="39.950000000000003" customHeight="1">
      <c r="C1745" s="223"/>
      <c r="D1745" s="223"/>
      <c r="E1745" s="271"/>
      <c r="F1745" s="272"/>
      <c r="G1745" s="509"/>
      <c r="H1745" s="319"/>
      <c r="I1745" s="487" t="str">
        <f>IF(ISERROR(VLOOKUP(B1744,vylosovanie!$N$75:$Q$191,3,0))=TRUE," ",VLOOKUP(B1744,vylosovanie!$N$75:$Q$191,4,0))</f>
        <v>MIKULOVÁ Terézia</v>
      </c>
      <c r="J1745" s="488"/>
      <c r="K1745" s="488"/>
      <c r="L1745" s="488"/>
      <c r="M1745" s="263"/>
      <c r="N1745" s="490"/>
      <c r="O1745" s="490"/>
      <c r="P1745" s="490"/>
      <c r="Q1745" s="490"/>
      <c r="R1745" s="490"/>
      <c r="S1745" s="492"/>
      <c r="T1745" s="492"/>
      <c r="U1745" s="263"/>
      <c r="V1745" s="493"/>
      <c r="W1745" s="267"/>
      <c r="X1745" s="263"/>
      <c r="AZ1745" s="269" t="s">
        <v>40</v>
      </c>
      <c r="BA1745" s="269">
        <v>5</v>
      </c>
    </row>
    <row r="1746" spans="1:53" ht="39.950000000000003" customHeight="1">
      <c r="C1746" s="223"/>
      <c r="D1746" s="223"/>
      <c r="E1746" s="264" t="s">
        <v>66</v>
      </c>
      <c r="F1746" s="265" t="s">
        <v>316</v>
      </c>
      <c r="G1746" s="263"/>
      <c r="H1746" s="263"/>
      <c r="I1746" s="263"/>
      <c r="J1746" s="263"/>
      <c r="K1746" s="263"/>
      <c r="L1746" s="263"/>
      <c r="M1746" s="263"/>
      <c r="N1746" s="263"/>
      <c r="O1746" s="263"/>
      <c r="P1746" s="263"/>
      <c r="Q1746" s="263"/>
      <c r="R1746" s="263"/>
      <c r="S1746" s="263"/>
      <c r="T1746" s="263"/>
      <c r="U1746" s="263"/>
      <c r="V1746" s="263"/>
      <c r="W1746" s="267"/>
      <c r="X1746" s="263"/>
      <c r="AZ1746" s="269" t="s">
        <v>41</v>
      </c>
      <c r="BA1746" s="269">
        <v>6</v>
      </c>
    </row>
    <row r="1747" spans="1:53" ht="39.950000000000003" customHeight="1">
      <c r="C1747" s="223"/>
      <c r="D1747" s="223"/>
      <c r="E1747" s="271"/>
      <c r="F1747" s="272"/>
      <c r="G1747" s="263"/>
      <c r="H1747" s="263"/>
      <c r="I1747" s="263" t="s">
        <v>32</v>
      </c>
      <c r="J1747" s="263"/>
      <c r="K1747" s="263"/>
      <c r="L1747" s="263"/>
      <c r="M1747" s="263"/>
      <c r="N1747" s="273"/>
      <c r="O1747" s="266"/>
      <c r="P1747" s="266" t="s">
        <v>34</v>
      </c>
      <c r="Q1747" s="266"/>
      <c r="R1747" s="266"/>
      <c r="S1747" s="266"/>
      <c r="T1747" s="266"/>
      <c r="U1747" s="263"/>
      <c r="V1747" s="263"/>
      <c r="W1747" s="267"/>
      <c r="X1747" s="263"/>
      <c r="AZ1747" s="269" t="s">
        <v>42</v>
      </c>
      <c r="BA1747" s="269">
        <v>7</v>
      </c>
    </row>
    <row r="1748" spans="1:53" ht="39.950000000000003" customHeight="1">
      <c r="E1748" s="264" t="s">
        <v>26</v>
      </c>
      <c r="F1748" s="265" t="s">
        <v>128</v>
      </c>
      <c r="G1748" s="263"/>
      <c r="H1748" s="263"/>
      <c r="I1748" s="486"/>
      <c r="J1748" s="486"/>
      <c r="K1748" s="486"/>
      <c r="L1748" s="486"/>
      <c r="M1748" s="263"/>
      <c r="N1748" s="483" t="str">
        <f>IF(V1741&gt;V1744,I1741,IF(V1744&gt;V1741,I1744,""))</f>
        <v>KLUČÁR Matej</v>
      </c>
      <c r="O1748" s="494"/>
      <c r="P1748" s="494"/>
      <c r="Q1748" s="494"/>
      <c r="R1748" s="494"/>
      <c r="S1748" s="495"/>
      <c r="T1748" s="263"/>
      <c r="U1748" s="263"/>
      <c r="V1748" s="263"/>
      <c r="W1748" s="267"/>
      <c r="X1748" s="263"/>
      <c r="AZ1748" s="269" t="s">
        <v>43</v>
      </c>
      <c r="BA1748" s="269">
        <v>8</v>
      </c>
    </row>
    <row r="1749" spans="1:53" ht="39.950000000000003" customHeight="1">
      <c r="E1749" s="271"/>
      <c r="F1749" s="272"/>
      <c r="G1749" s="263"/>
      <c r="H1749" s="263"/>
      <c r="I1749" s="486"/>
      <c r="J1749" s="486"/>
      <c r="K1749" s="486"/>
      <c r="L1749" s="486"/>
      <c r="M1749" s="263"/>
      <c r="N1749" s="483" t="str">
        <f>IF(V1741&gt;V1744,I1742,IF(V1744&gt;V1741,I1745,""))</f>
        <v>GORFOLOVÁ Viktória</v>
      </c>
      <c r="O1749" s="494"/>
      <c r="P1749" s="494"/>
      <c r="Q1749" s="494"/>
      <c r="R1749" s="494"/>
      <c r="S1749" s="495"/>
      <c r="T1749" s="263"/>
      <c r="U1749" s="263"/>
      <c r="V1749" s="263"/>
      <c r="W1749" s="267"/>
      <c r="X1749" s="263"/>
    </row>
    <row r="1750" spans="1:53" ht="39.950000000000003" customHeight="1">
      <c r="E1750" s="264" t="s">
        <v>27</v>
      </c>
      <c r="F1750" s="274" t="s">
        <v>311</v>
      </c>
      <c r="G1750" s="263"/>
      <c r="H1750" s="263"/>
      <c r="I1750" s="263"/>
      <c r="J1750" s="263"/>
      <c r="K1750" s="263"/>
      <c r="L1750" s="263"/>
      <c r="M1750" s="263"/>
      <c r="N1750" s="263"/>
      <c r="O1750" s="263"/>
      <c r="P1750" s="263"/>
      <c r="Q1750" s="263"/>
      <c r="R1750" s="263"/>
      <c r="S1750" s="263"/>
      <c r="T1750" s="263"/>
      <c r="U1750" s="263"/>
      <c r="V1750" s="263"/>
      <c r="W1750" s="267"/>
      <c r="X1750" s="263"/>
    </row>
    <row r="1751" spans="1:53" ht="39.950000000000003" customHeight="1">
      <c r="E1751" s="271"/>
      <c r="F1751" s="272"/>
      <c r="G1751" s="263"/>
      <c r="H1751" s="263" t="s">
        <v>33</v>
      </c>
      <c r="I1751" s="263"/>
      <c r="J1751" s="263"/>
      <c r="K1751" s="263"/>
      <c r="L1751" s="263"/>
      <c r="M1751" s="263"/>
      <c r="N1751" s="263"/>
      <c r="O1751" s="263"/>
      <c r="P1751" s="263"/>
      <c r="Q1751" s="263"/>
      <c r="R1751" s="263"/>
      <c r="S1751" s="263"/>
      <c r="T1751" s="263"/>
      <c r="U1751" s="263"/>
      <c r="V1751" s="263"/>
      <c r="W1751" s="267"/>
      <c r="X1751" s="263"/>
    </row>
    <row r="1752" spans="1:53" ht="39.950000000000003" customHeight="1">
      <c r="E1752" s="271"/>
      <c r="F1752" s="272"/>
      <c r="G1752" s="263"/>
      <c r="H1752" s="263"/>
      <c r="I1752" s="263"/>
      <c r="J1752" s="263"/>
      <c r="K1752" s="263"/>
      <c r="L1752" s="263"/>
      <c r="M1752" s="263"/>
      <c r="N1752" s="263"/>
      <c r="O1752" s="263"/>
      <c r="P1752" s="263"/>
      <c r="Q1752" s="263"/>
      <c r="R1752" s="263"/>
      <c r="S1752" s="263"/>
      <c r="T1752" s="263"/>
      <c r="U1752" s="263"/>
      <c r="V1752" s="263"/>
      <c r="W1752" s="267"/>
      <c r="X1752" s="263"/>
    </row>
    <row r="1753" spans="1:53" ht="39.950000000000003" customHeight="1">
      <c r="E1753" s="271"/>
      <c r="F1753" s="272"/>
      <c r="G1753" s="263"/>
      <c r="H1753" s="263"/>
      <c r="I1753" s="496" t="str">
        <f>I1741</f>
        <v>KLUČÁR Matej</v>
      </c>
      <c r="J1753" s="496"/>
      <c r="K1753" s="496"/>
      <c r="L1753" s="496"/>
      <c r="M1753" s="263"/>
      <c r="N1753" s="263"/>
      <c r="P1753" s="496" t="str">
        <f>I1744</f>
        <v>PAPÁNEK Martin</v>
      </c>
      <c r="Q1753" s="496"/>
      <c r="R1753" s="496"/>
      <c r="S1753" s="496"/>
      <c r="T1753" s="497"/>
      <c r="U1753" s="497"/>
      <c r="V1753" s="263"/>
      <c r="W1753" s="267"/>
      <c r="X1753" s="263"/>
    </row>
    <row r="1754" spans="1:53" ht="39.950000000000003" customHeight="1">
      <c r="E1754" s="271"/>
      <c r="F1754" s="272"/>
      <c r="G1754" s="263"/>
      <c r="H1754" s="263"/>
      <c r="I1754" s="496" t="str">
        <f>I1742</f>
        <v>GORFOLOVÁ Viktória</v>
      </c>
      <c r="J1754" s="496"/>
      <c r="K1754" s="496"/>
      <c r="L1754" s="496"/>
      <c r="M1754" s="263"/>
      <c r="N1754" s="263"/>
      <c r="O1754" s="263"/>
      <c r="P1754" s="496" t="str">
        <f>I1745</f>
        <v>MIKULOVÁ Terézia</v>
      </c>
      <c r="Q1754" s="496"/>
      <c r="R1754" s="496"/>
      <c r="S1754" s="496"/>
      <c r="T1754" s="497"/>
      <c r="U1754" s="497"/>
      <c r="V1754" s="263"/>
      <c r="W1754" s="267"/>
      <c r="X1754" s="263"/>
    </row>
    <row r="1755" spans="1:53" ht="69.95" customHeight="1">
      <c r="E1755" s="264"/>
      <c r="F1755" s="265"/>
      <c r="G1755" s="263"/>
      <c r="H1755" s="275" t="s">
        <v>36</v>
      </c>
      <c r="I1755" s="483"/>
      <c r="J1755" s="484"/>
      <c r="K1755" s="484"/>
      <c r="L1755" s="485"/>
      <c r="M1755" s="263"/>
      <c r="N1755" s="263"/>
      <c r="O1755" s="275" t="s">
        <v>36</v>
      </c>
      <c r="P1755" s="486"/>
      <c r="Q1755" s="486"/>
      <c r="R1755" s="486"/>
      <c r="S1755" s="486"/>
      <c r="T1755" s="486"/>
      <c r="U1755" s="486"/>
      <c r="V1755" s="263"/>
      <c r="W1755" s="267"/>
      <c r="X1755" s="263"/>
    </row>
    <row r="1756" spans="1:53" ht="69.95" customHeight="1">
      <c r="E1756" s="264"/>
      <c r="F1756" s="265"/>
      <c r="G1756" s="263"/>
      <c r="H1756" s="275" t="s">
        <v>37</v>
      </c>
      <c r="I1756" s="486"/>
      <c r="J1756" s="486"/>
      <c r="K1756" s="486"/>
      <c r="L1756" s="486"/>
      <c r="M1756" s="263"/>
      <c r="N1756" s="263"/>
      <c r="O1756" s="275" t="s">
        <v>37</v>
      </c>
      <c r="P1756" s="486"/>
      <c r="Q1756" s="486"/>
      <c r="R1756" s="486"/>
      <c r="S1756" s="486"/>
      <c r="T1756" s="486"/>
      <c r="U1756" s="486"/>
      <c r="V1756" s="263"/>
      <c r="W1756" s="267"/>
      <c r="X1756" s="263"/>
    </row>
    <row r="1757" spans="1:53" ht="69.95" customHeight="1">
      <c r="E1757" s="264"/>
      <c r="F1757" s="265"/>
      <c r="G1757" s="263"/>
      <c r="H1757" s="275" t="s">
        <v>37</v>
      </c>
      <c r="I1757" s="486"/>
      <c r="J1757" s="486"/>
      <c r="K1757" s="486"/>
      <c r="L1757" s="486"/>
      <c r="M1757" s="263"/>
      <c r="N1757" s="263"/>
      <c r="O1757" s="275" t="s">
        <v>37</v>
      </c>
      <c r="P1757" s="486"/>
      <c r="Q1757" s="486"/>
      <c r="R1757" s="486"/>
      <c r="S1757" s="486"/>
      <c r="T1757" s="486"/>
      <c r="U1757" s="486"/>
      <c r="V1757" s="263"/>
      <c r="W1757" s="267"/>
      <c r="X1757" s="263"/>
    </row>
    <row r="1758" spans="1:53" ht="39.950000000000003" customHeight="1" thickBot="1">
      <c r="E1758" s="276"/>
      <c r="F1758" s="277"/>
      <c r="G1758" s="278"/>
      <c r="H1758" s="278"/>
      <c r="I1758" s="278"/>
      <c r="J1758" s="278"/>
      <c r="K1758" s="278"/>
      <c r="L1758" s="278"/>
      <c r="M1758" s="278"/>
      <c r="N1758" s="278"/>
      <c r="O1758" s="278"/>
      <c r="P1758" s="278"/>
      <c r="Q1758" s="278"/>
      <c r="R1758" s="278"/>
      <c r="S1758" s="278"/>
      <c r="T1758" s="279"/>
      <c r="U1758" s="279"/>
      <c r="V1758" s="279"/>
      <c r="W1758" s="280"/>
      <c r="X1758" s="263"/>
    </row>
    <row r="1759" spans="1:53" ht="62.25" thickBot="1"/>
    <row r="1760" spans="1:53" ht="39.950000000000003" customHeight="1">
      <c r="A1760" s="252" t="str">
        <f>CONCATENATE(F1767,F1769,F1771)</f>
        <v>MIXP7</v>
      </c>
      <c r="C1760" s="223"/>
      <c r="D1760" s="223"/>
      <c r="E1760" s="259" t="s">
        <v>70</v>
      </c>
      <c r="F1760" s="260">
        <f>VLOOKUP(CONCATENATE(A1760,1),'zoznam zapasov'!$A$6:$K$160,3,0)</f>
        <v>88</v>
      </c>
      <c r="G1760" s="261"/>
      <c r="H1760" s="322" t="s">
        <v>501</v>
      </c>
      <c r="I1760" s="261"/>
      <c r="J1760" s="261"/>
      <c r="K1760" s="261"/>
      <c r="L1760" s="261"/>
      <c r="M1760" s="261"/>
      <c r="N1760" s="261"/>
      <c r="O1760" s="261"/>
      <c r="P1760" s="261"/>
      <c r="Q1760" s="261"/>
      <c r="R1760" s="261"/>
      <c r="S1760" s="261"/>
      <c r="T1760" s="261"/>
      <c r="U1760" s="261"/>
      <c r="V1760" s="261" t="s">
        <v>30</v>
      </c>
      <c r="W1760" s="262"/>
      <c r="X1760" s="263"/>
      <c r="Y1760" s="253" t="str">
        <f>A1762</f>
        <v>MIXP71</v>
      </c>
      <c r="Z1760" s="258" t="str">
        <f>CONCATENATE(V1762,":",V1765)</f>
        <v>3:0</v>
      </c>
      <c r="AA1760" s="255" t="str">
        <f>IF(V1762&gt;V1765,B1762,IF(V1765&gt;V1762,B1765,""))</f>
        <v>JALOVECKÝ / SLOBODNÍKOVÁ</v>
      </c>
      <c r="AB1760" s="255" t="str">
        <f>IF(V1762&gt;V1765,AV1760,IF(V1765&gt;V1762,AV1761,""))</f>
        <v xml:space="preserve">3:0 ( 5,3,4,,,, ) </v>
      </c>
      <c r="AC1760" s="255" t="str">
        <f>CONCATENATE("Tbl.: ",F1762,"   H: ",F1765,"   D: ",F1764)</f>
        <v>Tbl.: 4   H: 14.25   D: So</v>
      </c>
      <c r="AE1760" s="253" t="s">
        <v>11</v>
      </c>
      <c r="AV1760" s="256" t="str">
        <f>CONCATENATE(V1762,":",V1765, " ( ",AN1762,",",AO1762,",",AP1762,",",AQ1762,",",AR1762,",",AS1762,",",AT1762," ) ")</f>
        <v xml:space="preserve">3:0 ( 5,3,4,,,, ) </v>
      </c>
    </row>
    <row r="1761" spans="1:53" ht="39.950000000000003" customHeight="1">
      <c r="C1761" s="223"/>
      <c r="D1761" s="223"/>
      <c r="E1761" s="264"/>
      <c r="F1761" s="265"/>
      <c r="G1761" s="321" t="s">
        <v>500</v>
      </c>
      <c r="H1761" s="323" t="s">
        <v>502</v>
      </c>
      <c r="I1761" s="263"/>
      <c r="J1761" s="263"/>
      <c r="K1761" s="263"/>
      <c r="L1761" s="263"/>
      <c r="M1761" s="263"/>
      <c r="N1761" s="266">
        <v>1</v>
      </c>
      <c r="O1761" s="266">
        <v>2</v>
      </c>
      <c r="P1761" s="266">
        <v>3</v>
      </c>
      <c r="Q1761" s="266">
        <v>4</v>
      </c>
      <c r="R1761" s="266">
        <v>5</v>
      </c>
      <c r="S1761" s="266">
        <v>6</v>
      </c>
      <c r="T1761" s="266">
        <v>7</v>
      </c>
      <c r="U1761" s="263"/>
      <c r="V1761" s="266" t="s">
        <v>31</v>
      </c>
      <c r="W1761" s="267"/>
      <c r="X1761" s="263"/>
      <c r="AE1761" s="253" t="s">
        <v>68</v>
      </c>
      <c r="AV1761" s="256" t="str">
        <f>CONCATENATE(V1765,":",V1762, " ( ",AN1763,",",AO1763,",",AP1763,",",AQ1763,",",AR1763,",",AS1763,",",AT1763," ) ")</f>
        <v xml:space="preserve">0:3 ( -5,-3,-4,,,, ) </v>
      </c>
    </row>
    <row r="1762" spans="1:53" ht="39.950000000000003" customHeight="1">
      <c r="A1762" s="252" t="str">
        <f>CONCATENATE(A1760,1)</f>
        <v>MIXP71</v>
      </c>
      <c r="B1762" s="252" t="str">
        <f>VLOOKUP(A1762,'KO KODY SPOLU'!$A$3:$B$189,2,0)</f>
        <v>JALOVECKÝ / SLOBODNÍKOVÁ</v>
      </c>
      <c r="C1762" s="223"/>
      <c r="D1762" s="223"/>
      <c r="E1762" s="264" t="s">
        <v>29</v>
      </c>
      <c r="F1762" s="265">
        <f>VLOOKUP(CONCATENATE(A1760,1),'zoznam zapasov'!$A$6:$K$160,11,0)</f>
        <v>4</v>
      </c>
      <c r="G1762" s="508"/>
      <c r="H1762" s="319"/>
      <c r="I1762" s="487" t="str">
        <f>IF(ISERROR(VLOOKUP(B1762,vylosovanie!$N$75:$Q$191,3,0))=TRUE," ",VLOOKUP(B1762,vylosovanie!$N$75:$Q$191,3,0))</f>
        <v>JALOVECKÝ Marek</v>
      </c>
      <c r="J1762" s="488"/>
      <c r="K1762" s="488"/>
      <c r="L1762" s="488"/>
      <c r="M1762" s="263"/>
      <c r="N1762" s="489">
        <v>11</v>
      </c>
      <c r="O1762" s="489">
        <v>11</v>
      </c>
      <c r="P1762" s="489">
        <v>11</v>
      </c>
      <c r="Q1762" s="489"/>
      <c r="R1762" s="489"/>
      <c r="S1762" s="491"/>
      <c r="T1762" s="491"/>
      <c r="U1762" s="263"/>
      <c r="V1762" s="493">
        <f>IF(SUM(AF1762:AL1763)=0,"",SUM(AF1762:AL1762))</f>
        <v>3</v>
      </c>
      <c r="W1762" s="267"/>
      <c r="X1762" s="263"/>
      <c r="AE1762" s="253" t="str">
        <f>VLOOKUP(I1762,vylosovanie!$F$8:$L$190,7,0)</f>
        <v>CH72</v>
      </c>
      <c r="AF1762" s="268">
        <f>IF(N1762&gt;N1765,1,0)</f>
        <v>1</v>
      </c>
      <c r="AG1762" s="268">
        <f t="shared" ref="AG1762" si="1388">IF(O1762&gt;O1765,1,0)</f>
        <v>1</v>
      </c>
      <c r="AH1762" s="268">
        <f t="shared" ref="AH1762" si="1389">IF(P1762&gt;P1765,1,0)</f>
        <v>1</v>
      </c>
      <c r="AI1762" s="268">
        <f t="shared" ref="AI1762" si="1390">IF(Q1762&gt;Q1765,1,0)</f>
        <v>0</v>
      </c>
      <c r="AJ1762" s="268">
        <f t="shared" ref="AJ1762" si="1391">IF(R1762&gt;R1765,1,0)</f>
        <v>0</v>
      </c>
      <c r="AK1762" s="268">
        <f t="shared" ref="AK1762" si="1392">IF(S1762&gt;S1765,1,0)</f>
        <v>0</v>
      </c>
      <c r="AL1762" s="268">
        <f t="shared" ref="AL1762" si="1393">IF(T1762&gt;T1765,1,0)</f>
        <v>0</v>
      </c>
      <c r="AN1762" s="268">
        <f t="shared" ref="AN1762" si="1394">IF(ISBLANK(N1762)=TRUE,"",IF(AF1762=1,N1765,-N1762))</f>
        <v>5</v>
      </c>
      <c r="AO1762" s="268">
        <f t="shared" ref="AO1762" si="1395">IF(ISBLANK(O1762)=TRUE,"",IF(AG1762=1,O1765,-O1762))</f>
        <v>3</v>
      </c>
      <c r="AP1762" s="268">
        <f t="shared" ref="AP1762" si="1396">IF(ISBLANK(P1762)=TRUE,"",IF(AH1762=1,P1765,-P1762))</f>
        <v>4</v>
      </c>
      <c r="AQ1762" s="268" t="str">
        <f t="shared" ref="AQ1762" si="1397">IF(ISBLANK(Q1762)=TRUE,"",IF(AI1762=1,Q1765,-Q1762))</f>
        <v/>
      </c>
      <c r="AR1762" s="268" t="str">
        <f t="shared" ref="AR1762" si="1398">IF(ISBLANK(R1762)=TRUE,"",IF(AJ1762=1,R1765,-R1762))</f>
        <v/>
      </c>
      <c r="AS1762" s="268" t="str">
        <f t="shared" ref="AS1762" si="1399">IF(ISBLANK(S1762)=TRUE,"",IF(AK1762=1,S1765,-S1762))</f>
        <v/>
      </c>
      <c r="AT1762" s="268" t="str">
        <f t="shared" ref="AT1762" si="1400">IF(ISBLANK(T1762)=TRUE,"",IF(AL1762=1,T1765,-T1762))</f>
        <v/>
      </c>
      <c r="AZ1762" s="269" t="s">
        <v>12</v>
      </c>
      <c r="BA1762" s="269">
        <v>1</v>
      </c>
    </row>
    <row r="1763" spans="1:53" ht="39.950000000000003" customHeight="1">
      <c r="C1763" s="223"/>
      <c r="D1763" s="223"/>
      <c r="E1763" s="264"/>
      <c r="F1763" s="265"/>
      <c r="G1763" s="509"/>
      <c r="H1763" s="319"/>
      <c r="I1763" s="487" t="str">
        <f>IF(ISERROR(VLOOKUP(B1762,vylosovanie!$N$75:$Q$191,3,0))=TRUE," ",VLOOKUP(B1762,vylosovanie!$N$75:$Q$191,4,0))</f>
        <v>SLOBODNÍKOVÁ Hana</v>
      </c>
      <c r="J1763" s="488"/>
      <c r="K1763" s="488"/>
      <c r="L1763" s="488"/>
      <c r="M1763" s="263"/>
      <c r="N1763" s="490"/>
      <c r="O1763" s="490"/>
      <c r="P1763" s="490"/>
      <c r="Q1763" s="490"/>
      <c r="R1763" s="490"/>
      <c r="S1763" s="492"/>
      <c r="T1763" s="492"/>
      <c r="U1763" s="263"/>
      <c r="V1763" s="493"/>
      <c r="W1763" s="267"/>
      <c r="X1763" s="263"/>
      <c r="AE1763" s="253" t="str">
        <f>VLOOKUP(I1765,vylosovanie!$F$8:$L$190,7,0)</f>
        <v>CH32</v>
      </c>
      <c r="AF1763" s="268">
        <f>IF(N1765&gt;N1762,1,0)</f>
        <v>0</v>
      </c>
      <c r="AG1763" s="268">
        <f t="shared" ref="AG1763" si="1401">IF(O1765&gt;O1762,1,0)</f>
        <v>0</v>
      </c>
      <c r="AH1763" s="268">
        <f t="shared" ref="AH1763" si="1402">IF(P1765&gt;P1762,1,0)</f>
        <v>0</v>
      </c>
      <c r="AI1763" s="268">
        <f t="shared" ref="AI1763" si="1403">IF(Q1765&gt;Q1762,1,0)</f>
        <v>0</v>
      </c>
      <c r="AJ1763" s="268">
        <f t="shared" ref="AJ1763" si="1404">IF(R1765&gt;R1762,1,0)</f>
        <v>0</v>
      </c>
      <c r="AK1763" s="268">
        <f t="shared" ref="AK1763" si="1405">IF(S1765&gt;S1762,1,0)</f>
        <v>0</v>
      </c>
      <c r="AL1763" s="268">
        <f t="shared" ref="AL1763" si="1406">IF(T1765&gt;T1762,1,0)</f>
        <v>0</v>
      </c>
      <c r="AN1763" s="268">
        <f t="shared" ref="AN1763" si="1407">IF(ISBLANK(N1765)=TRUE,"",IF(AF1763=1,N1762,-N1765))</f>
        <v>-5</v>
      </c>
      <c r="AO1763" s="268">
        <f t="shared" ref="AO1763" si="1408">IF(ISBLANK(O1765)=TRUE,"",IF(AG1763=1,O1762,-O1765))</f>
        <v>-3</v>
      </c>
      <c r="AP1763" s="268">
        <f t="shared" ref="AP1763" si="1409">IF(ISBLANK(P1765)=TRUE,"",IF(AH1763=1,P1762,-P1765))</f>
        <v>-4</v>
      </c>
      <c r="AQ1763" s="268" t="str">
        <f t="shared" ref="AQ1763" si="1410">IF(ISBLANK(Q1765)=TRUE,"",IF(AI1763=1,Q1762,-Q1765))</f>
        <v/>
      </c>
      <c r="AR1763" s="268" t="str">
        <f t="shared" ref="AR1763" si="1411">IF(ISBLANK(R1765)=TRUE,"",IF(AJ1763=1,R1762,-R1765))</f>
        <v/>
      </c>
      <c r="AS1763" s="268" t="str">
        <f t="shared" ref="AS1763" si="1412">IF(ISBLANK(S1765)=TRUE,"",IF(AK1763=1,S1762,-S1765))</f>
        <v/>
      </c>
      <c r="AT1763" s="268" t="str">
        <f t="shared" ref="AT1763" si="1413">IF(ISBLANK(T1765)=TRUE,"",IF(AL1763=1,T1762,-T1765))</f>
        <v/>
      </c>
      <c r="AZ1763" s="269" t="s">
        <v>18</v>
      </c>
      <c r="BA1763" s="269">
        <v>2</v>
      </c>
    </row>
    <row r="1764" spans="1:53" ht="39.950000000000003" customHeight="1">
      <c r="C1764" s="223"/>
      <c r="D1764" s="223"/>
      <c r="E1764" s="264" t="s">
        <v>35</v>
      </c>
      <c r="F1764" s="265" t="str">
        <f>VLOOKUP(CONCATENATE(A1760,1),'zoznam zapasov'!$A$6:$K$160,9,0)</f>
        <v>So</v>
      </c>
      <c r="G1764" s="263"/>
      <c r="H1764" s="263"/>
      <c r="I1764" s="263"/>
      <c r="J1764" s="263"/>
      <c r="K1764" s="263"/>
      <c r="L1764" s="263"/>
      <c r="M1764" s="263"/>
      <c r="N1764" s="263"/>
      <c r="O1764" s="263"/>
      <c r="P1764" s="263"/>
      <c r="Q1764" s="263"/>
      <c r="R1764" s="263"/>
      <c r="S1764" s="263"/>
      <c r="T1764" s="263"/>
      <c r="U1764" s="263"/>
      <c r="V1764" s="263"/>
      <c r="W1764" s="267"/>
      <c r="X1764" s="263"/>
      <c r="AZ1764" s="269" t="s">
        <v>38</v>
      </c>
      <c r="BA1764" s="269">
        <v>3</v>
      </c>
    </row>
    <row r="1765" spans="1:53" ht="39.950000000000003" customHeight="1">
      <c r="A1765" s="252" t="str">
        <f>CONCATENATE(A1760,2)</f>
        <v>MIXP72</v>
      </c>
      <c r="B1765" s="252" t="str">
        <f>VLOOKUP(A1765,'KO KODY SPOLU'!$A$3:$B$189,2,0)</f>
        <v>KLAJBER / SISKOVÁ</v>
      </c>
      <c r="C1765" s="223"/>
      <c r="D1765" s="223"/>
      <c r="E1765" s="264" t="s">
        <v>28</v>
      </c>
      <c r="F1765" s="270" t="str">
        <f>VLOOKUP(CONCATENATE(A1760,1),'zoznam zapasov'!$A$6:$K$160,10,0)</f>
        <v>14.25</v>
      </c>
      <c r="G1765" s="508"/>
      <c r="H1765" s="319"/>
      <c r="I1765" s="487" t="str">
        <f>IF(ISERROR(VLOOKUP(B1765,vylosovanie!$N$75:$Q$191,3,0))=TRUE," ",VLOOKUP(B1765,vylosovanie!$N$75:$Q$191,3,0))</f>
        <v>KLAJBER Adam</v>
      </c>
      <c r="J1765" s="488"/>
      <c r="K1765" s="488"/>
      <c r="L1765" s="488"/>
      <c r="M1765" s="263"/>
      <c r="N1765" s="489">
        <v>5</v>
      </c>
      <c r="O1765" s="489">
        <v>3</v>
      </c>
      <c r="P1765" s="489">
        <v>4</v>
      </c>
      <c r="Q1765" s="489"/>
      <c r="R1765" s="489"/>
      <c r="S1765" s="491"/>
      <c r="T1765" s="491"/>
      <c r="U1765" s="263"/>
      <c r="V1765" s="493">
        <f>IF(SUM(AF1762:AL1763)=0,"",SUM(AF1763:AL1763))</f>
        <v>0</v>
      </c>
      <c r="W1765" s="267"/>
      <c r="X1765" s="263"/>
      <c r="AZ1765" s="269" t="s">
        <v>39</v>
      </c>
      <c r="BA1765" s="269">
        <v>4</v>
      </c>
    </row>
    <row r="1766" spans="1:53" ht="39.950000000000003" customHeight="1">
      <c r="C1766" s="223"/>
      <c r="D1766" s="223"/>
      <c r="E1766" s="271"/>
      <c r="F1766" s="272"/>
      <c r="G1766" s="509"/>
      <c r="H1766" s="319"/>
      <c r="I1766" s="487" t="str">
        <f>IF(ISERROR(VLOOKUP(B1765,vylosovanie!$N$75:$Q$191,3,0))=TRUE," ",VLOOKUP(B1765,vylosovanie!$N$75:$Q$191,4,0))</f>
        <v>SISKOVÁ Zuzana</v>
      </c>
      <c r="J1766" s="488"/>
      <c r="K1766" s="488"/>
      <c r="L1766" s="488"/>
      <c r="M1766" s="263"/>
      <c r="N1766" s="490"/>
      <c r="O1766" s="490"/>
      <c r="P1766" s="490"/>
      <c r="Q1766" s="490"/>
      <c r="R1766" s="490"/>
      <c r="S1766" s="492"/>
      <c r="T1766" s="492"/>
      <c r="U1766" s="263"/>
      <c r="V1766" s="493"/>
      <c r="W1766" s="267"/>
      <c r="X1766" s="263"/>
      <c r="AZ1766" s="269" t="s">
        <v>40</v>
      </c>
      <c r="BA1766" s="269">
        <v>5</v>
      </c>
    </row>
    <row r="1767" spans="1:53" ht="39.950000000000003" customHeight="1">
      <c r="C1767" s="223"/>
      <c r="D1767" s="223"/>
      <c r="E1767" s="264" t="s">
        <v>66</v>
      </c>
      <c r="F1767" s="265" t="s">
        <v>316</v>
      </c>
      <c r="G1767" s="263"/>
      <c r="H1767" s="263"/>
      <c r="I1767" s="263"/>
      <c r="J1767" s="263"/>
      <c r="K1767" s="263"/>
      <c r="L1767" s="263"/>
      <c r="M1767" s="263"/>
      <c r="N1767" s="263"/>
      <c r="O1767" s="263"/>
      <c r="P1767" s="263"/>
      <c r="Q1767" s="263"/>
      <c r="R1767" s="263"/>
      <c r="S1767" s="263"/>
      <c r="T1767" s="263"/>
      <c r="U1767" s="263"/>
      <c r="V1767" s="263"/>
      <c r="W1767" s="267"/>
      <c r="X1767" s="263"/>
      <c r="AZ1767" s="269" t="s">
        <v>41</v>
      </c>
      <c r="BA1767" s="269">
        <v>6</v>
      </c>
    </row>
    <row r="1768" spans="1:53" ht="39.950000000000003" customHeight="1">
      <c r="C1768" s="223"/>
      <c r="D1768" s="223"/>
      <c r="E1768" s="271"/>
      <c r="F1768" s="272"/>
      <c r="G1768" s="263"/>
      <c r="H1768" s="263"/>
      <c r="I1768" s="263" t="s">
        <v>32</v>
      </c>
      <c r="J1768" s="263"/>
      <c r="K1768" s="263"/>
      <c r="L1768" s="263"/>
      <c r="M1768" s="263"/>
      <c r="N1768" s="273"/>
      <c r="O1768" s="266"/>
      <c r="P1768" s="266" t="s">
        <v>34</v>
      </c>
      <c r="Q1768" s="266"/>
      <c r="R1768" s="266"/>
      <c r="S1768" s="266"/>
      <c r="T1768" s="266"/>
      <c r="U1768" s="263"/>
      <c r="V1768" s="263"/>
      <c r="W1768" s="267"/>
      <c r="X1768" s="263"/>
      <c r="AZ1768" s="269" t="s">
        <v>42</v>
      </c>
      <c r="BA1768" s="269">
        <v>7</v>
      </c>
    </row>
    <row r="1769" spans="1:53" ht="39.950000000000003" customHeight="1">
      <c r="E1769" s="264" t="s">
        <v>26</v>
      </c>
      <c r="F1769" s="265" t="s">
        <v>128</v>
      </c>
      <c r="G1769" s="263"/>
      <c r="H1769" s="263"/>
      <c r="I1769" s="486"/>
      <c r="J1769" s="486"/>
      <c r="K1769" s="486"/>
      <c r="L1769" s="486"/>
      <c r="M1769" s="263"/>
      <c r="N1769" s="483" t="str">
        <f>IF(V1762&gt;V1765,I1762,IF(V1765&gt;V1762,I1765,""))</f>
        <v>JALOVECKÝ Marek</v>
      </c>
      <c r="O1769" s="494"/>
      <c r="P1769" s="494"/>
      <c r="Q1769" s="494"/>
      <c r="R1769" s="494"/>
      <c r="S1769" s="495"/>
      <c r="T1769" s="263"/>
      <c r="U1769" s="263"/>
      <c r="V1769" s="263"/>
      <c r="W1769" s="267"/>
      <c r="X1769" s="263"/>
      <c r="AZ1769" s="269" t="s">
        <v>43</v>
      </c>
      <c r="BA1769" s="269">
        <v>8</v>
      </c>
    </row>
    <row r="1770" spans="1:53" ht="39.950000000000003" customHeight="1">
      <c r="E1770" s="271"/>
      <c r="F1770" s="272"/>
      <c r="G1770" s="263"/>
      <c r="H1770" s="263"/>
      <c r="I1770" s="486"/>
      <c r="J1770" s="486"/>
      <c r="K1770" s="486"/>
      <c r="L1770" s="486"/>
      <c r="M1770" s="263"/>
      <c r="N1770" s="483" t="str">
        <f>IF(V1762&gt;V1765,I1763,IF(V1765&gt;V1762,I1766,""))</f>
        <v>SLOBODNÍKOVÁ Hana</v>
      </c>
      <c r="O1770" s="494"/>
      <c r="P1770" s="494"/>
      <c r="Q1770" s="494"/>
      <c r="R1770" s="494"/>
      <c r="S1770" s="495"/>
      <c r="T1770" s="263"/>
      <c r="U1770" s="263"/>
      <c r="V1770" s="263"/>
      <c r="W1770" s="267"/>
      <c r="X1770" s="263"/>
    </row>
    <row r="1771" spans="1:53" ht="39.950000000000003" customHeight="1">
      <c r="E1771" s="264" t="s">
        <v>27</v>
      </c>
      <c r="F1771" s="274" t="s">
        <v>312</v>
      </c>
      <c r="G1771" s="263"/>
      <c r="H1771" s="263"/>
      <c r="I1771" s="263"/>
      <c r="J1771" s="263"/>
      <c r="K1771" s="263"/>
      <c r="L1771" s="263"/>
      <c r="M1771" s="263"/>
      <c r="N1771" s="263"/>
      <c r="O1771" s="263"/>
      <c r="P1771" s="263"/>
      <c r="Q1771" s="263"/>
      <c r="R1771" s="263"/>
      <c r="S1771" s="263"/>
      <c r="T1771" s="263"/>
      <c r="U1771" s="263"/>
      <c r="V1771" s="263"/>
      <c r="W1771" s="267"/>
      <c r="X1771" s="263"/>
    </row>
    <row r="1772" spans="1:53" ht="39.950000000000003" customHeight="1">
      <c r="E1772" s="271"/>
      <c r="F1772" s="272"/>
      <c r="G1772" s="263"/>
      <c r="H1772" s="263" t="s">
        <v>33</v>
      </c>
      <c r="I1772" s="263"/>
      <c r="J1772" s="263"/>
      <c r="K1772" s="263"/>
      <c r="L1772" s="263"/>
      <c r="M1772" s="263"/>
      <c r="N1772" s="263"/>
      <c r="O1772" s="263"/>
      <c r="P1772" s="263"/>
      <c r="Q1772" s="263"/>
      <c r="R1772" s="263"/>
      <c r="S1772" s="263"/>
      <c r="T1772" s="263"/>
      <c r="U1772" s="263"/>
      <c r="V1772" s="263"/>
      <c r="W1772" s="267"/>
      <c r="X1772" s="263"/>
    </row>
    <row r="1773" spans="1:53" ht="39.950000000000003" customHeight="1">
      <c r="E1773" s="271"/>
      <c r="F1773" s="272"/>
      <c r="G1773" s="263"/>
      <c r="H1773" s="263"/>
      <c r="I1773" s="263"/>
      <c r="J1773" s="263"/>
      <c r="K1773" s="263"/>
      <c r="L1773" s="263"/>
      <c r="M1773" s="263"/>
      <c r="N1773" s="263"/>
      <c r="O1773" s="263"/>
      <c r="P1773" s="263"/>
      <c r="Q1773" s="263"/>
      <c r="R1773" s="263"/>
      <c r="S1773" s="263"/>
      <c r="T1773" s="263"/>
      <c r="U1773" s="263"/>
      <c r="V1773" s="263"/>
      <c r="W1773" s="267"/>
      <c r="X1773" s="263"/>
    </row>
    <row r="1774" spans="1:53" ht="39.950000000000003" customHeight="1">
      <c r="E1774" s="271"/>
      <c r="F1774" s="272"/>
      <c r="G1774" s="263"/>
      <c r="H1774" s="263"/>
      <c r="I1774" s="496" t="str">
        <f>I1762</f>
        <v>JALOVECKÝ Marek</v>
      </c>
      <c r="J1774" s="496"/>
      <c r="K1774" s="496"/>
      <c r="L1774" s="496"/>
      <c r="M1774" s="263"/>
      <c r="N1774" s="263"/>
      <c r="P1774" s="496" t="str">
        <f>I1765</f>
        <v>KLAJBER Adam</v>
      </c>
      <c r="Q1774" s="496"/>
      <c r="R1774" s="496"/>
      <c r="S1774" s="496"/>
      <c r="T1774" s="497"/>
      <c r="U1774" s="497"/>
      <c r="V1774" s="263"/>
      <c r="W1774" s="267"/>
      <c r="X1774" s="263"/>
    </row>
    <row r="1775" spans="1:53" ht="39.950000000000003" customHeight="1">
      <c r="E1775" s="271"/>
      <c r="F1775" s="272"/>
      <c r="G1775" s="263"/>
      <c r="H1775" s="263"/>
      <c r="I1775" s="496" t="str">
        <f>I1763</f>
        <v>SLOBODNÍKOVÁ Hana</v>
      </c>
      <c r="J1775" s="496"/>
      <c r="K1775" s="496"/>
      <c r="L1775" s="496"/>
      <c r="M1775" s="263"/>
      <c r="N1775" s="263"/>
      <c r="O1775" s="263"/>
      <c r="P1775" s="496" t="str">
        <f>I1766</f>
        <v>SISKOVÁ Zuzana</v>
      </c>
      <c r="Q1775" s="496"/>
      <c r="R1775" s="496"/>
      <c r="S1775" s="496"/>
      <c r="T1775" s="497"/>
      <c r="U1775" s="497"/>
      <c r="V1775" s="263"/>
      <c r="W1775" s="267"/>
      <c r="X1775" s="263"/>
    </row>
    <row r="1776" spans="1:53" ht="69.95" customHeight="1">
      <c r="E1776" s="264"/>
      <c r="F1776" s="265"/>
      <c r="G1776" s="263"/>
      <c r="H1776" s="275" t="s">
        <v>36</v>
      </c>
      <c r="I1776" s="483"/>
      <c r="J1776" s="484"/>
      <c r="K1776" s="484"/>
      <c r="L1776" s="485"/>
      <c r="M1776" s="263"/>
      <c r="N1776" s="263"/>
      <c r="O1776" s="275" t="s">
        <v>36</v>
      </c>
      <c r="P1776" s="486"/>
      <c r="Q1776" s="486"/>
      <c r="R1776" s="486"/>
      <c r="S1776" s="486"/>
      <c r="T1776" s="486"/>
      <c r="U1776" s="486"/>
      <c r="V1776" s="263"/>
      <c r="W1776" s="267"/>
      <c r="X1776" s="263"/>
    </row>
    <row r="1777" spans="1:53" ht="69.95" customHeight="1">
      <c r="E1777" s="264"/>
      <c r="F1777" s="265"/>
      <c r="G1777" s="263"/>
      <c r="H1777" s="275" t="s">
        <v>37</v>
      </c>
      <c r="I1777" s="486"/>
      <c r="J1777" s="486"/>
      <c r="K1777" s="486"/>
      <c r="L1777" s="486"/>
      <c r="M1777" s="263"/>
      <c r="N1777" s="263"/>
      <c r="O1777" s="275" t="s">
        <v>37</v>
      </c>
      <c r="P1777" s="486"/>
      <c r="Q1777" s="486"/>
      <c r="R1777" s="486"/>
      <c r="S1777" s="486"/>
      <c r="T1777" s="486"/>
      <c r="U1777" s="486"/>
      <c r="V1777" s="263"/>
      <c r="W1777" s="267"/>
      <c r="X1777" s="263"/>
    </row>
    <row r="1778" spans="1:53" ht="69.95" customHeight="1">
      <c r="E1778" s="264"/>
      <c r="F1778" s="265"/>
      <c r="G1778" s="263"/>
      <c r="H1778" s="275" t="s">
        <v>37</v>
      </c>
      <c r="I1778" s="486"/>
      <c r="J1778" s="486"/>
      <c r="K1778" s="486"/>
      <c r="L1778" s="486"/>
      <c r="M1778" s="263"/>
      <c r="N1778" s="263"/>
      <c r="O1778" s="275" t="s">
        <v>37</v>
      </c>
      <c r="P1778" s="486"/>
      <c r="Q1778" s="486"/>
      <c r="R1778" s="486"/>
      <c r="S1778" s="486"/>
      <c r="T1778" s="486"/>
      <c r="U1778" s="486"/>
      <c r="V1778" s="263"/>
      <c r="W1778" s="267"/>
      <c r="X1778" s="263"/>
    </row>
    <row r="1779" spans="1:53" ht="39.950000000000003" customHeight="1" thickBot="1">
      <c r="E1779" s="276"/>
      <c r="F1779" s="277"/>
      <c r="G1779" s="278"/>
      <c r="H1779" s="278"/>
      <c r="I1779" s="278"/>
      <c r="J1779" s="278"/>
      <c r="K1779" s="278"/>
      <c r="L1779" s="278"/>
      <c r="M1779" s="278"/>
      <c r="N1779" s="278"/>
      <c r="O1779" s="278"/>
      <c r="P1779" s="278"/>
      <c r="Q1779" s="278"/>
      <c r="R1779" s="278"/>
      <c r="S1779" s="278"/>
      <c r="T1779" s="279"/>
      <c r="U1779" s="279"/>
      <c r="V1779" s="279"/>
      <c r="W1779" s="280"/>
      <c r="X1779" s="263"/>
    </row>
    <row r="1780" spans="1:53" ht="62.25" thickBot="1"/>
    <row r="1781" spans="1:53" ht="39.950000000000003" customHeight="1">
      <c r="A1781" s="252" t="str">
        <f>CONCATENATE(F1788,F1790,F1792)</f>
        <v>MIXP10</v>
      </c>
      <c r="C1781" s="223"/>
      <c r="D1781" s="223"/>
      <c r="E1781" s="259" t="s">
        <v>70</v>
      </c>
      <c r="F1781" s="260">
        <f>VLOOKUP(CONCATENATE(A1781,1),'zoznam zapasov'!$A$6:$K$160,3,0)</f>
        <v>89</v>
      </c>
      <c r="G1781" s="261"/>
      <c r="H1781" s="322" t="s">
        <v>501</v>
      </c>
      <c r="I1781" s="261"/>
      <c r="J1781" s="261"/>
      <c r="K1781" s="261"/>
      <c r="L1781" s="261"/>
      <c r="M1781" s="261"/>
      <c r="N1781" s="261"/>
      <c r="O1781" s="261"/>
      <c r="P1781" s="261"/>
      <c r="Q1781" s="261"/>
      <c r="R1781" s="261"/>
      <c r="S1781" s="261"/>
      <c r="T1781" s="261"/>
      <c r="U1781" s="261"/>
      <c r="V1781" s="261" t="s">
        <v>30</v>
      </c>
      <c r="W1781" s="262"/>
      <c r="X1781" s="263"/>
      <c r="Y1781" s="253" t="str">
        <f>A1783</f>
        <v>MIXP101</v>
      </c>
      <c r="Z1781" s="258" t="str">
        <f>CONCATENATE(V1783,":",V1786)</f>
        <v>1:3</v>
      </c>
      <c r="AA1781" s="255" t="str">
        <f>IF(V1783&gt;V1786,B1783,IF(V1786&gt;V1783,B1786,""))</f>
        <v>MARUNIAK / VOJTASOVA</v>
      </c>
      <c r="AB1781" s="255" t="str">
        <f>IF(V1783&gt;V1786,AV1781,IF(V1786&gt;V1783,AV1782,""))</f>
        <v xml:space="preserve">3:1 ( 7,7,-10,5,,, ) </v>
      </c>
      <c r="AC1781" s="255" t="str">
        <f>CONCATENATE("Tbl.: ",F1783,"   H: ",F1786,"   D: ",F1785)</f>
        <v>Tbl.: 5   H: 14.25   D: So</v>
      </c>
      <c r="AE1781" s="253" t="s">
        <v>11</v>
      </c>
      <c r="AV1781" s="256" t="str">
        <f>CONCATENATE(V1783,":",V1786, " ( ",AN1783,",",AO1783,",",AP1783,",",AQ1783,",",AR1783,",",AS1783,",",AT1783," ) ")</f>
        <v xml:space="preserve">1:3 ( -7,-7,10,-5,,, ) </v>
      </c>
    </row>
    <row r="1782" spans="1:53" ht="39.950000000000003" customHeight="1">
      <c r="C1782" s="223"/>
      <c r="D1782" s="223"/>
      <c r="E1782" s="264"/>
      <c r="F1782" s="265"/>
      <c r="G1782" s="321" t="s">
        <v>500</v>
      </c>
      <c r="H1782" s="323" t="s">
        <v>502</v>
      </c>
      <c r="I1782" s="263"/>
      <c r="J1782" s="263"/>
      <c r="K1782" s="263"/>
      <c r="L1782" s="263"/>
      <c r="M1782" s="263"/>
      <c r="N1782" s="266">
        <v>1</v>
      </c>
      <c r="O1782" s="266">
        <v>2</v>
      </c>
      <c r="P1782" s="266">
        <v>3</v>
      </c>
      <c r="Q1782" s="266">
        <v>4</v>
      </c>
      <c r="R1782" s="266">
        <v>5</v>
      </c>
      <c r="S1782" s="266">
        <v>6</v>
      </c>
      <c r="T1782" s="266">
        <v>7</v>
      </c>
      <c r="U1782" s="263"/>
      <c r="V1782" s="266" t="s">
        <v>31</v>
      </c>
      <c r="W1782" s="267"/>
      <c r="X1782" s="263"/>
      <c r="AE1782" s="253" t="s">
        <v>68</v>
      </c>
      <c r="AV1782" s="256" t="str">
        <f>CONCATENATE(V1786,":",V1783, " ( ",AN1784,",",AO1784,",",AP1784,",",AQ1784,",",AR1784,",",AS1784,",",AT1784," ) ")</f>
        <v xml:space="preserve">3:1 ( 7,7,-10,5,,, ) </v>
      </c>
    </row>
    <row r="1783" spans="1:53" ht="39.950000000000003" customHeight="1">
      <c r="A1783" s="252" t="str">
        <f>CONCATENATE(A1781,1)</f>
        <v>MIXP101</v>
      </c>
      <c r="B1783" s="252" t="str">
        <f>VLOOKUP(A1783,'KO KODY SPOLU'!$A$3:$B$189,2,0)</f>
        <v>FREUND / LEDAJOVÁ</v>
      </c>
      <c r="C1783" s="223"/>
      <c r="D1783" s="223"/>
      <c r="E1783" s="264" t="s">
        <v>29</v>
      </c>
      <c r="F1783" s="265">
        <f>VLOOKUP(CONCATENATE(A1781,1),'zoznam zapasov'!$A$6:$K$160,11,0)</f>
        <v>5</v>
      </c>
      <c r="G1783" s="508"/>
      <c r="H1783" s="319"/>
      <c r="I1783" s="487" t="str">
        <f>IF(ISERROR(VLOOKUP(B1783,vylosovanie!$N$75:$Q$191,3,0))=TRUE," ",VLOOKUP(B1783,vylosovanie!$N$75:$Q$191,3,0))</f>
        <v>FREUND Andrej</v>
      </c>
      <c r="J1783" s="488"/>
      <c r="K1783" s="488"/>
      <c r="L1783" s="488"/>
      <c r="M1783" s="263"/>
      <c r="N1783" s="489">
        <v>7</v>
      </c>
      <c r="O1783" s="489">
        <v>7</v>
      </c>
      <c r="P1783" s="489">
        <v>12</v>
      </c>
      <c r="Q1783" s="489">
        <v>5</v>
      </c>
      <c r="R1783" s="489"/>
      <c r="S1783" s="491"/>
      <c r="T1783" s="491"/>
      <c r="U1783" s="263"/>
      <c r="V1783" s="493">
        <f>IF(SUM(AF1783:AL1784)=0,"",SUM(AF1783:AL1783))</f>
        <v>1</v>
      </c>
      <c r="W1783" s="267"/>
      <c r="X1783" s="263"/>
      <c r="AE1783" s="253" t="str">
        <f>VLOOKUP(I1783,vylosovanie!$F$8:$L$190,7,0)</f>
        <v>CH33</v>
      </c>
      <c r="AF1783" s="268">
        <f>IF(N1783&gt;N1786,1,0)</f>
        <v>0</v>
      </c>
      <c r="AG1783" s="268">
        <f t="shared" ref="AG1783" si="1414">IF(O1783&gt;O1786,1,0)</f>
        <v>0</v>
      </c>
      <c r="AH1783" s="268">
        <f t="shared" ref="AH1783" si="1415">IF(P1783&gt;P1786,1,0)</f>
        <v>1</v>
      </c>
      <c r="AI1783" s="268">
        <f t="shared" ref="AI1783" si="1416">IF(Q1783&gt;Q1786,1,0)</f>
        <v>0</v>
      </c>
      <c r="AJ1783" s="268">
        <f t="shared" ref="AJ1783" si="1417">IF(R1783&gt;R1786,1,0)</f>
        <v>0</v>
      </c>
      <c r="AK1783" s="268">
        <f t="shared" ref="AK1783" si="1418">IF(S1783&gt;S1786,1,0)</f>
        <v>0</v>
      </c>
      <c r="AL1783" s="268">
        <f t="shared" ref="AL1783" si="1419">IF(T1783&gt;T1786,1,0)</f>
        <v>0</v>
      </c>
      <c r="AN1783" s="268">
        <f t="shared" ref="AN1783" si="1420">IF(ISBLANK(N1783)=TRUE,"",IF(AF1783=1,N1786,-N1783))</f>
        <v>-7</v>
      </c>
      <c r="AO1783" s="268">
        <f t="shared" ref="AO1783" si="1421">IF(ISBLANK(O1783)=TRUE,"",IF(AG1783=1,O1786,-O1783))</f>
        <v>-7</v>
      </c>
      <c r="AP1783" s="268">
        <f t="shared" ref="AP1783" si="1422">IF(ISBLANK(P1783)=TRUE,"",IF(AH1783=1,P1786,-P1783))</f>
        <v>10</v>
      </c>
      <c r="AQ1783" s="268">
        <f t="shared" ref="AQ1783" si="1423">IF(ISBLANK(Q1783)=TRUE,"",IF(AI1783=1,Q1786,-Q1783))</f>
        <v>-5</v>
      </c>
      <c r="AR1783" s="268" t="str">
        <f t="shared" ref="AR1783" si="1424">IF(ISBLANK(R1783)=TRUE,"",IF(AJ1783=1,R1786,-R1783))</f>
        <v/>
      </c>
      <c r="AS1783" s="268" t="str">
        <f t="shared" ref="AS1783" si="1425">IF(ISBLANK(S1783)=TRUE,"",IF(AK1783=1,S1786,-S1783))</f>
        <v/>
      </c>
      <c r="AT1783" s="268" t="str">
        <f t="shared" ref="AT1783" si="1426">IF(ISBLANK(T1783)=TRUE,"",IF(AL1783=1,T1786,-T1783))</f>
        <v/>
      </c>
      <c r="AZ1783" s="269" t="s">
        <v>12</v>
      </c>
      <c r="BA1783" s="269">
        <v>1</v>
      </c>
    </row>
    <row r="1784" spans="1:53" ht="39.950000000000003" customHeight="1">
      <c r="C1784" s="223"/>
      <c r="D1784" s="223"/>
      <c r="E1784" s="264"/>
      <c r="F1784" s="265"/>
      <c r="G1784" s="509"/>
      <c r="H1784" s="319"/>
      <c r="I1784" s="487" t="str">
        <f>IF(ISERROR(VLOOKUP(B1783,vylosovanie!$N$75:$Q$191,3,0))=TRUE," ",VLOOKUP(B1783,vylosovanie!$N$75:$Q$191,4,0))</f>
        <v>LEDAJOVÁ Martina</v>
      </c>
      <c r="J1784" s="488"/>
      <c r="K1784" s="488"/>
      <c r="L1784" s="488"/>
      <c r="M1784" s="263"/>
      <c r="N1784" s="490"/>
      <c r="O1784" s="490"/>
      <c r="P1784" s="490"/>
      <c r="Q1784" s="490"/>
      <c r="R1784" s="490"/>
      <c r="S1784" s="492"/>
      <c r="T1784" s="492"/>
      <c r="U1784" s="263"/>
      <c r="V1784" s="493"/>
      <c r="W1784" s="267"/>
      <c r="X1784" s="263"/>
      <c r="AE1784" s="253" t="str">
        <f>VLOOKUP(I1786,vylosovanie!$F$8:$L$190,7,0)</f>
        <v>CH14</v>
      </c>
      <c r="AF1784" s="268">
        <f>IF(N1786&gt;N1783,1,0)</f>
        <v>1</v>
      </c>
      <c r="AG1784" s="268">
        <f t="shared" ref="AG1784" si="1427">IF(O1786&gt;O1783,1,0)</f>
        <v>1</v>
      </c>
      <c r="AH1784" s="268">
        <f t="shared" ref="AH1784" si="1428">IF(P1786&gt;P1783,1,0)</f>
        <v>0</v>
      </c>
      <c r="AI1784" s="268">
        <f t="shared" ref="AI1784" si="1429">IF(Q1786&gt;Q1783,1,0)</f>
        <v>1</v>
      </c>
      <c r="AJ1784" s="268">
        <f t="shared" ref="AJ1784" si="1430">IF(R1786&gt;R1783,1,0)</f>
        <v>0</v>
      </c>
      <c r="AK1784" s="268">
        <f t="shared" ref="AK1784" si="1431">IF(S1786&gt;S1783,1,0)</f>
        <v>0</v>
      </c>
      <c r="AL1784" s="268">
        <f t="shared" ref="AL1784" si="1432">IF(T1786&gt;T1783,1,0)</f>
        <v>0</v>
      </c>
      <c r="AN1784" s="268">
        <f t="shared" ref="AN1784" si="1433">IF(ISBLANK(N1786)=TRUE,"",IF(AF1784=1,N1783,-N1786))</f>
        <v>7</v>
      </c>
      <c r="AO1784" s="268">
        <f t="shared" ref="AO1784" si="1434">IF(ISBLANK(O1786)=TRUE,"",IF(AG1784=1,O1783,-O1786))</f>
        <v>7</v>
      </c>
      <c r="AP1784" s="268">
        <f t="shared" ref="AP1784" si="1435">IF(ISBLANK(P1786)=TRUE,"",IF(AH1784=1,P1783,-P1786))</f>
        <v>-10</v>
      </c>
      <c r="AQ1784" s="268">
        <f t="shared" ref="AQ1784" si="1436">IF(ISBLANK(Q1786)=TRUE,"",IF(AI1784=1,Q1783,-Q1786))</f>
        <v>5</v>
      </c>
      <c r="AR1784" s="268" t="str">
        <f t="shared" ref="AR1784" si="1437">IF(ISBLANK(R1786)=TRUE,"",IF(AJ1784=1,R1783,-R1786))</f>
        <v/>
      </c>
      <c r="AS1784" s="268" t="str">
        <f t="shared" ref="AS1784" si="1438">IF(ISBLANK(S1786)=TRUE,"",IF(AK1784=1,S1783,-S1786))</f>
        <v/>
      </c>
      <c r="AT1784" s="268" t="str">
        <f t="shared" ref="AT1784" si="1439">IF(ISBLANK(T1786)=TRUE,"",IF(AL1784=1,T1783,-T1786))</f>
        <v/>
      </c>
      <c r="AZ1784" s="269" t="s">
        <v>18</v>
      </c>
      <c r="BA1784" s="269">
        <v>2</v>
      </c>
    </row>
    <row r="1785" spans="1:53" ht="39.950000000000003" customHeight="1">
      <c r="C1785" s="223"/>
      <c r="D1785" s="223"/>
      <c r="E1785" s="264" t="s">
        <v>35</v>
      </c>
      <c r="F1785" s="265" t="str">
        <f>VLOOKUP(CONCATENATE(A1781,1),'zoznam zapasov'!$A$6:$K$160,9,0)</f>
        <v>So</v>
      </c>
      <c r="G1785" s="263"/>
      <c r="H1785" s="263"/>
      <c r="I1785" s="263"/>
      <c r="J1785" s="263"/>
      <c r="K1785" s="263"/>
      <c r="L1785" s="263"/>
      <c r="M1785" s="263"/>
      <c r="N1785" s="263"/>
      <c r="O1785" s="263"/>
      <c r="P1785" s="263"/>
      <c r="Q1785" s="263"/>
      <c r="R1785" s="263"/>
      <c r="S1785" s="263"/>
      <c r="T1785" s="263"/>
      <c r="U1785" s="263"/>
      <c r="V1785" s="263"/>
      <c r="W1785" s="267"/>
      <c r="X1785" s="263"/>
      <c r="AZ1785" s="269" t="s">
        <v>38</v>
      </c>
      <c r="BA1785" s="269">
        <v>3</v>
      </c>
    </row>
    <row r="1786" spans="1:53" ht="39.950000000000003" customHeight="1">
      <c r="A1786" s="252" t="str">
        <f>CONCATENATE(A1781,2)</f>
        <v>MIXP102</v>
      </c>
      <c r="B1786" s="252" t="str">
        <f>VLOOKUP(A1786,'KO KODY SPOLU'!$A$3:$B$189,2,0)</f>
        <v>MARUNIAK / VOJTASOVA</v>
      </c>
      <c r="C1786" s="223"/>
      <c r="D1786" s="223"/>
      <c r="E1786" s="264" t="s">
        <v>28</v>
      </c>
      <c r="F1786" s="270" t="str">
        <f>VLOOKUP(CONCATENATE(A1781,1),'zoznam zapasov'!$A$6:$K$160,10,0)</f>
        <v>14.25</v>
      </c>
      <c r="G1786" s="508"/>
      <c r="H1786" s="319"/>
      <c r="I1786" s="487" t="str">
        <f>IF(ISERROR(VLOOKUP(B1786,vylosovanie!$N$75:$Q$191,3,0))=TRUE," ",VLOOKUP(B1786,vylosovanie!$N$75:$Q$191,3,0))</f>
        <v>MARUNIAK Martin</v>
      </c>
      <c r="J1786" s="488"/>
      <c r="K1786" s="488"/>
      <c r="L1786" s="488"/>
      <c r="M1786" s="263"/>
      <c r="N1786" s="489">
        <v>11</v>
      </c>
      <c r="O1786" s="489">
        <v>11</v>
      </c>
      <c r="P1786" s="489">
        <v>10</v>
      </c>
      <c r="Q1786" s="489">
        <v>11</v>
      </c>
      <c r="R1786" s="489"/>
      <c r="S1786" s="491"/>
      <c r="T1786" s="491"/>
      <c r="U1786" s="263"/>
      <c r="V1786" s="493">
        <f>IF(SUM(AF1783:AL1784)=0,"",SUM(AF1784:AL1784))</f>
        <v>3</v>
      </c>
      <c r="W1786" s="267"/>
      <c r="X1786" s="263"/>
      <c r="AZ1786" s="269" t="s">
        <v>39</v>
      </c>
      <c r="BA1786" s="269">
        <v>4</v>
      </c>
    </row>
    <row r="1787" spans="1:53" ht="39.950000000000003" customHeight="1">
      <c r="C1787" s="223"/>
      <c r="D1787" s="223"/>
      <c r="E1787" s="271"/>
      <c r="F1787" s="272"/>
      <c r="G1787" s="509"/>
      <c r="H1787" s="319"/>
      <c r="I1787" s="487" t="str">
        <f>IF(ISERROR(VLOOKUP(B1786,vylosovanie!$N$75:$Q$191,3,0))=TRUE," ",VLOOKUP(B1786,vylosovanie!$N$75:$Q$191,4,0))</f>
        <v>VOJTASOVA Patrícia</v>
      </c>
      <c r="J1787" s="488"/>
      <c r="K1787" s="488"/>
      <c r="L1787" s="488"/>
      <c r="M1787" s="263"/>
      <c r="N1787" s="490"/>
      <c r="O1787" s="490"/>
      <c r="P1787" s="490"/>
      <c r="Q1787" s="490"/>
      <c r="R1787" s="490"/>
      <c r="S1787" s="492"/>
      <c r="T1787" s="492"/>
      <c r="U1787" s="263"/>
      <c r="V1787" s="493"/>
      <c r="W1787" s="267"/>
      <c r="X1787" s="263"/>
      <c r="AZ1787" s="269" t="s">
        <v>40</v>
      </c>
      <c r="BA1787" s="269">
        <v>5</v>
      </c>
    </row>
    <row r="1788" spans="1:53" ht="39.950000000000003" customHeight="1">
      <c r="C1788" s="223"/>
      <c r="D1788" s="223"/>
      <c r="E1788" s="264" t="s">
        <v>66</v>
      </c>
      <c r="F1788" s="265" t="s">
        <v>316</v>
      </c>
      <c r="G1788" s="263"/>
      <c r="H1788" s="263"/>
      <c r="I1788" s="263"/>
      <c r="J1788" s="263"/>
      <c r="K1788" s="263"/>
      <c r="L1788" s="263"/>
      <c r="M1788" s="263"/>
      <c r="N1788" s="263"/>
      <c r="O1788" s="263"/>
      <c r="P1788" s="263"/>
      <c r="Q1788" s="263"/>
      <c r="R1788" s="263"/>
      <c r="S1788" s="263"/>
      <c r="T1788" s="263"/>
      <c r="U1788" s="263"/>
      <c r="V1788" s="263"/>
      <c r="W1788" s="267"/>
      <c r="X1788" s="263"/>
      <c r="AZ1788" s="269" t="s">
        <v>41</v>
      </c>
      <c r="BA1788" s="269">
        <v>6</v>
      </c>
    </row>
    <row r="1789" spans="1:53" ht="39.950000000000003" customHeight="1">
      <c r="C1789" s="223"/>
      <c r="D1789" s="223"/>
      <c r="E1789" s="271"/>
      <c r="F1789" s="272"/>
      <c r="G1789" s="263"/>
      <c r="H1789" s="263"/>
      <c r="I1789" s="263" t="s">
        <v>32</v>
      </c>
      <c r="J1789" s="263"/>
      <c r="K1789" s="263"/>
      <c r="L1789" s="263"/>
      <c r="M1789" s="263"/>
      <c r="N1789" s="273"/>
      <c r="O1789" s="266"/>
      <c r="P1789" s="266" t="s">
        <v>34</v>
      </c>
      <c r="Q1789" s="266"/>
      <c r="R1789" s="266"/>
      <c r="S1789" s="266"/>
      <c r="T1789" s="266"/>
      <c r="U1789" s="263"/>
      <c r="V1789" s="263"/>
      <c r="W1789" s="267"/>
      <c r="X1789" s="263"/>
      <c r="AZ1789" s="269" t="s">
        <v>42</v>
      </c>
      <c r="BA1789" s="269">
        <v>7</v>
      </c>
    </row>
    <row r="1790" spans="1:53" ht="39.950000000000003" customHeight="1">
      <c r="E1790" s="264" t="s">
        <v>26</v>
      </c>
      <c r="F1790" s="265" t="s">
        <v>128</v>
      </c>
      <c r="G1790" s="263"/>
      <c r="H1790" s="263"/>
      <c r="I1790" s="486"/>
      <c r="J1790" s="486"/>
      <c r="K1790" s="486"/>
      <c r="L1790" s="486"/>
      <c r="M1790" s="263"/>
      <c r="N1790" s="483" t="str">
        <f>IF(V1783&gt;V1786,I1783,IF(V1786&gt;V1783,I1786,""))</f>
        <v>MARUNIAK Martin</v>
      </c>
      <c r="O1790" s="494"/>
      <c r="P1790" s="494"/>
      <c r="Q1790" s="494"/>
      <c r="R1790" s="494"/>
      <c r="S1790" s="495"/>
      <c r="T1790" s="263"/>
      <c r="U1790" s="263"/>
      <c r="V1790" s="263"/>
      <c r="W1790" s="267"/>
      <c r="X1790" s="263"/>
      <c r="AZ1790" s="269" t="s">
        <v>43</v>
      </c>
      <c r="BA1790" s="269">
        <v>8</v>
      </c>
    </row>
    <row r="1791" spans="1:53" ht="39.950000000000003" customHeight="1">
      <c r="E1791" s="271"/>
      <c r="F1791" s="272"/>
      <c r="G1791" s="263"/>
      <c r="H1791" s="263"/>
      <c r="I1791" s="486"/>
      <c r="J1791" s="486"/>
      <c r="K1791" s="486"/>
      <c r="L1791" s="486"/>
      <c r="M1791" s="263"/>
      <c r="N1791" s="483" t="str">
        <f>IF(V1783&gt;V1786,I1784,IF(V1786&gt;V1783,I1787,""))</f>
        <v>VOJTASOVA Patrícia</v>
      </c>
      <c r="O1791" s="494"/>
      <c r="P1791" s="494"/>
      <c r="Q1791" s="494"/>
      <c r="R1791" s="494"/>
      <c r="S1791" s="495"/>
      <c r="T1791" s="263"/>
      <c r="U1791" s="263"/>
      <c r="V1791" s="263"/>
      <c r="W1791" s="267"/>
      <c r="X1791" s="263"/>
    </row>
    <row r="1792" spans="1:53" ht="39.950000000000003" customHeight="1">
      <c r="E1792" s="264" t="s">
        <v>27</v>
      </c>
      <c r="F1792" s="274" t="s">
        <v>349</v>
      </c>
      <c r="G1792" s="263"/>
      <c r="H1792" s="263"/>
      <c r="I1792" s="263"/>
      <c r="J1792" s="263"/>
      <c r="K1792" s="263"/>
      <c r="L1792" s="263"/>
      <c r="M1792" s="263"/>
      <c r="N1792" s="263"/>
      <c r="O1792" s="263"/>
      <c r="P1792" s="263"/>
      <c r="Q1792" s="263"/>
      <c r="R1792" s="263"/>
      <c r="S1792" s="263"/>
      <c r="T1792" s="263"/>
      <c r="U1792" s="263"/>
      <c r="V1792" s="263"/>
      <c r="W1792" s="267"/>
      <c r="X1792" s="263"/>
    </row>
    <row r="1793" spans="1:53" ht="39.950000000000003" customHeight="1">
      <c r="E1793" s="271"/>
      <c r="F1793" s="272"/>
      <c r="G1793" s="263"/>
      <c r="H1793" s="263" t="s">
        <v>33</v>
      </c>
      <c r="I1793" s="263"/>
      <c r="J1793" s="263"/>
      <c r="K1793" s="263"/>
      <c r="L1793" s="263"/>
      <c r="M1793" s="263"/>
      <c r="N1793" s="263"/>
      <c r="O1793" s="263"/>
      <c r="P1793" s="263"/>
      <c r="Q1793" s="263"/>
      <c r="R1793" s="263"/>
      <c r="S1793" s="263"/>
      <c r="T1793" s="263"/>
      <c r="U1793" s="263"/>
      <c r="V1793" s="263"/>
      <c r="W1793" s="267"/>
      <c r="X1793" s="263"/>
    </row>
    <row r="1794" spans="1:53" ht="39.950000000000003" customHeight="1">
      <c r="E1794" s="271"/>
      <c r="F1794" s="272"/>
      <c r="G1794" s="263"/>
      <c r="H1794" s="263"/>
      <c r="I1794" s="263"/>
      <c r="J1794" s="263"/>
      <c r="K1794" s="263"/>
      <c r="L1794" s="263"/>
      <c r="M1794" s="263"/>
      <c r="N1794" s="263"/>
      <c r="O1794" s="263"/>
      <c r="P1794" s="263"/>
      <c r="Q1794" s="263"/>
      <c r="R1794" s="263"/>
      <c r="S1794" s="263"/>
      <c r="T1794" s="263"/>
      <c r="U1794" s="263"/>
      <c r="V1794" s="263"/>
      <c r="W1794" s="267"/>
      <c r="X1794" s="263"/>
    </row>
    <row r="1795" spans="1:53" ht="39.950000000000003" customHeight="1">
      <c r="E1795" s="271"/>
      <c r="F1795" s="272"/>
      <c r="G1795" s="263"/>
      <c r="H1795" s="263"/>
      <c r="I1795" s="496" t="str">
        <f>I1783</f>
        <v>FREUND Andrej</v>
      </c>
      <c r="J1795" s="496"/>
      <c r="K1795" s="496"/>
      <c r="L1795" s="496"/>
      <c r="M1795" s="263"/>
      <c r="N1795" s="263"/>
      <c r="P1795" s="496" t="str">
        <f>I1786</f>
        <v>MARUNIAK Martin</v>
      </c>
      <c r="Q1795" s="496"/>
      <c r="R1795" s="496"/>
      <c r="S1795" s="496"/>
      <c r="T1795" s="497"/>
      <c r="U1795" s="497"/>
      <c r="V1795" s="263"/>
      <c r="W1795" s="267"/>
      <c r="X1795" s="263"/>
    </row>
    <row r="1796" spans="1:53" ht="39.950000000000003" customHeight="1">
      <c r="E1796" s="271"/>
      <c r="F1796" s="272"/>
      <c r="G1796" s="263"/>
      <c r="H1796" s="263"/>
      <c r="I1796" s="496" t="str">
        <f>I1784</f>
        <v>LEDAJOVÁ Martina</v>
      </c>
      <c r="J1796" s="496"/>
      <c r="K1796" s="496"/>
      <c r="L1796" s="496"/>
      <c r="M1796" s="263"/>
      <c r="N1796" s="263"/>
      <c r="O1796" s="263"/>
      <c r="P1796" s="496" t="str">
        <f>I1787</f>
        <v>VOJTASOVA Patrícia</v>
      </c>
      <c r="Q1796" s="496"/>
      <c r="R1796" s="496"/>
      <c r="S1796" s="496"/>
      <c r="T1796" s="497"/>
      <c r="U1796" s="497"/>
      <c r="V1796" s="263"/>
      <c r="W1796" s="267"/>
      <c r="X1796" s="263"/>
    </row>
    <row r="1797" spans="1:53" ht="69.95" customHeight="1">
      <c r="E1797" s="264"/>
      <c r="F1797" s="265"/>
      <c r="G1797" s="263"/>
      <c r="H1797" s="275" t="s">
        <v>36</v>
      </c>
      <c r="I1797" s="483"/>
      <c r="J1797" s="484"/>
      <c r="K1797" s="484"/>
      <c r="L1797" s="485"/>
      <c r="M1797" s="263"/>
      <c r="N1797" s="263"/>
      <c r="O1797" s="275" t="s">
        <v>36</v>
      </c>
      <c r="P1797" s="486"/>
      <c r="Q1797" s="486"/>
      <c r="R1797" s="486"/>
      <c r="S1797" s="486"/>
      <c r="T1797" s="486"/>
      <c r="U1797" s="486"/>
      <c r="V1797" s="263"/>
      <c r="W1797" s="267"/>
      <c r="X1797" s="263"/>
    </row>
    <row r="1798" spans="1:53" ht="69.95" customHeight="1">
      <c r="E1798" s="264"/>
      <c r="F1798" s="265"/>
      <c r="G1798" s="263"/>
      <c r="H1798" s="275" t="s">
        <v>37</v>
      </c>
      <c r="I1798" s="486"/>
      <c r="J1798" s="486"/>
      <c r="K1798" s="486"/>
      <c r="L1798" s="486"/>
      <c r="M1798" s="263"/>
      <c r="N1798" s="263"/>
      <c r="O1798" s="275" t="s">
        <v>37</v>
      </c>
      <c r="P1798" s="486"/>
      <c r="Q1798" s="486"/>
      <c r="R1798" s="486"/>
      <c r="S1798" s="486"/>
      <c r="T1798" s="486"/>
      <c r="U1798" s="486"/>
      <c r="V1798" s="263"/>
      <c r="W1798" s="267"/>
      <c r="X1798" s="263"/>
    </row>
    <row r="1799" spans="1:53" ht="69.95" customHeight="1">
      <c r="E1799" s="264"/>
      <c r="F1799" s="265"/>
      <c r="G1799" s="263"/>
      <c r="H1799" s="275" t="s">
        <v>37</v>
      </c>
      <c r="I1799" s="486"/>
      <c r="J1799" s="486"/>
      <c r="K1799" s="486"/>
      <c r="L1799" s="486"/>
      <c r="M1799" s="263"/>
      <c r="N1799" s="263"/>
      <c r="O1799" s="275" t="s">
        <v>37</v>
      </c>
      <c r="P1799" s="486"/>
      <c r="Q1799" s="486"/>
      <c r="R1799" s="486"/>
      <c r="S1799" s="486"/>
      <c r="T1799" s="486"/>
      <c r="U1799" s="486"/>
      <c r="V1799" s="263"/>
      <c r="W1799" s="267"/>
      <c r="X1799" s="263"/>
    </row>
    <row r="1800" spans="1:53" ht="39.950000000000003" customHeight="1" thickBot="1">
      <c r="E1800" s="276"/>
      <c r="F1800" s="277"/>
      <c r="G1800" s="278"/>
      <c r="H1800" s="278"/>
      <c r="I1800" s="278"/>
      <c r="J1800" s="278"/>
      <c r="K1800" s="278"/>
      <c r="L1800" s="278"/>
      <c r="M1800" s="278"/>
      <c r="N1800" s="278"/>
      <c r="O1800" s="278"/>
      <c r="P1800" s="278"/>
      <c r="Q1800" s="278"/>
      <c r="R1800" s="278"/>
      <c r="S1800" s="278"/>
      <c r="T1800" s="279"/>
      <c r="U1800" s="279"/>
      <c r="V1800" s="279"/>
      <c r="W1800" s="280"/>
      <c r="X1800" s="263"/>
    </row>
    <row r="1801" spans="1:53" ht="62.25" thickBot="1"/>
    <row r="1802" spans="1:53" ht="39.950000000000003" customHeight="1">
      <c r="A1802" s="252" t="str">
        <f>CONCATENATE(F1809,F1811,F1813)</f>
        <v>MIXP11</v>
      </c>
      <c r="C1802" s="223"/>
      <c r="D1802" s="223"/>
      <c r="E1802" s="259" t="s">
        <v>70</v>
      </c>
      <c r="F1802" s="260">
        <f>VLOOKUP(CONCATENATE(A1802,1),'zoznam zapasov'!$A$6:$K$160,3,0)</f>
        <v>90</v>
      </c>
      <c r="G1802" s="261"/>
      <c r="H1802" s="322" t="s">
        <v>501</v>
      </c>
      <c r="I1802" s="261"/>
      <c r="J1802" s="261"/>
      <c r="K1802" s="261"/>
      <c r="L1802" s="261"/>
      <c r="M1802" s="261"/>
      <c r="N1802" s="261"/>
      <c r="O1802" s="261"/>
      <c r="P1802" s="261"/>
      <c r="Q1802" s="261"/>
      <c r="R1802" s="261"/>
      <c r="S1802" s="261"/>
      <c r="T1802" s="261"/>
      <c r="U1802" s="261"/>
      <c r="V1802" s="261" t="s">
        <v>30</v>
      </c>
      <c r="W1802" s="262"/>
      <c r="X1802" s="263"/>
      <c r="Y1802" s="253" t="str">
        <f>A1804</f>
        <v>MIXP111</v>
      </c>
      <c r="Z1802" s="258" t="str">
        <f>CONCATENATE(V1804,":",V1807)</f>
        <v>3:2</v>
      </c>
      <c r="AA1802" s="255" t="str">
        <f>IF(V1804&gt;V1807,B1804,IF(V1807&gt;V1804,B1807,""))</f>
        <v>TUREK / DZUROVÁ</v>
      </c>
      <c r="AB1802" s="255" t="str">
        <f>IF(V1804&gt;V1807,AV1802,IF(V1807&gt;V1804,AV1803,""))</f>
        <v xml:space="preserve">3:2 ( -9,3,-7,5,9,, ) </v>
      </c>
      <c r="AC1802" s="255" t="str">
        <f>CONCATENATE("Tbl.: ",F1804,"   H: ",F1807,"   D: ",F1806)</f>
        <v>Tbl.: 6   H: 14.25   D: So</v>
      </c>
      <c r="AE1802" s="253" t="s">
        <v>11</v>
      </c>
      <c r="AV1802" s="256" t="str">
        <f>CONCATENATE(V1804,":",V1807, " ( ",AN1804,",",AO1804,",",AP1804,",",AQ1804,",",AR1804,",",AS1804,",",AT1804," ) ")</f>
        <v xml:space="preserve">3:2 ( -9,3,-7,5,9,, ) </v>
      </c>
    </row>
    <row r="1803" spans="1:53" ht="39.950000000000003" customHeight="1">
      <c r="C1803" s="223"/>
      <c r="D1803" s="223"/>
      <c r="E1803" s="264"/>
      <c r="F1803" s="265"/>
      <c r="G1803" s="321" t="s">
        <v>500</v>
      </c>
      <c r="H1803" s="323" t="s">
        <v>502</v>
      </c>
      <c r="I1803" s="263"/>
      <c r="J1803" s="263"/>
      <c r="K1803" s="263"/>
      <c r="L1803" s="263"/>
      <c r="M1803" s="263"/>
      <c r="N1803" s="266">
        <v>1</v>
      </c>
      <c r="O1803" s="266">
        <v>2</v>
      </c>
      <c r="P1803" s="266">
        <v>3</v>
      </c>
      <c r="Q1803" s="266">
        <v>4</v>
      </c>
      <c r="R1803" s="266">
        <v>5</v>
      </c>
      <c r="S1803" s="266">
        <v>6</v>
      </c>
      <c r="T1803" s="266">
        <v>7</v>
      </c>
      <c r="U1803" s="263"/>
      <c r="V1803" s="266" t="s">
        <v>31</v>
      </c>
      <c r="W1803" s="267"/>
      <c r="X1803" s="263"/>
      <c r="AE1803" s="253" t="s">
        <v>68</v>
      </c>
      <c r="AV1803" s="256" t="str">
        <f>CONCATENATE(V1807,":",V1804, " ( ",AN1805,",",AO1805,",",AP1805,",",AQ1805,",",AR1805,",",AS1805,",",AT1805," ) ")</f>
        <v xml:space="preserve">2:3 ( 9,-3,7,-5,-9,, ) </v>
      </c>
    </row>
    <row r="1804" spans="1:53" ht="39.950000000000003" customHeight="1">
      <c r="A1804" s="252" t="str">
        <f>CONCATENATE(A1802,1)</f>
        <v>MIXP111</v>
      </c>
      <c r="B1804" s="252" t="str">
        <f>VLOOKUP(A1804,'KO KODY SPOLU'!$A$3:$B$189,2,0)</f>
        <v>TUREK / DZUROVÁ</v>
      </c>
      <c r="C1804" s="223"/>
      <c r="D1804" s="223"/>
      <c r="E1804" s="264" t="s">
        <v>29</v>
      </c>
      <c r="F1804" s="265">
        <f>VLOOKUP(CONCATENATE(A1802,1),'zoznam zapasov'!$A$6:$K$160,11,0)</f>
        <v>6</v>
      </c>
      <c r="G1804" s="508"/>
      <c r="H1804" s="319"/>
      <c r="I1804" s="487" t="str">
        <f>IF(ISERROR(VLOOKUP(B1804,vylosovanie!$N$75:$Q$191,3,0))=TRUE," ",VLOOKUP(B1804,vylosovanie!$N$75:$Q$191,3,0))</f>
        <v>TUREK Teodor</v>
      </c>
      <c r="J1804" s="488"/>
      <c r="K1804" s="488"/>
      <c r="L1804" s="488"/>
      <c r="M1804" s="263"/>
      <c r="N1804" s="489">
        <v>9</v>
      </c>
      <c r="O1804" s="489">
        <v>11</v>
      </c>
      <c r="P1804" s="489">
        <v>7</v>
      </c>
      <c r="Q1804" s="489">
        <v>11</v>
      </c>
      <c r="R1804" s="489">
        <v>11</v>
      </c>
      <c r="S1804" s="491"/>
      <c r="T1804" s="491"/>
      <c r="U1804" s="263"/>
      <c r="V1804" s="493">
        <f>IF(SUM(AF1804:AL1805)=0,"",SUM(AF1804:AL1804))</f>
        <v>3</v>
      </c>
      <c r="W1804" s="267"/>
      <c r="X1804" s="263"/>
      <c r="AE1804" s="253" t="str">
        <f>VLOOKUP(I1804,vylosovanie!$F$8:$L$190,7,0)</f>
        <v>CH71</v>
      </c>
      <c r="AF1804" s="268">
        <f>IF(N1804&gt;N1807,1,0)</f>
        <v>0</v>
      </c>
      <c r="AG1804" s="268">
        <f t="shared" ref="AG1804" si="1440">IF(O1804&gt;O1807,1,0)</f>
        <v>1</v>
      </c>
      <c r="AH1804" s="268">
        <f t="shared" ref="AH1804" si="1441">IF(P1804&gt;P1807,1,0)</f>
        <v>0</v>
      </c>
      <c r="AI1804" s="268">
        <f t="shared" ref="AI1804" si="1442">IF(Q1804&gt;Q1807,1,0)</f>
        <v>1</v>
      </c>
      <c r="AJ1804" s="268">
        <f t="shared" ref="AJ1804" si="1443">IF(R1804&gt;R1807,1,0)</f>
        <v>1</v>
      </c>
      <c r="AK1804" s="268">
        <f t="shared" ref="AK1804" si="1444">IF(S1804&gt;S1807,1,0)</f>
        <v>0</v>
      </c>
      <c r="AL1804" s="268">
        <f t="shared" ref="AL1804" si="1445">IF(T1804&gt;T1807,1,0)</f>
        <v>0</v>
      </c>
      <c r="AN1804" s="268">
        <f t="shared" ref="AN1804" si="1446">IF(ISBLANK(N1804)=TRUE,"",IF(AF1804=1,N1807,-N1804))</f>
        <v>-9</v>
      </c>
      <c r="AO1804" s="268">
        <f t="shared" ref="AO1804" si="1447">IF(ISBLANK(O1804)=TRUE,"",IF(AG1804=1,O1807,-O1804))</f>
        <v>3</v>
      </c>
      <c r="AP1804" s="268">
        <f t="shared" ref="AP1804" si="1448">IF(ISBLANK(P1804)=TRUE,"",IF(AH1804=1,P1807,-P1804))</f>
        <v>-7</v>
      </c>
      <c r="AQ1804" s="268">
        <f t="shared" ref="AQ1804" si="1449">IF(ISBLANK(Q1804)=TRUE,"",IF(AI1804=1,Q1807,-Q1804))</f>
        <v>5</v>
      </c>
      <c r="AR1804" s="268">
        <f t="shared" ref="AR1804" si="1450">IF(ISBLANK(R1804)=TRUE,"",IF(AJ1804=1,R1807,-R1804))</f>
        <v>9</v>
      </c>
      <c r="AS1804" s="268" t="str">
        <f t="shared" ref="AS1804" si="1451">IF(ISBLANK(S1804)=TRUE,"",IF(AK1804=1,S1807,-S1804))</f>
        <v/>
      </c>
      <c r="AT1804" s="268" t="str">
        <f t="shared" ref="AT1804" si="1452">IF(ISBLANK(T1804)=TRUE,"",IF(AL1804=1,T1807,-T1804))</f>
        <v/>
      </c>
      <c r="AZ1804" s="269" t="s">
        <v>12</v>
      </c>
      <c r="BA1804" s="269">
        <v>1</v>
      </c>
    </row>
    <row r="1805" spans="1:53" ht="39.950000000000003" customHeight="1">
      <c r="C1805" s="223"/>
      <c r="D1805" s="223"/>
      <c r="E1805" s="264"/>
      <c r="F1805" s="265"/>
      <c r="G1805" s="509"/>
      <c r="H1805" s="319"/>
      <c r="I1805" s="487" t="str">
        <f>IF(ISERROR(VLOOKUP(B1804,vylosovanie!$N$75:$Q$191,3,0))=TRUE," ",VLOOKUP(B1804,vylosovanie!$N$75:$Q$191,4,0))</f>
        <v>DZUROVÁ Lenka</v>
      </c>
      <c r="J1805" s="488"/>
      <c r="K1805" s="488"/>
      <c r="L1805" s="488"/>
      <c r="M1805" s="263"/>
      <c r="N1805" s="490"/>
      <c r="O1805" s="490"/>
      <c r="P1805" s="490"/>
      <c r="Q1805" s="490"/>
      <c r="R1805" s="490"/>
      <c r="S1805" s="492"/>
      <c r="T1805" s="492"/>
      <c r="U1805" s="263"/>
      <c r="V1805" s="493"/>
      <c r="W1805" s="267"/>
      <c r="X1805" s="263"/>
      <c r="AE1805" s="253" t="str">
        <f>VLOOKUP(I1807,vylosovanie!$F$8:$L$190,7,0)</f>
        <v>CH73</v>
      </c>
      <c r="AF1805" s="268">
        <f>IF(N1807&gt;N1804,1,0)</f>
        <v>1</v>
      </c>
      <c r="AG1805" s="268">
        <f t="shared" ref="AG1805" si="1453">IF(O1807&gt;O1804,1,0)</f>
        <v>0</v>
      </c>
      <c r="AH1805" s="268">
        <f t="shared" ref="AH1805" si="1454">IF(P1807&gt;P1804,1,0)</f>
        <v>1</v>
      </c>
      <c r="AI1805" s="268">
        <f t="shared" ref="AI1805" si="1455">IF(Q1807&gt;Q1804,1,0)</f>
        <v>0</v>
      </c>
      <c r="AJ1805" s="268">
        <f t="shared" ref="AJ1805" si="1456">IF(R1807&gt;R1804,1,0)</f>
        <v>0</v>
      </c>
      <c r="AK1805" s="268">
        <f t="shared" ref="AK1805" si="1457">IF(S1807&gt;S1804,1,0)</f>
        <v>0</v>
      </c>
      <c r="AL1805" s="268">
        <f t="shared" ref="AL1805" si="1458">IF(T1807&gt;T1804,1,0)</f>
        <v>0</v>
      </c>
      <c r="AN1805" s="268">
        <f t="shared" ref="AN1805" si="1459">IF(ISBLANK(N1807)=TRUE,"",IF(AF1805=1,N1804,-N1807))</f>
        <v>9</v>
      </c>
      <c r="AO1805" s="268">
        <f t="shared" ref="AO1805" si="1460">IF(ISBLANK(O1807)=TRUE,"",IF(AG1805=1,O1804,-O1807))</f>
        <v>-3</v>
      </c>
      <c r="AP1805" s="268">
        <f t="shared" ref="AP1805" si="1461">IF(ISBLANK(P1807)=TRUE,"",IF(AH1805=1,P1804,-P1807))</f>
        <v>7</v>
      </c>
      <c r="AQ1805" s="268">
        <f t="shared" ref="AQ1805" si="1462">IF(ISBLANK(Q1807)=TRUE,"",IF(AI1805=1,Q1804,-Q1807))</f>
        <v>-5</v>
      </c>
      <c r="AR1805" s="268">
        <f t="shared" ref="AR1805" si="1463">IF(ISBLANK(R1807)=TRUE,"",IF(AJ1805=1,R1804,-R1807))</f>
        <v>-9</v>
      </c>
      <c r="AS1805" s="268" t="str">
        <f t="shared" ref="AS1805" si="1464">IF(ISBLANK(S1807)=TRUE,"",IF(AK1805=1,S1804,-S1807))</f>
        <v/>
      </c>
      <c r="AT1805" s="268" t="str">
        <f t="shared" ref="AT1805" si="1465">IF(ISBLANK(T1807)=TRUE,"",IF(AL1805=1,T1804,-T1807))</f>
        <v/>
      </c>
      <c r="AZ1805" s="269" t="s">
        <v>18</v>
      </c>
      <c r="BA1805" s="269">
        <v>2</v>
      </c>
    </row>
    <row r="1806" spans="1:53" ht="39.950000000000003" customHeight="1">
      <c r="C1806" s="223"/>
      <c r="D1806" s="223"/>
      <c r="E1806" s="264" t="s">
        <v>35</v>
      </c>
      <c r="F1806" s="265" t="str">
        <f>VLOOKUP(CONCATENATE(A1802,1),'zoznam zapasov'!$A$6:$K$160,9,0)</f>
        <v>So</v>
      </c>
      <c r="G1806" s="263"/>
      <c r="H1806" s="263"/>
      <c r="I1806" s="263"/>
      <c r="J1806" s="263"/>
      <c r="K1806" s="263"/>
      <c r="L1806" s="263"/>
      <c r="M1806" s="263"/>
      <c r="N1806" s="263"/>
      <c r="O1806" s="263"/>
      <c r="P1806" s="263"/>
      <c r="Q1806" s="263"/>
      <c r="R1806" s="263"/>
      <c r="S1806" s="263"/>
      <c r="T1806" s="263"/>
      <c r="U1806" s="263"/>
      <c r="V1806" s="263"/>
      <c r="W1806" s="267"/>
      <c r="X1806" s="263"/>
      <c r="AZ1806" s="269" t="s">
        <v>38</v>
      </c>
      <c r="BA1806" s="269">
        <v>3</v>
      </c>
    </row>
    <row r="1807" spans="1:53" ht="39.950000000000003" customHeight="1">
      <c r="A1807" s="252" t="str">
        <f>CONCATENATE(A1802,2)</f>
        <v>MIXP112</v>
      </c>
      <c r="B1807" s="252" t="str">
        <f>VLOOKUP(A1807,'KO KODY SPOLU'!$A$3:$B$189,2,0)</f>
        <v>FEČO / TEREZKOVÁ</v>
      </c>
      <c r="C1807" s="223"/>
      <c r="D1807" s="223"/>
      <c r="E1807" s="264" t="s">
        <v>28</v>
      </c>
      <c r="F1807" s="270" t="str">
        <f>VLOOKUP(CONCATENATE(A1802,1),'zoznam zapasov'!$A$6:$K$160,10,0)</f>
        <v>14.25</v>
      </c>
      <c r="G1807" s="508"/>
      <c r="H1807" s="319"/>
      <c r="I1807" s="487" t="str">
        <f>IF(ISERROR(VLOOKUP(B1807,vylosovanie!$N$75:$Q$191,3,0))=TRUE," ",VLOOKUP(B1807,vylosovanie!$N$75:$Q$191,3,0))</f>
        <v>FEČO Michal</v>
      </c>
      <c r="J1807" s="488"/>
      <c r="K1807" s="488"/>
      <c r="L1807" s="488"/>
      <c r="M1807" s="263"/>
      <c r="N1807" s="489">
        <v>11</v>
      </c>
      <c r="O1807" s="489">
        <v>3</v>
      </c>
      <c r="P1807" s="489">
        <v>11</v>
      </c>
      <c r="Q1807" s="489">
        <v>5</v>
      </c>
      <c r="R1807" s="489">
        <v>9</v>
      </c>
      <c r="S1807" s="491"/>
      <c r="T1807" s="491"/>
      <c r="U1807" s="263"/>
      <c r="V1807" s="493">
        <f>IF(SUM(AF1804:AL1805)=0,"",SUM(AF1805:AL1805))</f>
        <v>2</v>
      </c>
      <c r="W1807" s="267"/>
      <c r="X1807" s="263"/>
      <c r="AZ1807" s="269" t="s">
        <v>39</v>
      </c>
      <c r="BA1807" s="269">
        <v>4</v>
      </c>
    </row>
    <row r="1808" spans="1:53" ht="39.950000000000003" customHeight="1">
      <c r="C1808" s="223"/>
      <c r="D1808" s="223"/>
      <c r="E1808" s="271"/>
      <c r="F1808" s="272"/>
      <c r="G1808" s="509"/>
      <c r="H1808" s="319"/>
      <c r="I1808" s="487" t="str">
        <f>IF(ISERROR(VLOOKUP(B1807,vylosovanie!$N$75:$Q$191,3,0))=TRUE," ",VLOOKUP(B1807,vylosovanie!$N$75:$Q$191,4,0))</f>
        <v>TEREZKOVÁ Jana</v>
      </c>
      <c r="J1808" s="488"/>
      <c r="K1808" s="488"/>
      <c r="L1808" s="488"/>
      <c r="M1808" s="263"/>
      <c r="N1808" s="490"/>
      <c r="O1808" s="490"/>
      <c r="P1808" s="490"/>
      <c r="Q1808" s="490"/>
      <c r="R1808" s="490"/>
      <c r="S1808" s="492"/>
      <c r="T1808" s="492"/>
      <c r="U1808" s="263"/>
      <c r="V1808" s="493"/>
      <c r="W1808" s="267"/>
      <c r="X1808" s="263"/>
      <c r="AZ1808" s="269" t="s">
        <v>40</v>
      </c>
      <c r="BA1808" s="269">
        <v>5</v>
      </c>
    </row>
    <row r="1809" spans="1:53" ht="39.950000000000003" customHeight="1">
      <c r="C1809" s="223"/>
      <c r="D1809" s="223"/>
      <c r="E1809" s="264" t="s">
        <v>66</v>
      </c>
      <c r="F1809" s="265" t="s">
        <v>316</v>
      </c>
      <c r="G1809" s="263"/>
      <c r="H1809" s="263"/>
      <c r="I1809" s="263"/>
      <c r="J1809" s="263"/>
      <c r="K1809" s="263"/>
      <c r="L1809" s="263"/>
      <c r="M1809" s="263"/>
      <c r="N1809" s="263"/>
      <c r="O1809" s="263"/>
      <c r="P1809" s="263"/>
      <c r="Q1809" s="263"/>
      <c r="R1809" s="263"/>
      <c r="S1809" s="263"/>
      <c r="T1809" s="263"/>
      <c r="U1809" s="263"/>
      <c r="V1809" s="263"/>
      <c r="W1809" s="267"/>
      <c r="X1809" s="263"/>
      <c r="AZ1809" s="269" t="s">
        <v>41</v>
      </c>
      <c r="BA1809" s="269">
        <v>6</v>
      </c>
    </row>
    <row r="1810" spans="1:53" ht="39.950000000000003" customHeight="1">
      <c r="C1810" s="223"/>
      <c r="D1810" s="223"/>
      <c r="E1810" s="271"/>
      <c r="F1810" s="272"/>
      <c r="G1810" s="263"/>
      <c r="H1810" s="263"/>
      <c r="I1810" s="263" t="s">
        <v>32</v>
      </c>
      <c r="J1810" s="263"/>
      <c r="K1810" s="263"/>
      <c r="L1810" s="263"/>
      <c r="M1810" s="263"/>
      <c r="N1810" s="273"/>
      <c r="O1810" s="266"/>
      <c r="P1810" s="266" t="s">
        <v>34</v>
      </c>
      <c r="Q1810" s="266"/>
      <c r="R1810" s="266"/>
      <c r="S1810" s="266"/>
      <c r="T1810" s="266"/>
      <c r="U1810" s="263"/>
      <c r="V1810" s="263"/>
      <c r="W1810" s="267"/>
      <c r="X1810" s="263"/>
      <c r="AZ1810" s="269" t="s">
        <v>42</v>
      </c>
      <c r="BA1810" s="269">
        <v>7</v>
      </c>
    </row>
    <row r="1811" spans="1:53" ht="39.950000000000003" customHeight="1">
      <c r="E1811" s="264" t="s">
        <v>26</v>
      </c>
      <c r="F1811" s="265" t="s">
        <v>128</v>
      </c>
      <c r="G1811" s="263"/>
      <c r="H1811" s="263"/>
      <c r="I1811" s="486"/>
      <c r="J1811" s="486"/>
      <c r="K1811" s="486"/>
      <c r="L1811" s="486"/>
      <c r="M1811" s="263"/>
      <c r="N1811" s="483" t="str">
        <f>IF(V1804&gt;V1807,I1804,IF(V1807&gt;V1804,I1807,""))</f>
        <v>TUREK Teodor</v>
      </c>
      <c r="O1811" s="494"/>
      <c r="P1811" s="494"/>
      <c r="Q1811" s="494"/>
      <c r="R1811" s="494"/>
      <c r="S1811" s="495"/>
      <c r="T1811" s="263"/>
      <c r="U1811" s="263"/>
      <c r="V1811" s="263"/>
      <c r="W1811" s="267"/>
      <c r="X1811" s="263"/>
      <c r="AZ1811" s="269" t="s">
        <v>43</v>
      </c>
      <c r="BA1811" s="269">
        <v>8</v>
      </c>
    </row>
    <row r="1812" spans="1:53" ht="39.950000000000003" customHeight="1">
      <c r="E1812" s="271"/>
      <c r="F1812" s="272"/>
      <c r="G1812" s="263"/>
      <c r="H1812" s="263"/>
      <c r="I1812" s="486"/>
      <c r="J1812" s="486"/>
      <c r="K1812" s="486"/>
      <c r="L1812" s="486"/>
      <c r="M1812" s="263"/>
      <c r="N1812" s="483" t="str">
        <f>IF(V1804&gt;V1807,I1805,IF(V1807&gt;V1804,I1808,""))</f>
        <v>DZUROVÁ Lenka</v>
      </c>
      <c r="O1812" s="494"/>
      <c r="P1812" s="494"/>
      <c r="Q1812" s="494"/>
      <c r="R1812" s="494"/>
      <c r="S1812" s="495"/>
      <c r="T1812" s="263"/>
      <c r="U1812" s="263"/>
      <c r="V1812" s="263"/>
      <c r="W1812" s="267"/>
      <c r="X1812" s="263"/>
    </row>
    <row r="1813" spans="1:53" ht="39.950000000000003" customHeight="1">
      <c r="E1813" s="264" t="s">
        <v>27</v>
      </c>
      <c r="F1813" s="274" t="s">
        <v>350</v>
      </c>
      <c r="G1813" s="263"/>
      <c r="H1813" s="263"/>
      <c r="I1813" s="263"/>
      <c r="J1813" s="263"/>
      <c r="K1813" s="263"/>
      <c r="L1813" s="263"/>
      <c r="M1813" s="263"/>
      <c r="N1813" s="263"/>
      <c r="O1813" s="263"/>
      <c r="P1813" s="263"/>
      <c r="Q1813" s="263"/>
      <c r="R1813" s="263"/>
      <c r="S1813" s="263"/>
      <c r="T1813" s="263"/>
      <c r="U1813" s="263"/>
      <c r="V1813" s="263"/>
      <c r="W1813" s="267"/>
      <c r="X1813" s="263"/>
    </row>
    <row r="1814" spans="1:53" ht="39.950000000000003" customHeight="1">
      <c r="E1814" s="271"/>
      <c r="F1814" s="272"/>
      <c r="G1814" s="263"/>
      <c r="H1814" s="263" t="s">
        <v>33</v>
      </c>
      <c r="I1814" s="263"/>
      <c r="J1814" s="263"/>
      <c r="K1814" s="263"/>
      <c r="L1814" s="263"/>
      <c r="M1814" s="263"/>
      <c r="N1814" s="263"/>
      <c r="O1814" s="263"/>
      <c r="P1814" s="263"/>
      <c r="Q1814" s="263"/>
      <c r="R1814" s="263"/>
      <c r="S1814" s="263"/>
      <c r="T1814" s="263"/>
      <c r="U1814" s="263"/>
      <c r="V1814" s="263"/>
      <c r="W1814" s="267"/>
      <c r="X1814" s="263"/>
    </row>
    <row r="1815" spans="1:53" ht="39.950000000000003" customHeight="1">
      <c r="E1815" s="271"/>
      <c r="F1815" s="272"/>
      <c r="G1815" s="263"/>
      <c r="H1815" s="263"/>
      <c r="I1815" s="263"/>
      <c r="J1815" s="263"/>
      <c r="K1815" s="263"/>
      <c r="L1815" s="263"/>
      <c r="M1815" s="263"/>
      <c r="N1815" s="263"/>
      <c r="O1815" s="263"/>
      <c r="P1815" s="263"/>
      <c r="Q1815" s="263"/>
      <c r="R1815" s="263"/>
      <c r="S1815" s="263"/>
      <c r="T1815" s="263"/>
      <c r="U1815" s="263"/>
      <c r="V1815" s="263"/>
      <c r="W1815" s="267"/>
      <c r="X1815" s="263"/>
    </row>
    <row r="1816" spans="1:53" ht="39.950000000000003" customHeight="1">
      <c r="E1816" s="271"/>
      <c r="F1816" s="272"/>
      <c r="G1816" s="263"/>
      <c r="H1816" s="263"/>
      <c r="I1816" s="496" t="str">
        <f>I1804</f>
        <v>TUREK Teodor</v>
      </c>
      <c r="J1816" s="496"/>
      <c r="K1816" s="496"/>
      <c r="L1816" s="496"/>
      <c r="M1816" s="263"/>
      <c r="N1816" s="263"/>
      <c r="P1816" s="496" t="str">
        <f>I1807</f>
        <v>FEČO Michal</v>
      </c>
      <c r="Q1816" s="496"/>
      <c r="R1816" s="496"/>
      <c r="S1816" s="496"/>
      <c r="T1816" s="497"/>
      <c r="U1816" s="497"/>
      <c r="V1816" s="263"/>
      <c r="W1816" s="267"/>
      <c r="X1816" s="263"/>
    </row>
    <row r="1817" spans="1:53" ht="39.950000000000003" customHeight="1">
      <c r="E1817" s="271"/>
      <c r="F1817" s="272"/>
      <c r="G1817" s="263"/>
      <c r="H1817" s="263"/>
      <c r="I1817" s="496" t="str">
        <f>I1805</f>
        <v>DZUROVÁ Lenka</v>
      </c>
      <c r="J1817" s="496"/>
      <c r="K1817" s="496"/>
      <c r="L1817" s="496"/>
      <c r="M1817" s="263"/>
      <c r="N1817" s="263"/>
      <c r="O1817" s="263"/>
      <c r="P1817" s="496" t="str">
        <f>I1808</f>
        <v>TEREZKOVÁ Jana</v>
      </c>
      <c r="Q1817" s="496"/>
      <c r="R1817" s="496"/>
      <c r="S1817" s="496"/>
      <c r="T1817" s="497"/>
      <c r="U1817" s="497"/>
      <c r="V1817" s="263"/>
      <c r="W1817" s="267"/>
      <c r="X1817" s="263"/>
    </row>
    <row r="1818" spans="1:53" ht="69.95" customHeight="1">
      <c r="E1818" s="264"/>
      <c r="F1818" s="265"/>
      <c r="G1818" s="263"/>
      <c r="H1818" s="275" t="s">
        <v>36</v>
      </c>
      <c r="I1818" s="483"/>
      <c r="J1818" s="484"/>
      <c r="K1818" s="484"/>
      <c r="L1818" s="485"/>
      <c r="M1818" s="263"/>
      <c r="N1818" s="263"/>
      <c r="O1818" s="275" t="s">
        <v>36</v>
      </c>
      <c r="P1818" s="486"/>
      <c r="Q1818" s="486"/>
      <c r="R1818" s="486"/>
      <c r="S1818" s="486"/>
      <c r="T1818" s="486"/>
      <c r="U1818" s="486"/>
      <c r="V1818" s="263"/>
      <c r="W1818" s="267"/>
      <c r="X1818" s="263"/>
    </row>
    <row r="1819" spans="1:53" ht="69.95" customHeight="1">
      <c r="E1819" s="264"/>
      <c r="F1819" s="265"/>
      <c r="G1819" s="263"/>
      <c r="H1819" s="275" t="s">
        <v>37</v>
      </c>
      <c r="I1819" s="486"/>
      <c r="J1819" s="486"/>
      <c r="K1819" s="486"/>
      <c r="L1819" s="486"/>
      <c r="M1819" s="263"/>
      <c r="N1819" s="263"/>
      <c r="O1819" s="275" t="s">
        <v>37</v>
      </c>
      <c r="P1819" s="486"/>
      <c r="Q1819" s="486"/>
      <c r="R1819" s="486"/>
      <c r="S1819" s="486"/>
      <c r="T1819" s="486"/>
      <c r="U1819" s="486"/>
      <c r="V1819" s="263"/>
      <c r="W1819" s="267"/>
      <c r="X1819" s="263"/>
    </row>
    <row r="1820" spans="1:53" ht="69.95" customHeight="1">
      <c r="E1820" s="264"/>
      <c r="F1820" s="265"/>
      <c r="G1820" s="263"/>
      <c r="H1820" s="275" t="s">
        <v>37</v>
      </c>
      <c r="I1820" s="486"/>
      <c r="J1820" s="486"/>
      <c r="K1820" s="486"/>
      <c r="L1820" s="486"/>
      <c r="M1820" s="263"/>
      <c r="N1820" s="263"/>
      <c r="O1820" s="275" t="s">
        <v>37</v>
      </c>
      <c r="P1820" s="486"/>
      <c r="Q1820" s="486"/>
      <c r="R1820" s="486"/>
      <c r="S1820" s="486"/>
      <c r="T1820" s="486"/>
      <c r="U1820" s="486"/>
      <c r="V1820" s="263"/>
      <c r="W1820" s="267"/>
      <c r="X1820" s="263"/>
    </row>
    <row r="1821" spans="1:53" ht="39.950000000000003" customHeight="1" thickBot="1">
      <c r="E1821" s="276"/>
      <c r="F1821" s="277"/>
      <c r="G1821" s="278"/>
      <c r="H1821" s="278"/>
      <c r="I1821" s="278"/>
      <c r="J1821" s="278"/>
      <c r="K1821" s="278"/>
      <c r="L1821" s="278"/>
      <c r="M1821" s="278"/>
      <c r="N1821" s="278"/>
      <c r="O1821" s="278"/>
      <c r="P1821" s="278"/>
      <c r="Q1821" s="278"/>
      <c r="R1821" s="278"/>
      <c r="S1821" s="278"/>
      <c r="T1821" s="279"/>
      <c r="U1821" s="279"/>
      <c r="V1821" s="279"/>
      <c r="W1821" s="280"/>
      <c r="X1821" s="263"/>
    </row>
    <row r="1822" spans="1:53" ht="62.25" thickBot="1"/>
    <row r="1823" spans="1:53" ht="39.950000000000003" customHeight="1">
      <c r="A1823" s="252" t="str">
        <f>CONCATENATE(F1830,F1832,F1834)</f>
        <v>MIXP14</v>
      </c>
      <c r="C1823" s="223"/>
      <c r="D1823" s="223"/>
      <c r="E1823" s="259" t="s">
        <v>70</v>
      </c>
      <c r="F1823" s="260">
        <f>VLOOKUP(CONCATENATE(A1823,1),'zoznam zapasov'!$A$6:$K$160,3,0)</f>
        <v>91</v>
      </c>
      <c r="G1823" s="261"/>
      <c r="H1823" s="322" t="s">
        <v>501</v>
      </c>
      <c r="I1823" s="261"/>
      <c r="J1823" s="261"/>
      <c r="K1823" s="261"/>
      <c r="L1823" s="261"/>
      <c r="M1823" s="261"/>
      <c r="N1823" s="261"/>
      <c r="O1823" s="261"/>
      <c r="P1823" s="261"/>
      <c r="Q1823" s="261"/>
      <c r="R1823" s="261"/>
      <c r="S1823" s="261"/>
      <c r="T1823" s="261"/>
      <c r="U1823" s="261"/>
      <c r="V1823" s="261" t="s">
        <v>30</v>
      </c>
      <c r="W1823" s="262"/>
      <c r="X1823" s="263"/>
      <c r="Y1823" s="253" t="str">
        <f>A1825</f>
        <v>MIXP141</v>
      </c>
      <c r="Z1823" s="258" t="str">
        <f>CONCATENATE(V1825,":",V1828)</f>
        <v>3:1</v>
      </c>
      <c r="AA1823" s="255" t="str">
        <f>IF(V1825&gt;V1828,B1825,IF(V1828&gt;V1825,B1828,""))</f>
        <v>MAKÚCH / GALČÍKOVÁ</v>
      </c>
      <c r="AB1823" s="255" t="str">
        <f>IF(V1825&gt;V1828,AV1823,IF(V1828&gt;V1825,AV1824,""))</f>
        <v xml:space="preserve">3:1 ( 5,8,-10,10,,, ) </v>
      </c>
      <c r="AC1823" s="255" t="str">
        <f>CONCATENATE("Tbl.: ",F1825,"   H: ",F1828,"   D: ",F1827)</f>
        <v>Tbl.: 7   H: 14.25   D: So</v>
      </c>
      <c r="AE1823" s="253" t="s">
        <v>11</v>
      </c>
      <c r="AV1823" s="256" t="str">
        <f>CONCATENATE(V1825,":",V1828, " ( ",AN1825,",",AO1825,",",AP1825,",",AQ1825,",",AR1825,",",AS1825,",",AT1825," ) ")</f>
        <v xml:space="preserve">3:1 ( 5,8,-10,10,,, ) </v>
      </c>
    </row>
    <row r="1824" spans="1:53" ht="39.950000000000003" customHeight="1">
      <c r="C1824" s="223"/>
      <c r="D1824" s="223"/>
      <c r="E1824" s="264"/>
      <c r="F1824" s="265"/>
      <c r="G1824" s="321" t="s">
        <v>500</v>
      </c>
      <c r="H1824" s="323" t="s">
        <v>502</v>
      </c>
      <c r="I1824" s="263"/>
      <c r="J1824" s="263"/>
      <c r="K1824" s="263"/>
      <c r="L1824" s="263"/>
      <c r="M1824" s="263"/>
      <c r="N1824" s="266">
        <v>1</v>
      </c>
      <c r="O1824" s="266">
        <v>2</v>
      </c>
      <c r="P1824" s="266">
        <v>3</v>
      </c>
      <c r="Q1824" s="266">
        <v>4</v>
      </c>
      <c r="R1824" s="266">
        <v>5</v>
      </c>
      <c r="S1824" s="266">
        <v>6</v>
      </c>
      <c r="T1824" s="266">
        <v>7</v>
      </c>
      <c r="U1824" s="263"/>
      <c r="V1824" s="266" t="s">
        <v>31</v>
      </c>
      <c r="W1824" s="267"/>
      <c r="X1824" s="263"/>
      <c r="AE1824" s="253" t="s">
        <v>68</v>
      </c>
      <c r="AV1824" s="256" t="str">
        <f>CONCATENATE(V1828,":",V1825, " ( ",AN1826,",",AO1826,",",AP1826,",",AQ1826,",",AR1826,",",AS1826,",",AT1826," ) ")</f>
        <v xml:space="preserve">1:3 ( -5,-8,10,-10,,, ) </v>
      </c>
    </row>
    <row r="1825" spans="1:53" ht="39.950000000000003" customHeight="1">
      <c r="A1825" s="252" t="str">
        <f>CONCATENATE(A1823,1)</f>
        <v>MIXP141</v>
      </c>
      <c r="B1825" s="252" t="str">
        <f>VLOOKUP(A1825,'KO KODY SPOLU'!$A$3:$B$189,2,0)</f>
        <v>MAKÚCH / GALČÍKOVÁ</v>
      </c>
      <c r="C1825" s="223"/>
      <c r="D1825" s="223"/>
      <c r="E1825" s="264" t="s">
        <v>29</v>
      </c>
      <c r="F1825" s="265">
        <f>VLOOKUP(CONCATENATE(A1823,1),'zoznam zapasov'!$A$6:$K$160,11,0)</f>
        <v>7</v>
      </c>
      <c r="G1825" s="508"/>
      <c r="H1825" s="319"/>
      <c r="I1825" s="487" t="str">
        <f>IF(ISERROR(VLOOKUP(B1825,vylosovanie!$N$75:$Q$191,3,0))=TRUE," ",VLOOKUP(B1825,vylosovanie!$N$75:$Q$191,3,0))</f>
        <v>MAKÚCH Damian</v>
      </c>
      <c r="J1825" s="488"/>
      <c r="K1825" s="488"/>
      <c r="L1825" s="488"/>
      <c r="M1825" s="263"/>
      <c r="N1825" s="489">
        <v>11</v>
      </c>
      <c r="O1825" s="489">
        <v>11</v>
      </c>
      <c r="P1825" s="489">
        <v>10</v>
      </c>
      <c r="Q1825" s="489">
        <v>12</v>
      </c>
      <c r="R1825" s="489"/>
      <c r="S1825" s="491"/>
      <c r="T1825" s="491"/>
      <c r="U1825" s="263"/>
      <c r="V1825" s="493">
        <f>IF(SUM(AF1825:AL1826)=0,"",SUM(AF1825:AL1825))</f>
        <v>3</v>
      </c>
      <c r="W1825" s="267"/>
      <c r="X1825" s="263"/>
      <c r="AE1825" s="253" t="str">
        <f>VLOOKUP(I1825,vylosovanie!$F$8:$L$190,7,0)</f>
        <v>CH83</v>
      </c>
      <c r="AF1825" s="268">
        <f>IF(N1825&gt;N1828,1,0)</f>
        <v>1</v>
      </c>
      <c r="AG1825" s="268">
        <f t="shared" ref="AG1825" si="1466">IF(O1825&gt;O1828,1,0)</f>
        <v>1</v>
      </c>
      <c r="AH1825" s="268">
        <f t="shared" ref="AH1825" si="1467">IF(P1825&gt;P1828,1,0)</f>
        <v>0</v>
      </c>
      <c r="AI1825" s="268">
        <f t="shared" ref="AI1825" si="1468">IF(Q1825&gt;Q1828,1,0)</f>
        <v>1</v>
      </c>
      <c r="AJ1825" s="268">
        <f t="shared" ref="AJ1825" si="1469">IF(R1825&gt;R1828,1,0)</f>
        <v>0</v>
      </c>
      <c r="AK1825" s="268">
        <f t="shared" ref="AK1825" si="1470">IF(S1825&gt;S1828,1,0)</f>
        <v>0</v>
      </c>
      <c r="AL1825" s="268">
        <f t="shared" ref="AL1825" si="1471">IF(T1825&gt;T1828,1,0)</f>
        <v>0</v>
      </c>
      <c r="AN1825" s="268">
        <f t="shared" ref="AN1825" si="1472">IF(ISBLANK(N1825)=TRUE,"",IF(AF1825=1,N1828,-N1825))</f>
        <v>5</v>
      </c>
      <c r="AO1825" s="268">
        <f t="shared" ref="AO1825" si="1473">IF(ISBLANK(O1825)=TRUE,"",IF(AG1825=1,O1828,-O1825))</f>
        <v>8</v>
      </c>
      <c r="AP1825" s="268">
        <f t="shared" ref="AP1825" si="1474">IF(ISBLANK(P1825)=TRUE,"",IF(AH1825=1,P1828,-P1825))</f>
        <v>-10</v>
      </c>
      <c r="AQ1825" s="268">
        <f t="shared" ref="AQ1825" si="1475">IF(ISBLANK(Q1825)=TRUE,"",IF(AI1825=1,Q1828,-Q1825))</f>
        <v>10</v>
      </c>
      <c r="AR1825" s="268" t="str">
        <f t="shared" ref="AR1825" si="1476">IF(ISBLANK(R1825)=TRUE,"",IF(AJ1825=1,R1828,-R1825))</f>
        <v/>
      </c>
      <c r="AS1825" s="268" t="str">
        <f t="shared" ref="AS1825" si="1477">IF(ISBLANK(S1825)=TRUE,"",IF(AK1825=1,S1828,-S1825))</f>
        <v/>
      </c>
      <c r="AT1825" s="268" t="str">
        <f t="shared" ref="AT1825" si="1478">IF(ISBLANK(T1825)=TRUE,"",IF(AL1825=1,T1828,-T1825))</f>
        <v/>
      </c>
      <c r="AZ1825" s="269" t="s">
        <v>12</v>
      </c>
      <c r="BA1825" s="269">
        <v>1</v>
      </c>
    </row>
    <row r="1826" spans="1:53" ht="39.950000000000003" customHeight="1">
      <c r="C1826" s="223"/>
      <c r="D1826" s="223"/>
      <c r="E1826" s="264"/>
      <c r="F1826" s="265"/>
      <c r="G1826" s="509"/>
      <c r="H1826" s="319"/>
      <c r="I1826" s="487" t="str">
        <f>IF(ISERROR(VLOOKUP(B1825,vylosovanie!$N$75:$Q$191,3,0))=TRUE," ",VLOOKUP(B1825,vylosovanie!$N$75:$Q$191,4,0))</f>
        <v>GALČÍKOVÁ Sára</v>
      </c>
      <c r="J1826" s="488"/>
      <c r="K1826" s="488"/>
      <c r="L1826" s="488"/>
      <c r="M1826" s="263"/>
      <c r="N1826" s="490"/>
      <c r="O1826" s="490"/>
      <c r="P1826" s="490"/>
      <c r="Q1826" s="490"/>
      <c r="R1826" s="490"/>
      <c r="S1826" s="492"/>
      <c r="T1826" s="492"/>
      <c r="U1826" s="263"/>
      <c r="V1826" s="493"/>
      <c r="W1826" s="267"/>
      <c r="X1826" s="263"/>
      <c r="AE1826" s="253" t="str">
        <f>VLOOKUP(I1828,vylosovanie!$F$8:$L$190,7,0)</f>
        <v>CH12</v>
      </c>
      <c r="AF1826" s="268">
        <f>IF(N1828&gt;N1825,1,0)</f>
        <v>0</v>
      </c>
      <c r="AG1826" s="268">
        <f t="shared" ref="AG1826" si="1479">IF(O1828&gt;O1825,1,0)</f>
        <v>0</v>
      </c>
      <c r="AH1826" s="268">
        <f t="shared" ref="AH1826" si="1480">IF(P1828&gt;P1825,1,0)</f>
        <v>1</v>
      </c>
      <c r="AI1826" s="268">
        <f t="shared" ref="AI1826" si="1481">IF(Q1828&gt;Q1825,1,0)</f>
        <v>0</v>
      </c>
      <c r="AJ1826" s="268">
        <f t="shared" ref="AJ1826" si="1482">IF(R1828&gt;R1825,1,0)</f>
        <v>0</v>
      </c>
      <c r="AK1826" s="268">
        <f t="shared" ref="AK1826" si="1483">IF(S1828&gt;S1825,1,0)</f>
        <v>0</v>
      </c>
      <c r="AL1826" s="268">
        <f t="shared" ref="AL1826" si="1484">IF(T1828&gt;T1825,1,0)</f>
        <v>0</v>
      </c>
      <c r="AN1826" s="268">
        <f t="shared" ref="AN1826" si="1485">IF(ISBLANK(N1828)=TRUE,"",IF(AF1826=1,N1825,-N1828))</f>
        <v>-5</v>
      </c>
      <c r="AO1826" s="268">
        <f t="shared" ref="AO1826" si="1486">IF(ISBLANK(O1828)=TRUE,"",IF(AG1826=1,O1825,-O1828))</f>
        <v>-8</v>
      </c>
      <c r="AP1826" s="268">
        <f t="shared" ref="AP1826" si="1487">IF(ISBLANK(P1828)=TRUE,"",IF(AH1826=1,P1825,-P1828))</f>
        <v>10</v>
      </c>
      <c r="AQ1826" s="268">
        <f t="shared" ref="AQ1826" si="1488">IF(ISBLANK(Q1828)=TRUE,"",IF(AI1826=1,Q1825,-Q1828))</f>
        <v>-10</v>
      </c>
      <c r="AR1826" s="268" t="str">
        <f t="shared" ref="AR1826" si="1489">IF(ISBLANK(R1828)=TRUE,"",IF(AJ1826=1,R1825,-R1828))</f>
        <v/>
      </c>
      <c r="AS1826" s="268" t="str">
        <f t="shared" ref="AS1826" si="1490">IF(ISBLANK(S1828)=TRUE,"",IF(AK1826=1,S1825,-S1828))</f>
        <v/>
      </c>
      <c r="AT1826" s="268" t="str">
        <f t="shared" ref="AT1826" si="1491">IF(ISBLANK(T1828)=TRUE,"",IF(AL1826=1,T1825,-T1828))</f>
        <v/>
      </c>
      <c r="AZ1826" s="269" t="s">
        <v>18</v>
      </c>
      <c r="BA1826" s="269">
        <v>2</v>
      </c>
    </row>
    <row r="1827" spans="1:53" ht="39.950000000000003" customHeight="1">
      <c r="C1827" s="223"/>
      <c r="D1827" s="223"/>
      <c r="E1827" s="264" t="s">
        <v>35</v>
      </c>
      <c r="F1827" s="265" t="str">
        <f>VLOOKUP(CONCATENATE(A1823,1),'zoznam zapasov'!$A$6:$K$160,9,0)</f>
        <v>So</v>
      </c>
      <c r="G1827" s="263"/>
      <c r="H1827" s="263"/>
      <c r="I1827" s="263"/>
      <c r="J1827" s="263"/>
      <c r="K1827" s="263"/>
      <c r="L1827" s="263"/>
      <c r="M1827" s="263"/>
      <c r="N1827" s="263"/>
      <c r="O1827" s="263"/>
      <c r="P1827" s="263"/>
      <c r="Q1827" s="263"/>
      <c r="R1827" s="263"/>
      <c r="S1827" s="263"/>
      <c r="T1827" s="263"/>
      <c r="U1827" s="263"/>
      <c r="V1827" s="263"/>
      <c r="W1827" s="267"/>
      <c r="X1827" s="263"/>
      <c r="AZ1827" s="269" t="s">
        <v>38</v>
      </c>
      <c r="BA1827" s="269">
        <v>3</v>
      </c>
    </row>
    <row r="1828" spans="1:53" ht="39.950000000000003" customHeight="1">
      <c r="A1828" s="252" t="str">
        <f>CONCATENATE(A1823,2)</f>
        <v>MIXP142</v>
      </c>
      <c r="B1828" s="252" t="str">
        <f>VLOOKUP(A1828,'KO KODY SPOLU'!$A$3:$B$189,2,0)</f>
        <v>IVANČO / HURBANOVÁ</v>
      </c>
      <c r="C1828" s="223"/>
      <c r="D1828" s="223"/>
      <c r="E1828" s="264" t="s">
        <v>28</v>
      </c>
      <c r="F1828" s="270" t="str">
        <f>VLOOKUP(CONCATENATE(A1823,1),'zoznam zapasov'!$A$6:$K$160,10,0)</f>
        <v>14.25</v>
      </c>
      <c r="G1828" s="508"/>
      <c r="H1828" s="319"/>
      <c r="I1828" s="487" t="str">
        <f>IF(ISERROR(VLOOKUP(B1828,vylosovanie!$N$75:$Q$191,3,0))=TRUE," ",VLOOKUP(B1828,vylosovanie!$N$75:$Q$191,3,0))</f>
        <v>IVANČO Félix</v>
      </c>
      <c r="J1828" s="488"/>
      <c r="K1828" s="488"/>
      <c r="L1828" s="488"/>
      <c r="M1828" s="263"/>
      <c r="N1828" s="489">
        <v>5</v>
      </c>
      <c r="O1828" s="489">
        <v>8</v>
      </c>
      <c r="P1828" s="489">
        <v>12</v>
      </c>
      <c r="Q1828" s="489">
        <v>10</v>
      </c>
      <c r="R1828" s="489"/>
      <c r="S1828" s="491"/>
      <c r="T1828" s="491"/>
      <c r="U1828" s="263"/>
      <c r="V1828" s="493">
        <f>IF(SUM(AF1825:AL1826)=0,"",SUM(AF1826:AL1826))</f>
        <v>1</v>
      </c>
      <c r="W1828" s="267"/>
      <c r="X1828" s="263"/>
      <c r="AZ1828" s="269" t="s">
        <v>39</v>
      </c>
      <c r="BA1828" s="269">
        <v>4</v>
      </c>
    </row>
    <row r="1829" spans="1:53" ht="39.950000000000003" customHeight="1">
      <c r="C1829" s="223"/>
      <c r="D1829" s="223"/>
      <c r="E1829" s="271"/>
      <c r="F1829" s="272"/>
      <c r="G1829" s="509"/>
      <c r="H1829" s="319"/>
      <c r="I1829" s="487" t="str">
        <f>IF(ISERROR(VLOOKUP(B1828,vylosovanie!$N$75:$Q$191,3,0))=TRUE," ",VLOOKUP(B1828,vylosovanie!$N$75:$Q$191,4,0))</f>
        <v>HURBANOVÁ Isabella</v>
      </c>
      <c r="J1829" s="488"/>
      <c r="K1829" s="488"/>
      <c r="L1829" s="488"/>
      <c r="M1829" s="263"/>
      <c r="N1829" s="490"/>
      <c r="O1829" s="490"/>
      <c r="P1829" s="490"/>
      <c r="Q1829" s="490"/>
      <c r="R1829" s="490"/>
      <c r="S1829" s="492"/>
      <c r="T1829" s="492"/>
      <c r="U1829" s="263"/>
      <c r="V1829" s="493"/>
      <c r="W1829" s="267"/>
      <c r="X1829" s="263"/>
      <c r="AZ1829" s="269" t="s">
        <v>40</v>
      </c>
      <c r="BA1829" s="269">
        <v>5</v>
      </c>
    </row>
    <row r="1830" spans="1:53" ht="39.950000000000003" customHeight="1">
      <c r="C1830" s="223"/>
      <c r="D1830" s="223"/>
      <c r="E1830" s="264" t="s">
        <v>66</v>
      </c>
      <c r="F1830" s="265" t="s">
        <v>316</v>
      </c>
      <c r="G1830" s="263"/>
      <c r="H1830" s="263"/>
      <c r="I1830" s="263"/>
      <c r="J1830" s="263"/>
      <c r="K1830" s="263"/>
      <c r="L1830" s="263"/>
      <c r="M1830" s="263"/>
      <c r="N1830" s="263"/>
      <c r="O1830" s="263"/>
      <c r="P1830" s="263"/>
      <c r="Q1830" s="263"/>
      <c r="R1830" s="263"/>
      <c r="S1830" s="263"/>
      <c r="T1830" s="263"/>
      <c r="U1830" s="263"/>
      <c r="V1830" s="263"/>
      <c r="W1830" s="267"/>
      <c r="X1830" s="263"/>
      <c r="AZ1830" s="269" t="s">
        <v>41</v>
      </c>
      <c r="BA1830" s="269">
        <v>6</v>
      </c>
    </row>
    <row r="1831" spans="1:53" ht="39.950000000000003" customHeight="1">
      <c r="C1831" s="223"/>
      <c r="D1831" s="223"/>
      <c r="E1831" s="271"/>
      <c r="F1831" s="272"/>
      <c r="G1831" s="263"/>
      <c r="H1831" s="263"/>
      <c r="I1831" s="263" t="s">
        <v>32</v>
      </c>
      <c r="J1831" s="263"/>
      <c r="K1831" s="263"/>
      <c r="L1831" s="263"/>
      <c r="M1831" s="263"/>
      <c r="N1831" s="273"/>
      <c r="O1831" s="266"/>
      <c r="P1831" s="266" t="s">
        <v>34</v>
      </c>
      <c r="Q1831" s="266"/>
      <c r="R1831" s="266"/>
      <c r="S1831" s="266"/>
      <c r="T1831" s="266"/>
      <c r="U1831" s="263"/>
      <c r="V1831" s="263"/>
      <c r="W1831" s="267"/>
      <c r="X1831" s="263"/>
      <c r="AZ1831" s="269" t="s">
        <v>42</v>
      </c>
      <c r="BA1831" s="269">
        <v>7</v>
      </c>
    </row>
    <row r="1832" spans="1:53" ht="39.950000000000003" customHeight="1">
      <c r="E1832" s="264" t="s">
        <v>26</v>
      </c>
      <c r="F1832" s="265" t="s">
        <v>128</v>
      </c>
      <c r="G1832" s="263"/>
      <c r="H1832" s="263"/>
      <c r="I1832" s="486"/>
      <c r="J1832" s="486"/>
      <c r="K1832" s="486"/>
      <c r="L1832" s="486"/>
      <c r="M1832" s="263"/>
      <c r="N1832" s="483" t="str">
        <f>IF(V1825&gt;V1828,I1825,IF(V1828&gt;V1825,I1828,""))</f>
        <v>MAKÚCH Damian</v>
      </c>
      <c r="O1832" s="494"/>
      <c r="P1832" s="494"/>
      <c r="Q1832" s="494"/>
      <c r="R1832" s="494"/>
      <c r="S1832" s="495"/>
      <c r="T1832" s="263"/>
      <c r="U1832" s="263"/>
      <c r="V1832" s="263"/>
      <c r="W1832" s="267"/>
      <c r="X1832" s="263"/>
      <c r="AZ1832" s="269" t="s">
        <v>43</v>
      </c>
      <c r="BA1832" s="269">
        <v>8</v>
      </c>
    </row>
    <row r="1833" spans="1:53" ht="39.950000000000003" customHeight="1">
      <c r="E1833" s="271"/>
      <c r="F1833" s="272"/>
      <c r="G1833" s="263"/>
      <c r="H1833" s="263"/>
      <c r="I1833" s="486"/>
      <c r="J1833" s="486"/>
      <c r="K1833" s="486"/>
      <c r="L1833" s="486"/>
      <c r="M1833" s="263"/>
      <c r="N1833" s="483" t="str">
        <f>IF(V1825&gt;V1828,I1826,IF(V1828&gt;V1825,I1829,""))</f>
        <v>GALČÍKOVÁ Sára</v>
      </c>
      <c r="O1833" s="494"/>
      <c r="P1833" s="494"/>
      <c r="Q1833" s="494"/>
      <c r="R1833" s="494"/>
      <c r="S1833" s="495"/>
      <c r="T1833" s="263"/>
      <c r="U1833" s="263"/>
      <c r="V1833" s="263"/>
      <c r="W1833" s="267"/>
      <c r="X1833" s="263"/>
    </row>
    <row r="1834" spans="1:53" ht="39.950000000000003" customHeight="1">
      <c r="E1834" s="264" t="s">
        <v>27</v>
      </c>
      <c r="F1834" s="274" t="s">
        <v>353</v>
      </c>
      <c r="G1834" s="263"/>
      <c r="H1834" s="263"/>
      <c r="I1834" s="263"/>
      <c r="J1834" s="263"/>
      <c r="K1834" s="263"/>
      <c r="L1834" s="263"/>
      <c r="M1834" s="263"/>
      <c r="N1834" s="263"/>
      <c r="O1834" s="263"/>
      <c r="P1834" s="263"/>
      <c r="Q1834" s="263"/>
      <c r="R1834" s="263"/>
      <c r="S1834" s="263"/>
      <c r="T1834" s="263"/>
      <c r="U1834" s="263"/>
      <c r="V1834" s="263"/>
      <c r="W1834" s="267"/>
      <c r="X1834" s="263"/>
    </row>
    <row r="1835" spans="1:53" ht="39.950000000000003" customHeight="1">
      <c r="E1835" s="271"/>
      <c r="F1835" s="272"/>
      <c r="G1835" s="263"/>
      <c r="H1835" s="263" t="s">
        <v>33</v>
      </c>
      <c r="I1835" s="263"/>
      <c r="J1835" s="263"/>
      <c r="K1835" s="263"/>
      <c r="L1835" s="263"/>
      <c r="M1835" s="263"/>
      <c r="N1835" s="263"/>
      <c r="O1835" s="263"/>
      <c r="P1835" s="263"/>
      <c r="Q1835" s="263"/>
      <c r="R1835" s="263"/>
      <c r="S1835" s="263"/>
      <c r="T1835" s="263"/>
      <c r="U1835" s="263"/>
      <c r="V1835" s="263"/>
      <c r="W1835" s="267"/>
      <c r="X1835" s="263"/>
    </row>
    <row r="1836" spans="1:53" ht="39.950000000000003" customHeight="1">
      <c r="E1836" s="271"/>
      <c r="F1836" s="272"/>
      <c r="G1836" s="263"/>
      <c r="H1836" s="263"/>
      <c r="I1836" s="263"/>
      <c r="J1836" s="263"/>
      <c r="K1836" s="263"/>
      <c r="L1836" s="263"/>
      <c r="M1836" s="263"/>
      <c r="N1836" s="263"/>
      <c r="O1836" s="263"/>
      <c r="P1836" s="263"/>
      <c r="Q1836" s="263"/>
      <c r="R1836" s="263"/>
      <c r="S1836" s="263"/>
      <c r="T1836" s="263"/>
      <c r="U1836" s="263"/>
      <c r="V1836" s="263"/>
      <c r="W1836" s="267"/>
      <c r="X1836" s="263"/>
    </row>
    <row r="1837" spans="1:53" ht="39.950000000000003" customHeight="1">
      <c r="E1837" s="271"/>
      <c r="F1837" s="272"/>
      <c r="G1837" s="263"/>
      <c r="H1837" s="263"/>
      <c r="I1837" s="496" t="str">
        <f>I1825</f>
        <v>MAKÚCH Damian</v>
      </c>
      <c r="J1837" s="496"/>
      <c r="K1837" s="496"/>
      <c r="L1837" s="496"/>
      <c r="M1837" s="263"/>
      <c r="N1837" s="263"/>
      <c r="P1837" s="496" t="str">
        <f>I1828</f>
        <v>IVANČO Félix</v>
      </c>
      <c r="Q1837" s="496"/>
      <c r="R1837" s="496"/>
      <c r="S1837" s="496"/>
      <c r="T1837" s="497"/>
      <c r="U1837" s="497"/>
      <c r="V1837" s="263"/>
      <c r="W1837" s="267"/>
      <c r="X1837" s="263"/>
    </row>
    <row r="1838" spans="1:53" ht="39.950000000000003" customHeight="1">
      <c r="E1838" s="271"/>
      <c r="F1838" s="272"/>
      <c r="G1838" s="263"/>
      <c r="H1838" s="263"/>
      <c r="I1838" s="496" t="str">
        <f>I1826</f>
        <v>GALČÍKOVÁ Sára</v>
      </c>
      <c r="J1838" s="496"/>
      <c r="K1838" s="496"/>
      <c r="L1838" s="496"/>
      <c r="M1838" s="263"/>
      <c r="N1838" s="263"/>
      <c r="O1838" s="263"/>
      <c r="P1838" s="496" t="str">
        <f>I1829</f>
        <v>HURBANOVÁ Isabella</v>
      </c>
      <c r="Q1838" s="496"/>
      <c r="R1838" s="496"/>
      <c r="S1838" s="496"/>
      <c r="T1838" s="497"/>
      <c r="U1838" s="497"/>
      <c r="V1838" s="263"/>
      <c r="W1838" s="267"/>
      <c r="X1838" s="263"/>
    </row>
    <row r="1839" spans="1:53" ht="69.95" customHeight="1">
      <c r="E1839" s="264"/>
      <c r="F1839" s="265"/>
      <c r="G1839" s="263"/>
      <c r="H1839" s="275" t="s">
        <v>36</v>
      </c>
      <c r="I1839" s="483"/>
      <c r="J1839" s="484"/>
      <c r="K1839" s="484"/>
      <c r="L1839" s="485"/>
      <c r="M1839" s="263"/>
      <c r="N1839" s="263"/>
      <c r="O1839" s="275" t="s">
        <v>36</v>
      </c>
      <c r="P1839" s="486"/>
      <c r="Q1839" s="486"/>
      <c r="R1839" s="486"/>
      <c r="S1839" s="486"/>
      <c r="T1839" s="486"/>
      <c r="U1839" s="486"/>
      <c r="V1839" s="263"/>
      <c r="W1839" s="267"/>
      <c r="X1839" s="263"/>
    </row>
    <row r="1840" spans="1:53" ht="69.95" customHeight="1">
      <c r="E1840" s="264"/>
      <c r="F1840" s="265"/>
      <c r="G1840" s="263"/>
      <c r="H1840" s="275" t="s">
        <v>37</v>
      </c>
      <c r="I1840" s="486"/>
      <c r="J1840" s="486"/>
      <c r="K1840" s="486"/>
      <c r="L1840" s="486"/>
      <c r="M1840" s="263"/>
      <c r="N1840" s="263"/>
      <c r="O1840" s="275" t="s">
        <v>37</v>
      </c>
      <c r="P1840" s="486"/>
      <c r="Q1840" s="486"/>
      <c r="R1840" s="486"/>
      <c r="S1840" s="486"/>
      <c r="T1840" s="486"/>
      <c r="U1840" s="486"/>
      <c r="V1840" s="263"/>
      <c r="W1840" s="267"/>
      <c r="X1840" s="263"/>
    </row>
    <row r="1841" spans="1:53" ht="69.95" customHeight="1">
      <c r="E1841" s="264"/>
      <c r="F1841" s="265"/>
      <c r="G1841" s="263"/>
      <c r="H1841" s="275" t="s">
        <v>37</v>
      </c>
      <c r="I1841" s="486"/>
      <c r="J1841" s="486"/>
      <c r="K1841" s="486"/>
      <c r="L1841" s="486"/>
      <c r="M1841" s="263"/>
      <c r="N1841" s="263"/>
      <c r="O1841" s="275" t="s">
        <v>37</v>
      </c>
      <c r="P1841" s="486"/>
      <c r="Q1841" s="486"/>
      <c r="R1841" s="486"/>
      <c r="S1841" s="486"/>
      <c r="T1841" s="486"/>
      <c r="U1841" s="486"/>
      <c r="V1841" s="263"/>
      <c r="W1841" s="267"/>
      <c r="X1841" s="263"/>
    </row>
    <row r="1842" spans="1:53" ht="39.950000000000003" customHeight="1" thickBot="1">
      <c r="E1842" s="276"/>
      <c r="F1842" s="277"/>
      <c r="G1842" s="278"/>
      <c r="H1842" s="278"/>
      <c r="I1842" s="278"/>
      <c r="J1842" s="278"/>
      <c r="K1842" s="278"/>
      <c r="L1842" s="278"/>
      <c r="M1842" s="278"/>
      <c r="N1842" s="278"/>
      <c r="O1842" s="278"/>
      <c r="P1842" s="278"/>
      <c r="Q1842" s="278"/>
      <c r="R1842" s="278"/>
      <c r="S1842" s="278"/>
      <c r="T1842" s="279"/>
      <c r="U1842" s="279"/>
      <c r="V1842" s="279"/>
      <c r="W1842" s="280"/>
      <c r="X1842" s="263"/>
    </row>
    <row r="1843" spans="1:53" ht="62.25" thickBot="1"/>
    <row r="1844" spans="1:53" ht="39.950000000000003" customHeight="1">
      <c r="A1844" s="252" t="str">
        <f>CONCATENATE(F1851,F1853,F1855)</f>
        <v>MIXP15</v>
      </c>
      <c r="C1844" s="223"/>
      <c r="D1844" s="223"/>
      <c r="E1844" s="259" t="s">
        <v>70</v>
      </c>
      <c r="F1844" s="260">
        <f>VLOOKUP(CONCATENATE(A1844,1),'zoznam zapasov'!$A$6:$K$160,3,0)</f>
        <v>92</v>
      </c>
      <c r="G1844" s="261"/>
      <c r="H1844" s="322" t="s">
        <v>501</v>
      </c>
      <c r="I1844" s="261"/>
      <c r="J1844" s="261"/>
      <c r="K1844" s="261"/>
      <c r="L1844" s="261"/>
      <c r="M1844" s="261"/>
      <c r="N1844" s="261"/>
      <c r="O1844" s="261"/>
      <c r="P1844" s="261"/>
      <c r="Q1844" s="261"/>
      <c r="R1844" s="261"/>
      <c r="S1844" s="261"/>
      <c r="T1844" s="261"/>
      <c r="U1844" s="261"/>
      <c r="V1844" s="261" t="s">
        <v>30</v>
      </c>
      <c r="W1844" s="262"/>
      <c r="X1844" s="263"/>
      <c r="Y1844" s="253" t="str">
        <f>A1846</f>
        <v>MIXP151</v>
      </c>
      <c r="Z1844" s="258" t="str">
        <f>CONCATENATE(V1846,":",V1849)</f>
        <v>3:1</v>
      </c>
      <c r="AA1844" s="255" t="str">
        <f>IF(V1846&gt;V1849,B1846,IF(V1849&gt;V1846,B1849,""))</f>
        <v>MIKLUŠČÁK / LACENOVÁ</v>
      </c>
      <c r="AB1844" s="255" t="str">
        <f>IF(V1846&gt;V1849,AV1844,IF(V1849&gt;V1846,AV1845,""))</f>
        <v xml:space="preserve">3:1 ( 9,-7,13,8,,, ) </v>
      </c>
      <c r="AC1844" s="255" t="str">
        <f>CONCATENATE("Tbl.: ",F1846,"   H: ",F1849,"   D: ",F1848)</f>
        <v>Tbl.: 8   H: 14.25   D: So</v>
      </c>
      <c r="AE1844" s="253" t="s">
        <v>11</v>
      </c>
      <c r="AV1844" s="256" t="str">
        <f>CONCATENATE(V1846,":",V1849, " ( ",AN1846,",",AO1846,",",AP1846,",",AQ1846,",",AR1846,",",AS1846,",",AT1846," ) ")</f>
        <v xml:space="preserve">3:1 ( 9,-7,13,8,,, ) </v>
      </c>
    </row>
    <row r="1845" spans="1:53" ht="39.950000000000003" customHeight="1">
      <c r="C1845" s="223"/>
      <c r="D1845" s="223"/>
      <c r="E1845" s="264"/>
      <c r="F1845" s="265"/>
      <c r="G1845" s="321" t="s">
        <v>500</v>
      </c>
      <c r="H1845" s="323" t="s">
        <v>502</v>
      </c>
      <c r="I1845" s="263"/>
      <c r="J1845" s="263"/>
      <c r="K1845" s="263"/>
      <c r="L1845" s="263"/>
      <c r="M1845" s="263"/>
      <c r="N1845" s="266">
        <v>1</v>
      </c>
      <c r="O1845" s="266">
        <v>2</v>
      </c>
      <c r="P1845" s="266">
        <v>3</v>
      </c>
      <c r="Q1845" s="266">
        <v>4</v>
      </c>
      <c r="R1845" s="266">
        <v>5</v>
      </c>
      <c r="S1845" s="266">
        <v>6</v>
      </c>
      <c r="T1845" s="266">
        <v>7</v>
      </c>
      <c r="U1845" s="263"/>
      <c r="V1845" s="266" t="s">
        <v>31</v>
      </c>
      <c r="W1845" s="267"/>
      <c r="X1845" s="263"/>
      <c r="AE1845" s="253" t="s">
        <v>68</v>
      </c>
      <c r="AV1845" s="256" t="str">
        <f>CONCATENATE(V1849,":",V1846, " ( ",AN1847,",",AO1847,",",AP1847,",",AQ1847,",",AR1847,",",AS1847,",",AT1847," ) ")</f>
        <v xml:space="preserve">1:3 ( -9,7,-13,-8,,, ) </v>
      </c>
    </row>
    <row r="1846" spans="1:53" ht="39.950000000000003" customHeight="1">
      <c r="A1846" s="252" t="str">
        <f>CONCATENATE(A1844,1)</f>
        <v>MIXP151</v>
      </c>
      <c r="B1846" s="252" t="str">
        <f>VLOOKUP(A1846,'KO KODY SPOLU'!$A$3:$B$189,2,0)</f>
        <v>MIKLUŠČÁK / LACENOVÁ</v>
      </c>
      <c r="C1846" s="223"/>
      <c r="D1846" s="223"/>
      <c r="E1846" s="264" t="s">
        <v>29</v>
      </c>
      <c r="F1846" s="265">
        <f>VLOOKUP(CONCATENATE(A1844,1),'zoznam zapasov'!$A$6:$K$160,11,0)</f>
        <v>8</v>
      </c>
      <c r="G1846" s="508"/>
      <c r="H1846" s="319"/>
      <c r="I1846" s="487" t="str">
        <f>IF(ISERROR(VLOOKUP(B1846,vylosovanie!$N$75:$Q$191,3,0))=TRUE," ",VLOOKUP(B1846,vylosovanie!$N$75:$Q$191,3,0))</f>
        <v>MIKLUŠČÁK Benjamín</v>
      </c>
      <c r="J1846" s="488"/>
      <c r="K1846" s="488"/>
      <c r="L1846" s="488"/>
      <c r="M1846" s="263"/>
      <c r="N1846" s="489">
        <v>11</v>
      </c>
      <c r="O1846" s="489">
        <v>7</v>
      </c>
      <c r="P1846" s="489">
        <v>15</v>
      </c>
      <c r="Q1846" s="489">
        <v>11</v>
      </c>
      <c r="R1846" s="489"/>
      <c r="S1846" s="491"/>
      <c r="T1846" s="491"/>
      <c r="U1846" s="263"/>
      <c r="V1846" s="493">
        <f>IF(SUM(AF1846:AL1847)=0,"",SUM(AF1846:AL1846))</f>
        <v>3</v>
      </c>
      <c r="W1846" s="267"/>
      <c r="X1846" s="263"/>
      <c r="AE1846" s="253" t="str">
        <f>VLOOKUP(I1846,vylosovanie!$F$8:$L$190,7,0)</f>
        <v>CH13</v>
      </c>
      <c r="AF1846" s="268">
        <f>IF(N1846&gt;N1849,1,0)</f>
        <v>1</v>
      </c>
      <c r="AG1846" s="268">
        <f t="shared" ref="AG1846" si="1492">IF(O1846&gt;O1849,1,0)</f>
        <v>0</v>
      </c>
      <c r="AH1846" s="268">
        <f t="shared" ref="AH1846" si="1493">IF(P1846&gt;P1849,1,0)</f>
        <v>1</v>
      </c>
      <c r="AI1846" s="268">
        <f t="shared" ref="AI1846" si="1494">IF(Q1846&gt;Q1849,1,0)</f>
        <v>1</v>
      </c>
      <c r="AJ1846" s="268">
        <f t="shared" ref="AJ1846" si="1495">IF(R1846&gt;R1849,1,0)</f>
        <v>0</v>
      </c>
      <c r="AK1846" s="268">
        <f t="shared" ref="AK1846" si="1496">IF(S1846&gt;S1849,1,0)</f>
        <v>0</v>
      </c>
      <c r="AL1846" s="268">
        <f t="shared" ref="AL1846" si="1497">IF(T1846&gt;T1849,1,0)</f>
        <v>0</v>
      </c>
      <c r="AN1846" s="268">
        <f t="shared" ref="AN1846" si="1498">IF(ISBLANK(N1846)=TRUE,"",IF(AF1846=1,N1849,-N1846))</f>
        <v>9</v>
      </c>
      <c r="AO1846" s="268">
        <f t="shared" ref="AO1846" si="1499">IF(ISBLANK(O1846)=TRUE,"",IF(AG1846=1,O1849,-O1846))</f>
        <v>-7</v>
      </c>
      <c r="AP1846" s="268">
        <f t="shared" ref="AP1846" si="1500">IF(ISBLANK(P1846)=TRUE,"",IF(AH1846=1,P1849,-P1846))</f>
        <v>13</v>
      </c>
      <c r="AQ1846" s="268">
        <f t="shared" ref="AQ1846" si="1501">IF(ISBLANK(Q1846)=TRUE,"",IF(AI1846=1,Q1849,-Q1846))</f>
        <v>8</v>
      </c>
      <c r="AR1846" s="268" t="str">
        <f t="shared" ref="AR1846" si="1502">IF(ISBLANK(R1846)=TRUE,"",IF(AJ1846=1,R1849,-R1846))</f>
        <v/>
      </c>
      <c r="AS1846" s="268" t="str">
        <f t="shared" ref="AS1846" si="1503">IF(ISBLANK(S1846)=TRUE,"",IF(AK1846=1,S1849,-S1846))</f>
        <v/>
      </c>
      <c r="AT1846" s="268" t="str">
        <f t="shared" ref="AT1846" si="1504">IF(ISBLANK(T1846)=TRUE,"",IF(AL1846=1,T1849,-T1846))</f>
        <v/>
      </c>
      <c r="AZ1846" s="269" t="s">
        <v>12</v>
      </c>
      <c r="BA1846" s="269">
        <v>1</v>
      </c>
    </row>
    <row r="1847" spans="1:53" ht="39.950000000000003" customHeight="1">
      <c r="C1847" s="223"/>
      <c r="D1847" s="223"/>
      <c r="E1847" s="264"/>
      <c r="F1847" s="265"/>
      <c r="G1847" s="509"/>
      <c r="H1847" s="319"/>
      <c r="I1847" s="487" t="str">
        <f>IF(ISERROR(VLOOKUP(B1846,vylosovanie!$N$75:$Q$191,3,0))=TRUE," ",VLOOKUP(B1846,vylosovanie!$N$75:$Q$191,4,0))</f>
        <v>LACENOVÁ Renáta</v>
      </c>
      <c r="J1847" s="488"/>
      <c r="K1847" s="488"/>
      <c r="L1847" s="488"/>
      <c r="M1847" s="263"/>
      <c r="N1847" s="490"/>
      <c r="O1847" s="490"/>
      <c r="P1847" s="490"/>
      <c r="Q1847" s="490"/>
      <c r="R1847" s="490"/>
      <c r="S1847" s="492"/>
      <c r="T1847" s="492"/>
      <c r="U1847" s="263"/>
      <c r="V1847" s="493"/>
      <c r="W1847" s="267"/>
      <c r="X1847" s="263"/>
      <c r="AE1847" s="253" t="str">
        <f>VLOOKUP(I1849,vylosovanie!$F$8:$L$190,7,0)</f>
        <v>CH43</v>
      </c>
      <c r="AF1847" s="268">
        <f>IF(N1849&gt;N1846,1,0)</f>
        <v>0</v>
      </c>
      <c r="AG1847" s="268">
        <f t="shared" ref="AG1847" si="1505">IF(O1849&gt;O1846,1,0)</f>
        <v>1</v>
      </c>
      <c r="AH1847" s="268">
        <f t="shared" ref="AH1847" si="1506">IF(P1849&gt;P1846,1,0)</f>
        <v>0</v>
      </c>
      <c r="AI1847" s="268">
        <f t="shared" ref="AI1847" si="1507">IF(Q1849&gt;Q1846,1,0)</f>
        <v>0</v>
      </c>
      <c r="AJ1847" s="268">
        <f t="shared" ref="AJ1847" si="1508">IF(R1849&gt;R1846,1,0)</f>
        <v>0</v>
      </c>
      <c r="AK1847" s="268">
        <f t="shared" ref="AK1847" si="1509">IF(S1849&gt;S1846,1,0)</f>
        <v>0</v>
      </c>
      <c r="AL1847" s="268">
        <f t="shared" ref="AL1847" si="1510">IF(T1849&gt;T1846,1,0)</f>
        <v>0</v>
      </c>
      <c r="AN1847" s="268">
        <f t="shared" ref="AN1847" si="1511">IF(ISBLANK(N1849)=TRUE,"",IF(AF1847=1,N1846,-N1849))</f>
        <v>-9</v>
      </c>
      <c r="AO1847" s="268">
        <f t="shared" ref="AO1847" si="1512">IF(ISBLANK(O1849)=TRUE,"",IF(AG1847=1,O1846,-O1849))</f>
        <v>7</v>
      </c>
      <c r="AP1847" s="268">
        <f t="shared" ref="AP1847" si="1513">IF(ISBLANK(P1849)=TRUE,"",IF(AH1847=1,P1846,-P1849))</f>
        <v>-13</v>
      </c>
      <c r="AQ1847" s="268">
        <f t="shared" ref="AQ1847" si="1514">IF(ISBLANK(Q1849)=TRUE,"",IF(AI1847=1,Q1846,-Q1849))</f>
        <v>-8</v>
      </c>
      <c r="AR1847" s="268" t="str">
        <f t="shared" ref="AR1847" si="1515">IF(ISBLANK(R1849)=TRUE,"",IF(AJ1847=1,R1846,-R1849))</f>
        <v/>
      </c>
      <c r="AS1847" s="268" t="str">
        <f t="shared" ref="AS1847" si="1516">IF(ISBLANK(S1849)=TRUE,"",IF(AK1847=1,S1846,-S1849))</f>
        <v/>
      </c>
      <c r="AT1847" s="268" t="str">
        <f t="shared" ref="AT1847" si="1517">IF(ISBLANK(T1849)=TRUE,"",IF(AL1847=1,T1846,-T1849))</f>
        <v/>
      </c>
      <c r="AZ1847" s="269" t="s">
        <v>18</v>
      </c>
      <c r="BA1847" s="269">
        <v>2</v>
      </c>
    </row>
    <row r="1848" spans="1:53" ht="39.950000000000003" customHeight="1">
      <c r="C1848" s="223"/>
      <c r="D1848" s="223"/>
      <c r="E1848" s="264" t="s">
        <v>35</v>
      </c>
      <c r="F1848" s="265" t="str">
        <f>VLOOKUP(CONCATENATE(A1844,1),'zoznam zapasov'!$A$6:$K$160,9,0)</f>
        <v>So</v>
      </c>
      <c r="G1848" s="263"/>
      <c r="H1848" s="263"/>
      <c r="I1848" s="263"/>
      <c r="J1848" s="263"/>
      <c r="K1848" s="263"/>
      <c r="L1848" s="263"/>
      <c r="M1848" s="263"/>
      <c r="N1848" s="263"/>
      <c r="O1848" s="263"/>
      <c r="P1848" s="263"/>
      <c r="Q1848" s="263"/>
      <c r="R1848" s="263"/>
      <c r="S1848" s="263"/>
      <c r="T1848" s="263"/>
      <c r="U1848" s="263"/>
      <c r="V1848" s="263"/>
      <c r="W1848" s="267"/>
      <c r="X1848" s="263"/>
      <c r="AZ1848" s="269" t="s">
        <v>38</v>
      </c>
      <c r="BA1848" s="269">
        <v>3</v>
      </c>
    </row>
    <row r="1849" spans="1:53" ht="39.950000000000003" customHeight="1">
      <c r="A1849" s="252" t="str">
        <f>CONCATENATE(A1844,2)</f>
        <v>MIXP152</v>
      </c>
      <c r="B1849" s="252" t="str">
        <f>VLOOKUP(A1849,'KO KODY SPOLU'!$A$3:$B$189,2,0)</f>
        <v>DELINČAK / PISARČIKOVÁ</v>
      </c>
      <c r="C1849" s="223"/>
      <c r="D1849" s="223"/>
      <c r="E1849" s="264" t="s">
        <v>28</v>
      </c>
      <c r="F1849" s="270" t="str">
        <f>VLOOKUP(CONCATENATE(A1844,1),'zoznam zapasov'!$A$6:$K$160,10,0)</f>
        <v>14.25</v>
      </c>
      <c r="G1849" s="508"/>
      <c r="H1849" s="319"/>
      <c r="I1849" s="487" t="str">
        <f>IF(ISERROR(VLOOKUP(B1849,vylosovanie!$N$75:$Q$191,3,0))=TRUE," ",VLOOKUP(B1849,vylosovanie!$N$75:$Q$191,3,0))</f>
        <v>DELINČAK Filip</v>
      </c>
      <c r="J1849" s="488"/>
      <c r="K1849" s="488"/>
      <c r="L1849" s="488"/>
      <c r="M1849" s="263"/>
      <c r="N1849" s="489">
        <v>9</v>
      </c>
      <c r="O1849" s="489">
        <v>11</v>
      </c>
      <c r="P1849" s="489">
        <v>13</v>
      </c>
      <c r="Q1849" s="489">
        <v>8</v>
      </c>
      <c r="R1849" s="489"/>
      <c r="S1849" s="491"/>
      <c r="T1849" s="491"/>
      <c r="U1849" s="263"/>
      <c r="V1849" s="493">
        <f>IF(SUM(AF1846:AL1847)=0,"",SUM(AF1847:AL1847))</f>
        <v>1</v>
      </c>
      <c r="W1849" s="267"/>
      <c r="X1849" s="263"/>
      <c r="AZ1849" s="269" t="s">
        <v>39</v>
      </c>
      <c r="BA1849" s="269">
        <v>4</v>
      </c>
    </row>
    <row r="1850" spans="1:53" ht="39.950000000000003" customHeight="1">
      <c r="C1850" s="223"/>
      <c r="D1850" s="223"/>
      <c r="E1850" s="271"/>
      <c r="F1850" s="272"/>
      <c r="G1850" s="509"/>
      <c r="H1850" s="319"/>
      <c r="I1850" s="487" t="str">
        <f>IF(ISERROR(VLOOKUP(B1849,vylosovanie!$N$75:$Q$191,3,0))=TRUE," ",VLOOKUP(B1849,vylosovanie!$N$75:$Q$191,4,0))</f>
        <v>PISARČIKOVÁ Frederika</v>
      </c>
      <c r="J1850" s="488"/>
      <c r="K1850" s="488"/>
      <c r="L1850" s="488"/>
      <c r="M1850" s="263"/>
      <c r="N1850" s="490"/>
      <c r="O1850" s="490"/>
      <c r="P1850" s="490"/>
      <c r="Q1850" s="490"/>
      <c r="R1850" s="490"/>
      <c r="S1850" s="492"/>
      <c r="T1850" s="492"/>
      <c r="U1850" s="263"/>
      <c r="V1850" s="493"/>
      <c r="W1850" s="267"/>
      <c r="X1850" s="263"/>
      <c r="AZ1850" s="269" t="s">
        <v>40</v>
      </c>
      <c r="BA1850" s="269">
        <v>5</v>
      </c>
    </row>
    <row r="1851" spans="1:53" ht="39.950000000000003" customHeight="1">
      <c r="C1851" s="223"/>
      <c r="D1851" s="223"/>
      <c r="E1851" s="264" t="s">
        <v>66</v>
      </c>
      <c r="F1851" s="265" t="s">
        <v>316</v>
      </c>
      <c r="G1851" s="263"/>
      <c r="H1851" s="263"/>
      <c r="I1851" s="263"/>
      <c r="J1851" s="263"/>
      <c r="K1851" s="263"/>
      <c r="L1851" s="263"/>
      <c r="M1851" s="263"/>
      <c r="N1851" s="263"/>
      <c r="O1851" s="263"/>
      <c r="P1851" s="263"/>
      <c r="Q1851" s="263"/>
      <c r="R1851" s="263"/>
      <c r="S1851" s="263"/>
      <c r="T1851" s="263"/>
      <c r="U1851" s="263"/>
      <c r="V1851" s="263"/>
      <c r="W1851" s="267"/>
      <c r="X1851" s="263"/>
      <c r="AZ1851" s="269" t="s">
        <v>41</v>
      </c>
      <c r="BA1851" s="269">
        <v>6</v>
      </c>
    </row>
    <row r="1852" spans="1:53" ht="39.950000000000003" customHeight="1">
      <c r="C1852" s="223"/>
      <c r="D1852" s="223"/>
      <c r="E1852" s="271"/>
      <c r="F1852" s="272"/>
      <c r="G1852" s="263"/>
      <c r="H1852" s="263"/>
      <c r="I1852" s="263" t="s">
        <v>32</v>
      </c>
      <c r="J1852" s="263"/>
      <c r="K1852" s="263"/>
      <c r="L1852" s="263"/>
      <c r="M1852" s="263"/>
      <c r="N1852" s="273"/>
      <c r="O1852" s="266"/>
      <c r="P1852" s="266" t="s">
        <v>34</v>
      </c>
      <c r="Q1852" s="266"/>
      <c r="R1852" s="266"/>
      <c r="S1852" s="266"/>
      <c r="T1852" s="266"/>
      <c r="U1852" s="263"/>
      <c r="V1852" s="263"/>
      <c r="W1852" s="267"/>
      <c r="X1852" s="263"/>
      <c r="AZ1852" s="269" t="s">
        <v>42</v>
      </c>
      <c r="BA1852" s="269">
        <v>7</v>
      </c>
    </row>
    <row r="1853" spans="1:53" ht="39.950000000000003" customHeight="1">
      <c r="E1853" s="264" t="s">
        <v>26</v>
      </c>
      <c r="F1853" s="265" t="s">
        <v>128</v>
      </c>
      <c r="G1853" s="263"/>
      <c r="H1853" s="263"/>
      <c r="I1853" s="486"/>
      <c r="J1853" s="486"/>
      <c r="K1853" s="486"/>
      <c r="L1853" s="486"/>
      <c r="M1853" s="263"/>
      <c r="N1853" s="483" t="str">
        <f>IF(V1846&gt;V1849,I1846,IF(V1849&gt;V1846,I1849,""))</f>
        <v>MIKLUŠČÁK Benjamín</v>
      </c>
      <c r="O1853" s="494"/>
      <c r="P1853" s="494"/>
      <c r="Q1853" s="494"/>
      <c r="R1853" s="494"/>
      <c r="S1853" s="495"/>
      <c r="T1853" s="263"/>
      <c r="U1853" s="263"/>
      <c r="V1853" s="263"/>
      <c r="W1853" s="267"/>
      <c r="X1853" s="263"/>
      <c r="AZ1853" s="269" t="s">
        <v>43</v>
      </c>
      <c r="BA1853" s="269">
        <v>8</v>
      </c>
    </row>
    <row r="1854" spans="1:53" ht="39.950000000000003" customHeight="1">
      <c r="E1854" s="271"/>
      <c r="F1854" s="272"/>
      <c r="G1854" s="263"/>
      <c r="H1854" s="263"/>
      <c r="I1854" s="486"/>
      <c r="J1854" s="486"/>
      <c r="K1854" s="486"/>
      <c r="L1854" s="486"/>
      <c r="M1854" s="263"/>
      <c r="N1854" s="483" t="str">
        <f>IF(V1846&gt;V1849,I1847,IF(V1849&gt;V1846,I1850,""))</f>
        <v>LACENOVÁ Renáta</v>
      </c>
      <c r="O1854" s="494"/>
      <c r="P1854" s="494"/>
      <c r="Q1854" s="494"/>
      <c r="R1854" s="494"/>
      <c r="S1854" s="495"/>
      <c r="T1854" s="263"/>
      <c r="U1854" s="263"/>
      <c r="V1854" s="263"/>
      <c r="W1854" s="267"/>
      <c r="X1854" s="263"/>
    </row>
    <row r="1855" spans="1:53" ht="39.950000000000003" customHeight="1">
      <c r="E1855" s="264" t="s">
        <v>27</v>
      </c>
      <c r="F1855" s="274" t="s">
        <v>354</v>
      </c>
      <c r="G1855" s="263"/>
      <c r="H1855" s="263"/>
      <c r="I1855" s="263"/>
      <c r="J1855" s="263"/>
      <c r="K1855" s="263"/>
      <c r="L1855" s="263"/>
      <c r="M1855" s="263"/>
      <c r="N1855" s="263"/>
      <c r="O1855" s="263"/>
      <c r="P1855" s="263"/>
      <c r="Q1855" s="263"/>
      <c r="R1855" s="263"/>
      <c r="S1855" s="263"/>
      <c r="T1855" s="263"/>
      <c r="U1855" s="263"/>
      <c r="V1855" s="263"/>
      <c r="W1855" s="267"/>
      <c r="X1855" s="263"/>
    </row>
    <row r="1856" spans="1:53" ht="39.950000000000003" customHeight="1">
      <c r="E1856" s="271"/>
      <c r="F1856" s="272"/>
      <c r="G1856" s="263"/>
      <c r="H1856" s="263" t="s">
        <v>33</v>
      </c>
      <c r="I1856" s="263"/>
      <c r="J1856" s="263"/>
      <c r="K1856" s="263"/>
      <c r="L1856" s="263"/>
      <c r="M1856" s="263"/>
      <c r="N1856" s="263"/>
      <c r="O1856" s="263"/>
      <c r="P1856" s="263"/>
      <c r="Q1856" s="263"/>
      <c r="R1856" s="263"/>
      <c r="S1856" s="263"/>
      <c r="T1856" s="263"/>
      <c r="U1856" s="263"/>
      <c r="V1856" s="263"/>
      <c r="W1856" s="267"/>
      <c r="X1856" s="263"/>
    </row>
    <row r="1857" spans="1:53" ht="39.950000000000003" customHeight="1">
      <c r="E1857" s="271"/>
      <c r="F1857" s="272"/>
      <c r="G1857" s="263"/>
      <c r="H1857" s="263"/>
      <c r="I1857" s="263"/>
      <c r="J1857" s="263"/>
      <c r="K1857" s="263"/>
      <c r="L1857" s="263"/>
      <c r="M1857" s="263"/>
      <c r="N1857" s="263"/>
      <c r="O1857" s="263"/>
      <c r="P1857" s="263"/>
      <c r="Q1857" s="263"/>
      <c r="R1857" s="263"/>
      <c r="S1857" s="263"/>
      <c r="T1857" s="263"/>
      <c r="U1857" s="263"/>
      <c r="V1857" s="263"/>
      <c r="W1857" s="267"/>
      <c r="X1857" s="263"/>
    </row>
    <row r="1858" spans="1:53" ht="39.950000000000003" customHeight="1">
      <c r="E1858" s="271"/>
      <c r="F1858" s="272"/>
      <c r="G1858" s="263"/>
      <c r="H1858" s="263"/>
      <c r="I1858" s="496" t="str">
        <f>I1846</f>
        <v>MIKLUŠČÁK Benjamín</v>
      </c>
      <c r="J1858" s="496"/>
      <c r="K1858" s="496"/>
      <c r="L1858" s="496"/>
      <c r="M1858" s="263"/>
      <c r="N1858" s="263"/>
      <c r="P1858" s="496" t="str">
        <f>I1849</f>
        <v>DELINČAK Filip</v>
      </c>
      <c r="Q1858" s="496"/>
      <c r="R1858" s="496"/>
      <c r="S1858" s="496"/>
      <c r="T1858" s="497"/>
      <c r="U1858" s="497"/>
      <c r="V1858" s="263"/>
      <c r="W1858" s="267"/>
      <c r="X1858" s="263"/>
    </row>
    <row r="1859" spans="1:53" ht="39.950000000000003" customHeight="1">
      <c r="E1859" s="271"/>
      <c r="F1859" s="272"/>
      <c r="G1859" s="263"/>
      <c r="H1859" s="263"/>
      <c r="I1859" s="496" t="str">
        <f>I1847</f>
        <v>LACENOVÁ Renáta</v>
      </c>
      <c r="J1859" s="496"/>
      <c r="K1859" s="496"/>
      <c r="L1859" s="496"/>
      <c r="M1859" s="263"/>
      <c r="N1859" s="263"/>
      <c r="O1859" s="263"/>
      <c r="P1859" s="496" t="str">
        <f>I1850</f>
        <v>PISARČIKOVÁ Frederika</v>
      </c>
      <c r="Q1859" s="496"/>
      <c r="R1859" s="496"/>
      <c r="S1859" s="496"/>
      <c r="T1859" s="497"/>
      <c r="U1859" s="497"/>
      <c r="V1859" s="263"/>
      <c r="W1859" s="267"/>
      <c r="X1859" s="263"/>
    </row>
    <row r="1860" spans="1:53" ht="69.95" customHeight="1">
      <c r="E1860" s="264"/>
      <c r="F1860" s="265"/>
      <c r="G1860" s="263"/>
      <c r="H1860" s="275" t="s">
        <v>36</v>
      </c>
      <c r="I1860" s="483"/>
      <c r="J1860" s="484"/>
      <c r="K1860" s="484"/>
      <c r="L1860" s="485"/>
      <c r="M1860" s="263"/>
      <c r="N1860" s="263"/>
      <c r="O1860" s="275" t="s">
        <v>36</v>
      </c>
      <c r="P1860" s="486"/>
      <c r="Q1860" s="486"/>
      <c r="R1860" s="486"/>
      <c r="S1860" s="486"/>
      <c r="T1860" s="486"/>
      <c r="U1860" s="486"/>
      <c r="V1860" s="263"/>
      <c r="W1860" s="267"/>
      <c r="X1860" s="263"/>
    </row>
    <row r="1861" spans="1:53" ht="69.95" customHeight="1">
      <c r="E1861" s="264"/>
      <c r="F1861" s="265"/>
      <c r="G1861" s="263"/>
      <c r="H1861" s="275" t="s">
        <v>37</v>
      </c>
      <c r="I1861" s="486"/>
      <c r="J1861" s="486"/>
      <c r="K1861" s="486"/>
      <c r="L1861" s="486"/>
      <c r="M1861" s="263"/>
      <c r="N1861" s="263"/>
      <c r="O1861" s="275" t="s">
        <v>37</v>
      </c>
      <c r="P1861" s="486"/>
      <c r="Q1861" s="486"/>
      <c r="R1861" s="486"/>
      <c r="S1861" s="486"/>
      <c r="T1861" s="486"/>
      <c r="U1861" s="486"/>
      <c r="V1861" s="263"/>
      <c r="W1861" s="267"/>
      <c r="X1861" s="263"/>
    </row>
    <row r="1862" spans="1:53" ht="69.95" customHeight="1">
      <c r="E1862" s="264"/>
      <c r="F1862" s="265"/>
      <c r="G1862" s="263"/>
      <c r="H1862" s="275" t="s">
        <v>37</v>
      </c>
      <c r="I1862" s="486"/>
      <c r="J1862" s="486"/>
      <c r="K1862" s="486"/>
      <c r="L1862" s="486"/>
      <c r="M1862" s="263"/>
      <c r="N1862" s="263"/>
      <c r="O1862" s="275" t="s">
        <v>37</v>
      </c>
      <c r="P1862" s="486"/>
      <c r="Q1862" s="486"/>
      <c r="R1862" s="486"/>
      <c r="S1862" s="486"/>
      <c r="T1862" s="486"/>
      <c r="U1862" s="486"/>
      <c r="V1862" s="263"/>
      <c r="W1862" s="267"/>
      <c r="X1862" s="263"/>
    </row>
    <row r="1863" spans="1:53" ht="39.950000000000003" customHeight="1" thickBot="1">
      <c r="E1863" s="276"/>
      <c r="F1863" s="277"/>
      <c r="G1863" s="278"/>
      <c r="H1863" s="278"/>
      <c r="I1863" s="278"/>
      <c r="J1863" s="278"/>
      <c r="K1863" s="278"/>
      <c r="L1863" s="278"/>
      <c r="M1863" s="278"/>
      <c r="N1863" s="278"/>
      <c r="O1863" s="278"/>
      <c r="P1863" s="278"/>
      <c r="Q1863" s="278"/>
      <c r="R1863" s="278"/>
      <c r="S1863" s="278"/>
      <c r="T1863" s="279"/>
      <c r="U1863" s="279"/>
      <c r="V1863" s="279"/>
      <c r="W1863" s="280"/>
      <c r="X1863" s="263"/>
    </row>
    <row r="1864" spans="1:53" ht="62.25" thickBot="1"/>
    <row r="1865" spans="1:53" ht="39.950000000000003" customHeight="1">
      <c r="A1865" s="252" t="str">
        <f>CONCATENATE(F1872,F1874,F1876)</f>
        <v>MIXP17</v>
      </c>
      <c r="C1865" s="223"/>
      <c r="D1865" s="223"/>
      <c r="E1865" s="259" t="s">
        <v>70</v>
      </c>
      <c r="F1865" s="260">
        <f>VLOOKUP(CONCATENATE(A1865,1),'zoznam zapasov'!$A$6:$K$160,3,0)</f>
        <v>93</v>
      </c>
      <c r="G1865" s="261"/>
      <c r="H1865" s="322" t="s">
        <v>501</v>
      </c>
      <c r="I1865" s="261"/>
      <c r="J1865" s="261"/>
      <c r="K1865" s="261"/>
      <c r="L1865" s="261"/>
      <c r="M1865" s="261"/>
      <c r="N1865" s="261"/>
      <c r="O1865" s="261"/>
      <c r="P1865" s="261"/>
      <c r="Q1865" s="261"/>
      <c r="R1865" s="261"/>
      <c r="S1865" s="261"/>
      <c r="T1865" s="261"/>
      <c r="U1865" s="261"/>
      <c r="V1865" s="261" t="s">
        <v>30</v>
      </c>
      <c r="W1865" s="262"/>
      <c r="X1865" s="263"/>
      <c r="Y1865" s="253" t="str">
        <f>A1867</f>
        <v>MIXP171</v>
      </c>
      <c r="Z1865" s="258" t="str">
        <f>CONCATENATE(V1867,":",V1870)</f>
        <v>3:0</v>
      </c>
      <c r="AA1865" s="255" t="str">
        <f>IF(V1867&gt;V1870,B1867,IF(V1870&gt;V1867,B1870,""))</f>
        <v>KYSEL / LABOŠOVÁ</v>
      </c>
      <c r="AB1865" s="255" t="str">
        <f>IF(V1867&gt;V1870,AV1865,IF(V1870&gt;V1867,AV1866,""))</f>
        <v xml:space="preserve">3:0 ( 7,9,3,,,, ) </v>
      </c>
      <c r="AC1865" s="255" t="str">
        <f>CONCATENATE("Tbl.: ",F1867,"   H: ",F1870,"   D: ",F1869)</f>
        <v>Tbl.: 1   H: 14.55   D: So</v>
      </c>
      <c r="AE1865" s="253" t="s">
        <v>11</v>
      </c>
      <c r="AV1865" s="256" t="str">
        <f>CONCATENATE(V1867,":",V1870, " ( ",AN1867,",",AO1867,",",AP1867,",",AQ1867,",",AR1867,",",AS1867,",",AT1867," ) ")</f>
        <v xml:space="preserve">3:0 ( 7,9,3,,,, ) </v>
      </c>
    </row>
    <row r="1866" spans="1:53" ht="39.950000000000003" customHeight="1">
      <c r="C1866" s="223"/>
      <c r="D1866" s="223"/>
      <c r="E1866" s="264"/>
      <c r="F1866" s="265"/>
      <c r="G1866" s="321" t="s">
        <v>500</v>
      </c>
      <c r="H1866" s="323" t="s">
        <v>502</v>
      </c>
      <c r="I1866" s="263"/>
      <c r="J1866" s="263"/>
      <c r="K1866" s="263"/>
      <c r="L1866" s="263"/>
      <c r="M1866" s="263"/>
      <c r="N1866" s="266">
        <v>1</v>
      </c>
      <c r="O1866" s="266">
        <v>2</v>
      </c>
      <c r="P1866" s="266">
        <v>3</v>
      </c>
      <c r="Q1866" s="266">
        <v>4</v>
      </c>
      <c r="R1866" s="266">
        <v>5</v>
      </c>
      <c r="S1866" s="266">
        <v>6</v>
      </c>
      <c r="T1866" s="266">
        <v>7</v>
      </c>
      <c r="U1866" s="263"/>
      <c r="V1866" s="266" t="s">
        <v>31</v>
      </c>
      <c r="W1866" s="267"/>
      <c r="X1866" s="263"/>
      <c r="AE1866" s="253" t="s">
        <v>68</v>
      </c>
      <c r="AV1866" s="256" t="str">
        <f>CONCATENATE(V1870,":",V1867, " ( ",AN1868,",",AO1868,",",AP1868,",",AQ1868,",",AR1868,",",AS1868,",",AT1868," ) ")</f>
        <v xml:space="preserve">0:3 ( -7,-9,-3,,,, ) </v>
      </c>
    </row>
    <row r="1867" spans="1:53" ht="39.950000000000003" customHeight="1">
      <c r="A1867" s="252" t="str">
        <f>CONCATENATE(A1865,1)</f>
        <v>MIXP171</v>
      </c>
      <c r="B1867" s="252" t="str">
        <f>VLOOKUP(A1867,'KO KODY SPOLU'!$A$3:$B$189,2,0)</f>
        <v>KYSEL / LABOŠOVÁ</v>
      </c>
      <c r="C1867" s="223"/>
      <c r="D1867" s="223"/>
      <c r="E1867" s="264" t="s">
        <v>29</v>
      </c>
      <c r="F1867" s="265">
        <f>VLOOKUP(CONCATENATE(A1865,1),'zoznam zapasov'!$A$6:$K$160,11,0)</f>
        <v>1</v>
      </c>
      <c r="G1867" s="508"/>
      <c r="H1867" s="319"/>
      <c r="I1867" s="487" t="str">
        <f>IF(ISERROR(VLOOKUP(B1867,vylosovanie!$N$75:$Q$191,3,0))=TRUE," ",VLOOKUP(B1867,vylosovanie!$N$75:$Q$191,3,0))</f>
        <v>KYSEL Martin</v>
      </c>
      <c r="J1867" s="488"/>
      <c r="K1867" s="488"/>
      <c r="L1867" s="488"/>
      <c r="M1867" s="263"/>
      <c r="N1867" s="489">
        <v>11</v>
      </c>
      <c r="O1867" s="489">
        <v>11</v>
      </c>
      <c r="P1867" s="489">
        <v>11</v>
      </c>
      <c r="Q1867" s="489"/>
      <c r="R1867" s="489"/>
      <c r="S1867" s="491"/>
      <c r="T1867" s="491"/>
      <c r="U1867" s="263"/>
      <c r="V1867" s="493">
        <f>IF(SUM(AF1867:AL1868)=0,"",SUM(AF1867:AL1867))</f>
        <v>3</v>
      </c>
      <c r="W1867" s="267"/>
      <c r="X1867" s="263"/>
      <c r="AE1867" s="253" t="str">
        <f>VLOOKUP(I1867,vylosovanie!$F$8:$L$190,7,0)</f>
        <v>CH21</v>
      </c>
      <c r="AF1867" s="268">
        <f>IF(N1867&gt;N1870,1,0)</f>
        <v>1</v>
      </c>
      <c r="AG1867" s="268">
        <f t="shared" ref="AG1867" si="1518">IF(O1867&gt;O1870,1,0)</f>
        <v>1</v>
      </c>
      <c r="AH1867" s="268">
        <f t="shared" ref="AH1867" si="1519">IF(P1867&gt;P1870,1,0)</f>
        <v>1</v>
      </c>
      <c r="AI1867" s="268">
        <f t="shared" ref="AI1867" si="1520">IF(Q1867&gt;Q1870,1,0)</f>
        <v>0</v>
      </c>
      <c r="AJ1867" s="268">
        <f t="shared" ref="AJ1867" si="1521">IF(R1867&gt;R1870,1,0)</f>
        <v>0</v>
      </c>
      <c r="AK1867" s="268">
        <f t="shared" ref="AK1867" si="1522">IF(S1867&gt;S1870,1,0)</f>
        <v>0</v>
      </c>
      <c r="AL1867" s="268">
        <f t="shared" ref="AL1867" si="1523">IF(T1867&gt;T1870,1,0)</f>
        <v>0</v>
      </c>
      <c r="AN1867" s="268">
        <f t="shared" ref="AN1867" si="1524">IF(ISBLANK(N1867)=TRUE,"",IF(AF1867=1,N1870,-N1867))</f>
        <v>7</v>
      </c>
      <c r="AO1867" s="268">
        <f t="shared" ref="AO1867" si="1525">IF(ISBLANK(O1867)=TRUE,"",IF(AG1867=1,O1870,-O1867))</f>
        <v>9</v>
      </c>
      <c r="AP1867" s="268">
        <f t="shared" ref="AP1867" si="1526">IF(ISBLANK(P1867)=TRUE,"",IF(AH1867=1,P1870,-P1867))</f>
        <v>3</v>
      </c>
      <c r="AQ1867" s="268" t="str">
        <f t="shared" ref="AQ1867" si="1527">IF(ISBLANK(Q1867)=TRUE,"",IF(AI1867=1,Q1870,-Q1867))</f>
        <v/>
      </c>
      <c r="AR1867" s="268" t="str">
        <f t="shared" ref="AR1867" si="1528">IF(ISBLANK(R1867)=TRUE,"",IF(AJ1867=1,R1870,-R1867))</f>
        <v/>
      </c>
      <c r="AS1867" s="268" t="str">
        <f t="shared" ref="AS1867" si="1529">IF(ISBLANK(S1867)=TRUE,"",IF(AK1867=1,S1870,-S1867))</f>
        <v/>
      </c>
      <c r="AT1867" s="268" t="str">
        <f t="shared" ref="AT1867" si="1530">IF(ISBLANK(T1867)=TRUE,"",IF(AL1867=1,T1870,-T1867))</f>
        <v/>
      </c>
      <c r="AZ1867" s="269" t="s">
        <v>12</v>
      </c>
      <c r="BA1867" s="269">
        <v>1</v>
      </c>
    </row>
    <row r="1868" spans="1:53" ht="39.950000000000003" customHeight="1">
      <c r="C1868" s="223"/>
      <c r="D1868" s="223"/>
      <c r="E1868" s="264"/>
      <c r="F1868" s="265"/>
      <c r="G1868" s="509"/>
      <c r="H1868" s="319"/>
      <c r="I1868" s="487" t="str">
        <f>IF(ISERROR(VLOOKUP(B1867,vylosovanie!$N$75:$Q$191,3,0))=TRUE," ",VLOOKUP(B1867,vylosovanie!$N$75:$Q$191,4,0))</f>
        <v>LABOŠOVÁ Ema</v>
      </c>
      <c r="J1868" s="488"/>
      <c r="K1868" s="488"/>
      <c r="L1868" s="488"/>
      <c r="M1868" s="263"/>
      <c r="N1868" s="490"/>
      <c r="O1868" s="490"/>
      <c r="P1868" s="490"/>
      <c r="Q1868" s="490"/>
      <c r="R1868" s="490"/>
      <c r="S1868" s="492"/>
      <c r="T1868" s="492"/>
      <c r="U1868" s="263"/>
      <c r="V1868" s="493"/>
      <c r="W1868" s="267"/>
      <c r="X1868" s="263"/>
      <c r="AE1868" s="253" t="str">
        <f>VLOOKUP(I1870,vylosovanie!$F$8:$L$190,7,0)</f>
        <v>CH62</v>
      </c>
      <c r="AF1868" s="268">
        <f>IF(N1870&gt;N1867,1,0)</f>
        <v>0</v>
      </c>
      <c r="AG1868" s="268">
        <f t="shared" ref="AG1868" si="1531">IF(O1870&gt;O1867,1,0)</f>
        <v>0</v>
      </c>
      <c r="AH1868" s="268">
        <f t="shared" ref="AH1868" si="1532">IF(P1870&gt;P1867,1,0)</f>
        <v>0</v>
      </c>
      <c r="AI1868" s="268">
        <f t="shared" ref="AI1868" si="1533">IF(Q1870&gt;Q1867,1,0)</f>
        <v>0</v>
      </c>
      <c r="AJ1868" s="268">
        <f t="shared" ref="AJ1868" si="1534">IF(R1870&gt;R1867,1,0)</f>
        <v>0</v>
      </c>
      <c r="AK1868" s="268">
        <f t="shared" ref="AK1868" si="1535">IF(S1870&gt;S1867,1,0)</f>
        <v>0</v>
      </c>
      <c r="AL1868" s="268">
        <f t="shared" ref="AL1868" si="1536">IF(T1870&gt;T1867,1,0)</f>
        <v>0</v>
      </c>
      <c r="AN1868" s="268">
        <f t="shared" ref="AN1868" si="1537">IF(ISBLANK(N1870)=TRUE,"",IF(AF1868=1,N1867,-N1870))</f>
        <v>-7</v>
      </c>
      <c r="AO1868" s="268">
        <f t="shared" ref="AO1868" si="1538">IF(ISBLANK(O1870)=TRUE,"",IF(AG1868=1,O1867,-O1870))</f>
        <v>-9</v>
      </c>
      <c r="AP1868" s="268">
        <f t="shared" ref="AP1868" si="1539">IF(ISBLANK(P1870)=TRUE,"",IF(AH1868=1,P1867,-P1870))</f>
        <v>-3</v>
      </c>
      <c r="AQ1868" s="268" t="str">
        <f t="shared" ref="AQ1868" si="1540">IF(ISBLANK(Q1870)=TRUE,"",IF(AI1868=1,Q1867,-Q1870))</f>
        <v/>
      </c>
      <c r="AR1868" s="268" t="str">
        <f t="shared" ref="AR1868" si="1541">IF(ISBLANK(R1870)=TRUE,"",IF(AJ1868=1,R1867,-R1870))</f>
        <v/>
      </c>
      <c r="AS1868" s="268" t="str">
        <f t="shared" ref="AS1868" si="1542">IF(ISBLANK(S1870)=TRUE,"",IF(AK1868=1,S1867,-S1870))</f>
        <v/>
      </c>
      <c r="AT1868" s="268" t="str">
        <f t="shared" ref="AT1868" si="1543">IF(ISBLANK(T1870)=TRUE,"",IF(AL1868=1,T1867,-T1870))</f>
        <v/>
      </c>
      <c r="AZ1868" s="269" t="s">
        <v>18</v>
      </c>
      <c r="BA1868" s="269">
        <v>2</v>
      </c>
    </row>
    <row r="1869" spans="1:53" ht="39.950000000000003" customHeight="1">
      <c r="C1869" s="223"/>
      <c r="D1869" s="223"/>
      <c r="E1869" s="264" t="s">
        <v>35</v>
      </c>
      <c r="F1869" s="265" t="str">
        <f>VLOOKUP(CONCATENATE(A1865,1),'zoznam zapasov'!$A$6:$K$160,9,0)</f>
        <v>So</v>
      </c>
      <c r="G1869" s="263"/>
      <c r="H1869" s="263"/>
      <c r="I1869" s="263"/>
      <c r="J1869" s="263"/>
      <c r="K1869" s="263"/>
      <c r="L1869" s="263"/>
      <c r="M1869" s="263"/>
      <c r="N1869" s="263"/>
      <c r="O1869" s="263"/>
      <c r="P1869" s="263"/>
      <c r="Q1869" s="263"/>
      <c r="R1869" s="263"/>
      <c r="S1869" s="263"/>
      <c r="T1869" s="263"/>
      <c r="U1869" s="263"/>
      <c r="V1869" s="263"/>
      <c r="W1869" s="267"/>
      <c r="X1869" s="263"/>
      <c r="AZ1869" s="269" t="s">
        <v>38</v>
      </c>
      <c r="BA1869" s="269">
        <v>3</v>
      </c>
    </row>
    <row r="1870" spans="1:53" ht="39.950000000000003" customHeight="1">
      <c r="A1870" s="252" t="str">
        <f>CONCATENATE(A1865,2)</f>
        <v>MIXP172</v>
      </c>
      <c r="B1870" s="252" t="str">
        <f>VLOOKUP(A1870,'KO KODY SPOLU'!$A$3:$B$189,2,0)</f>
        <v>MILAN / GAŠPARÍKOVÁ</v>
      </c>
      <c r="C1870" s="223"/>
      <c r="D1870" s="223"/>
      <c r="E1870" s="264" t="s">
        <v>28</v>
      </c>
      <c r="F1870" s="270" t="str">
        <f>VLOOKUP(CONCATENATE(A1865,1),'zoznam zapasov'!$A$6:$K$160,10,0)</f>
        <v>14.55</v>
      </c>
      <c r="G1870" s="508"/>
      <c r="H1870" s="319"/>
      <c r="I1870" s="487" t="str">
        <f>IF(ISERROR(VLOOKUP(B1870,vylosovanie!$N$75:$Q$191,3,0))=TRUE," ",VLOOKUP(B1870,vylosovanie!$N$75:$Q$191,3,0))</f>
        <v>MILAN Martin</v>
      </c>
      <c r="J1870" s="488"/>
      <c r="K1870" s="488"/>
      <c r="L1870" s="488"/>
      <c r="M1870" s="263"/>
      <c r="N1870" s="489">
        <v>7</v>
      </c>
      <c r="O1870" s="489">
        <v>9</v>
      </c>
      <c r="P1870" s="489">
        <v>3</v>
      </c>
      <c r="Q1870" s="489"/>
      <c r="R1870" s="489"/>
      <c r="S1870" s="491"/>
      <c r="T1870" s="491"/>
      <c r="U1870" s="263"/>
      <c r="V1870" s="493">
        <f>IF(SUM(AF1867:AL1868)=0,"",SUM(AF1868:AL1868))</f>
        <v>0</v>
      </c>
      <c r="W1870" s="267"/>
      <c r="X1870" s="263"/>
      <c r="AZ1870" s="269" t="s">
        <v>39</v>
      </c>
      <c r="BA1870" s="269">
        <v>4</v>
      </c>
    </row>
    <row r="1871" spans="1:53" ht="39.950000000000003" customHeight="1">
      <c r="C1871" s="223"/>
      <c r="D1871" s="223"/>
      <c r="E1871" s="271"/>
      <c r="F1871" s="272"/>
      <c r="G1871" s="509"/>
      <c r="H1871" s="319"/>
      <c r="I1871" s="487" t="str">
        <f>IF(ISERROR(VLOOKUP(B1870,vylosovanie!$N$75:$Q$191,3,0))=TRUE," ",VLOOKUP(B1870,vylosovanie!$N$75:$Q$191,4,0))</f>
        <v>GAŠPARÍKOVÁ Lucia</v>
      </c>
      <c r="J1871" s="488"/>
      <c r="K1871" s="488"/>
      <c r="L1871" s="488"/>
      <c r="M1871" s="263"/>
      <c r="N1871" s="490"/>
      <c r="O1871" s="490"/>
      <c r="P1871" s="490"/>
      <c r="Q1871" s="490"/>
      <c r="R1871" s="490"/>
      <c r="S1871" s="492"/>
      <c r="T1871" s="492"/>
      <c r="U1871" s="263"/>
      <c r="V1871" s="493"/>
      <c r="W1871" s="267"/>
      <c r="X1871" s="263"/>
      <c r="AZ1871" s="269" t="s">
        <v>40</v>
      </c>
      <c r="BA1871" s="269">
        <v>5</v>
      </c>
    </row>
    <row r="1872" spans="1:53" ht="39.950000000000003" customHeight="1">
      <c r="C1872" s="223"/>
      <c r="D1872" s="223"/>
      <c r="E1872" s="264" t="s">
        <v>66</v>
      </c>
      <c r="F1872" s="265" t="s">
        <v>316</v>
      </c>
      <c r="G1872" s="263"/>
      <c r="H1872" s="263"/>
      <c r="I1872" s="263"/>
      <c r="J1872" s="263"/>
      <c r="K1872" s="263"/>
      <c r="L1872" s="263"/>
      <c r="M1872" s="263"/>
      <c r="N1872" s="263"/>
      <c r="O1872" s="263"/>
      <c r="P1872" s="263"/>
      <c r="Q1872" s="263"/>
      <c r="R1872" s="263"/>
      <c r="S1872" s="263"/>
      <c r="T1872" s="263"/>
      <c r="U1872" s="263"/>
      <c r="V1872" s="263"/>
      <c r="W1872" s="267"/>
      <c r="X1872" s="263"/>
      <c r="AZ1872" s="269" t="s">
        <v>41</v>
      </c>
      <c r="BA1872" s="269">
        <v>6</v>
      </c>
    </row>
    <row r="1873" spans="1:53" ht="39.950000000000003" customHeight="1">
      <c r="C1873" s="223"/>
      <c r="D1873" s="223"/>
      <c r="E1873" s="271"/>
      <c r="F1873" s="272"/>
      <c r="G1873" s="263"/>
      <c r="H1873" s="263"/>
      <c r="I1873" s="263" t="s">
        <v>32</v>
      </c>
      <c r="J1873" s="263"/>
      <c r="K1873" s="263"/>
      <c r="L1873" s="263"/>
      <c r="M1873" s="263"/>
      <c r="N1873" s="273"/>
      <c r="O1873" s="266"/>
      <c r="P1873" s="266" t="s">
        <v>34</v>
      </c>
      <c r="Q1873" s="266"/>
      <c r="R1873" s="266"/>
      <c r="S1873" s="266"/>
      <c r="T1873" s="266"/>
      <c r="U1873" s="263"/>
      <c r="V1873" s="263"/>
      <c r="W1873" s="267"/>
      <c r="X1873" s="263"/>
      <c r="AZ1873" s="269" t="s">
        <v>42</v>
      </c>
      <c r="BA1873" s="269">
        <v>7</v>
      </c>
    </row>
    <row r="1874" spans="1:53" ht="39.950000000000003" customHeight="1">
      <c r="E1874" s="264" t="s">
        <v>26</v>
      </c>
      <c r="F1874" s="265" t="s">
        <v>128</v>
      </c>
      <c r="G1874" s="263"/>
      <c r="H1874" s="263"/>
      <c r="I1874" s="486"/>
      <c r="J1874" s="486"/>
      <c r="K1874" s="486"/>
      <c r="L1874" s="486"/>
      <c r="M1874" s="263"/>
      <c r="N1874" s="483" t="str">
        <f>IF(V1867&gt;V1870,I1867,IF(V1870&gt;V1867,I1870,""))</f>
        <v>KYSEL Martin</v>
      </c>
      <c r="O1874" s="494"/>
      <c r="P1874" s="494"/>
      <c r="Q1874" s="494"/>
      <c r="R1874" s="494"/>
      <c r="S1874" s="495"/>
      <c r="T1874" s="263"/>
      <c r="U1874" s="263"/>
      <c r="V1874" s="263"/>
      <c r="W1874" s="267"/>
      <c r="X1874" s="263"/>
      <c r="AZ1874" s="269" t="s">
        <v>43</v>
      </c>
      <c r="BA1874" s="269">
        <v>8</v>
      </c>
    </row>
    <row r="1875" spans="1:53" ht="39.950000000000003" customHeight="1">
      <c r="E1875" s="271"/>
      <c r="F1875" s="272"/>
      <c r="G1875" s="263"/>
      <c r="H1875" s="263"/>
      <c r="I1875" s="486"/>
      <c r="J1875" s="486"/>
      <c r="K1875" s="486"/>
      <c r="L1875" s="486"/>
      <c r="M1875" s="263"/>
      <c r="N1875" s="483" t="str">
        <f>IF(V1867&gt;V1870,I1868,IF(V1870&gt;V1867,I1871,""))</f>
        <v>LABOŠOVÁ Ema</v>
      </c>
      <c r="O1875" s="494"/>
      <c r="P1875" s="494"/>
      <c r="Q1875" s="494"/>
      <c r="R1875" s="494"/>
      <c r="S1875" s="495"/>
      <c r="T1875" s="263"/>
      <c r="U1875" s="263"/>
      <c r="V1875" s="263"/>
      <c r="W1875" s="267"/>
      <c r="X1875" s="263"/>
    </row>
    <row r="1876" spans="1:53" ht="39.950000000000003" customHeight="1">
      <c r="E1876" s="264" t="s">
        <v>27</v>
      </c>
      <c r="F1876" s="274" t="s">
        <v>359</v>
      </c>
      <c r="G1876" s="263"/>
      <c r="H1876" s="263"/>
      <c r="I1876" s="263"/>
      <c r="J1876" s="263"/>
      <c r="K1876" s="263"/>
      <c r="L1876" s="263"/>
      <c r="M1876" s="263"/>
      <c r="N1876" s="263"/>
      <c r="O1876" s="263"/>
      <c r="P1876" s="263"/>
      <c r="Q1876" s="263"/>
      <c r="R1876" s="263"/>
      <c r="S1876" s="263"/>
      <c r="T1876" s="263"/>
      <c r="U1876" s="263"/>
      <c r="V1876" s="263"/>
      <c r="W1876" s="267"/>
      <c r="X1876" s="263"/>
    </row>
    <row r="1877" spans="1:53" ht="39.950000000000003" customHeight="1">
      <c r="E1877" s="271"/>
      <c r="F1877" s="272"/>
      <c r="G1877" s="263"/>
      <c r="H1877" s="263" t="s">
        <v>33</v>
      </c>
      <c r="I1877" s="263"/>
      <c r="J1877" s="263"/>
      <c r="K1877" s="263"/>
      <c r="L1877" s="263"/>
      <c r="M1877" s="263"/>
      <c r="N1877" s="263"/>
      <c r="O1877" s="263"/>
      <c r="P1877" s="263"/>
      <c r="Q1877" s="263"/>
      <c r="R1877" s="263"/>
      <c r="S1877" s="263"/>
      <c r="T1877" s="263"/>
      <c r="U1877" s="263"/>
      <c r="V1877" s="263"/>
      <c r="W1877" s="267"/>
      <c r="X1877" s="263"/>
    </row>
    <row r="1878" spans="1:53" ht="39.950000000000003" customHeight="1">
      <c r="E1878" s="271"/>
      <c r="F1878" s="272"/>
      <c r="G1878" s="263"/>
      <c r="H1878" s="263"/>
      <c r="I1878" s="263"/>
      <c r="J1878" s="263"/>
      <c r="K1878" s="263"/>
      <c r="L1878" s="263"/>
      <c r="M1878" s="263"/>
      <c r="N1878" s="263"/>
      <c r="O1878" s="263"/>
      <c r="P1878" s="263"/>
      <c r="Q1878" s="263"/>
      <c r="R1878" s="263"/>
      <c r="S1878" s="263"/>
      <c r="T1878" s="263"/>
      <c r="U1878" s="263"/>
      <c r="V1878" s="263"/>
      <c r="W1878" s="267"/>
      <c r="X1878" s="263"/>
    </row>
    <row r="1879" spans="1:53" ht="39.950000000000003" customHeight="1">
      <c r="E1879" s="271"/>
      <c r="F1879" s="272"/>
      <c r="G1879" s="263"/>
      <c r="H1879" s="263"/>
      <c r="I1879" s="496" t="str">
        <f>I1867</f>
        <v>KYSEL Martin</v>
      </c>
      <c r="J1879" s="496"/>
      <c r="K1879" s="496"/>
      <c r="L1879" s="496"/>
      <c r="M1879" s="263"/>
      <c r="N1879" s="263"/>
      <c r="P1879" s="496" t="str">
        <f>I1870</f>
        <v>MILAN Martin</v>
      </c>
      <c r="Q1879" s="496"/>
      <c r="R1879" s="496"/>
      <c r="S1879" s="496"/>
      <c r="T1879" s="497"/>
      <c r="U1879" s="497"/>
      <c r="V1879" s="263"/>
      <c r="W1879" s="267"/>
      <c r="X1879" s="263"/>
    </row>
    <row r="1880" spans="1:53" ht="39.950000000000003" customHeight="1">
      <c r="E1880" s="271"/>
      <c r="F1880" s="272"/>
      <c r="G1880" s="263"/>
      <c r="H1880" s="263"/>
      <c r="I1880" s="496" t="str">
        <f>I1868</f>
        <v>LABOŠOVÁ Ema</v>
      </c>
      <c r="J1880" s="496"/>
      <c r="K1880" s="496"/>
      <c r="L1880" s="496"/>
      <c r="M1880" s="263"/>
      <c r="N1880" s="263"/>
      <c r="O1880" s="263"/>
      <c r="P1880" s="496" t="str">
        <f>I1871</f>
        <v>GAŠPARÍKOVÁ Lucia</v>
      </c>
      <c r="Q1880" s="496"/>
      <c r="R1880" s="496"/>
      <c r="S1880" s="496"/>
      <c r="T1880" s="497"/>
      <c r="U1880" s="497"/>
      <c r="V1880" s="263"/>
      <c r="W1880" s="267"/>
      <c r="X1880" s="263"/>
    </row>
    <row r="1881" spans="1:53" ht="69.95" customHeight="1">
      <c r="E1881" s="264"/>
      <c r="F1881" s="265"/>
      <c r="G1881" s="263"/>
      <c r="H1881" s="275" t="s">
        <v>36</v>
      </c>
      <c r="I1881" s="483"/>
      <c r="J1881" s="484"/>
      <c r="K1881" s="484"/>
      <c r="L1881" s="485"/>
      <c r="M1881" s="263"/>
      <c r="N1881" s="263"/>
      <c r="O1881" s="275" t="s">
        <v>36</v>
      </c>
      <c r="P1881" s="486"/>
      <c r="Q1881" s="486"/>
      <c r="R1881" s="486"/>
      <c r="S1881" s="486"/>
      <c r="T1881" s="486"/>
      <c r="U1881" s="486"/>
      <c r="V1881" s="263"/>
      <c r="W1881" s="267"/>
      <c r="X1881" s="263"/>
    </row>
    <row r="1882" spans="1:53" ht="69.95" customHeight="1">
      <c r="E1882" s="264"/>
      <c r="F1882" s="265"/>
      <c r="G1882" s="263"/>
      <c r="H1882" s="275" t="s">
        <v>37</v>
      </c>
      <c r="I1882" s="486"/>
      <c r="J1882" s="486"/>
      <c r="K1882" s="486"/>
      <c r="L1882" s="486"/>
      <c r="M1882" s="263"/>
      <c r="N1882" s="263"/>
      <c r="O1882" s="275" t="s">
        <v>37</v>
      </c>
      <c r="P1882" s="486"/>
      <c r="Q1882" s="486"/>
      <c r="R1882" s="486"/>
      <c r="S1882" s="486"/>
      <c r="T1882" s="486"/>
      <c r="U1882" s="486"/>
      <c r="V1882" s="263"/>
      <c r="W1882" s="267"/>
      <c r="X1882" s="263"/>
    </row>
    <row r="1883" spans="1:53" ht="69.95" customHeight="1">
      <c r="E1883" s="264"/>
      <c r="F1883" s="265"/>
      <c r="G1883" s="263"/>
      <c r="H1883" s="275" t="s">
        <v>37</v>
      </c>
      <c r="I1883" s="486"/>
      <c r="J1883" s="486"/>
      <c r="K1883" s="486"/>
      <c r="L1883" s="486"/>
      <c r="M1883" s="263"/>
      <c r="N1883" s="263"/>
      <c r="O1883" s="275" t="s">
        <v>37</v>
      </c>
      <c r="P1883" s="486"/>
      <c r="Q1883" s="486"/>
      <c r="R1883" s="486"/>
      <c r="S1883" s="486"/>
      <c r="T1883" s="486"/>
      <c r="U1883" s="486"/>
      <c r="V1883" s="263"/>
      <c r="W1883" s="267"/>
      <c r="X1883" s="263"/>
    </row>
    <row r="1884" spans="1:53" ht="39.950000000000003" customHeight="1" thickBot="1">
      <c r="E1884" s="276"/>
      <c r="F1884" s="277"/>
      <c r="G1884" s="278"/>
      <c r="H1884" s="278"/>
      <c r="I1884" s="278"/>
      <c r="J1884" s="278"/>
      <c r="K1884" s="278"/>
      <c r="L1884" s="278"/>
      <c r="M1884" s="278"/>
      <c r="N1884" s="278"/>
      <c r="O1884" s="278"/>
      <c r="P1884" s="278"/>
      <c r="Q1884" s="278"/>
      <c r="R1884" s="278"/>
      <c r="S1884" s="278"/>
      <c r="T1884" s="279"/>
      <c r="U1884" s="279"/>
      <c r="V1884" s="279"/>
      <c r="W1884" s="280"/>
      <c r="X1884" s="263"/>
    </row>
    <row r="1885" spans="1:53" ht="62.25" thickBot="1"/>
    <row r="1886" spans="1:53" ht="39.950000000000003" customHeight="1">
      <c r="A1886" s="252" t="str">
        <f>CONCATENATE(F1893,F1895,F1897)</f>
        <v>MIXP18</v>
      </c>
      <c r="C1886" s="223"/>
      <c r="D1886" s="223"/>
      <c r="E1886" s="259" t="s">
        <v>70</v>
      </c>
      <c r="F1886" s="260">
        <f>VLOOKUP(CONCATENATE(A1886,1),'zoznam zapasov'!$A$6:$K$160,3,0)</f>
        <v>94</v>
      </c>
      <c r="G1886" s="261"/>
      <c r="H1886" s="322" t="s">
        <v>501</v>
      </c>
      <c r="I1886" s="261"/>
      <c r="J1886" s="261"/>
      <c r="K1886" s="261"/>
      <c r="L1886" s="261"/>
      <c r="M1886" s="261"/>
      <c r="N1886" s="261"/>
      <c r="O1886" s="261"/>
      <c r="P1886" s="261"/>
      <c r="Q1886" s="261"/>
      <c r="R1886" s="261"/>
      <c r="S1886" s="261"/>
      <c r="T1886" s="261"/>
      <c r="U1886" s="261"/>
      <c r="V1886" s="261" t="s">
        <v>30</v>
      </c>
      <c r="W1886" s="262"/>
      <c r="X1886" s="263"/>
      <c r="Y1886" s="253" t="str">
        <f>A1888</f>
        <v>MIXP181</v>
      </c>
      <c r="Z1886" s="258" t="str">
        <f>CONCATENATE(V1888,":",V1891)</f>
        <v>0:3</v>
      </c>
      <c r="AA1886" s="255" t="str">
        <f>IF(V1888&gt;V1891,B1888,IF(V1891&gt;V1888,B1891,""))</f>
        <v>HURKA / MAJERSKÁ</v>
      </c>
      <c r="AB1886" s="255" t="str">
        <f>IF(V1888&gt;V1891,AV1886,IF(V1891&gt;V1888,AV1887,""))</f>
        <v xml:space="preserve">3:0 ( 5,4,8,,,, ) </v>
      </c>
      <c r="AC1886" s="255" t="str">
        <f>CONCATENATE("Tbl.: ",F1888,"   H: ",F1891,"   D: ",F1890)</f>
        <v>Tbl.: 2   H: 14.55   D: So</v>
      </c>
      <c r="AE1886" s="253" t="s">
        <v>11</v>
      </c>
      <c r="AV1886" s="256" t="str">
        <f>CONCATENATE(V1888,":",V1891, " ( ",AN1888,",",AO1888,",",AP1888,",",AQ1888,",",AR1888,",",AS1888,",",AT1888," ) ")</f>
        <v xml:space="preserve">0:3 ( -5,-4,-8,,,, ) </v>
      </c>
    </row>
    <row r="1887" spans="1:53" ht="39.950000000000003" customHeight="1">
      <c r="C1887" s="223"/>
      <c r="D1887" s="223"/>
      <c r="E1887" s="264"/>
      <c r="F1887" s="265"/>
      <c r="G1887" s="321" t="s">
        <v>500</v>
      </c>
      <c r="H1887" s="323" t="s">
        <v>502</v>
      </c>
      <c r="I1887" s="263"/>
      <c r="J1887" s="263"/>
      <c r="K1887" s="263"/>
      <c r="L1887" s="263"/>
      <c r="M1887" s="263"/>
      <c r="N1887" s="266">
        <v>1</v>
      </c>
      <c r="O1887" s="266">
        <v>2</v>
      </c>
      <c r="P1887" s="266">
        <v>3</v>
      </c>
      <c r="Q1887" s="266">
        <v>4</v>
      </c>
      <c r="R1887" s="266">
        <v>5</v>
      </c>
      <c r="S1887" s="266">
        <v>6</v>
      </c>
      <c r="T1887" s="266">
        <v>7</v>
      </c>
      <c r="U1887" s="263"/>
      <c r="V1887" s="266" t="s">
        <v>31</v>
      </c>
      <c r="W1887" s="267"/>
      <c r="X1887" s="263"/>
      <c r="AE1887" s="253" t="s">
        <v>68</v>
      </c>
      <c r="AV1887" s="256" t="str">
        <f>CONCATENATE(V1891,":",V1888, " ( ",AN1889,",",AO1889,",",AP1889,",",AQ1889,",",AR1889,",",AS1889,",",AT1889," ) ")</f>
        <v xml:space="preserve">3:0 ( 5,4,8,,,, ) </v>
      </c>
    </row>
    <row r="1888" spans="1:53" ht="39.950000000000003" customHeight="1">
      <c r="A1888" s="252" t="str">
        <f>CONCATENATE(A1886,1)</f>
        <v>MIXP181</v>
      </c>
      <c r="B1888" s="252" t="str">
        <f>VLOOKUP(A1888,'KO KODY SPOLU'!$A$3:$B$189,2,0)</f>
        <v>PACH / VIŠŇOVSKÁ</v>
      </c>
      <c r="C1888" s="223"/>
      <c r="D1888" s="223"/>
      <c r="E1888" s="264" t="s">
        <v>29</v>
      </c>
      <c r="F1888" s="265">
        <f>VLOOKUP(CONCATENATE(A1886,1),'zoznam zapasov'!$A$6:$K$160,11,0)</f>
        <v>2</v>
      </c>
      <c r="G1888" s="508"/>
      <c r="H1888" s="319"/>
      <c r="I1888" s="487" t="str">
        <f>IF(ISERROR(VLOOKUP(B1888,vylosovanie!$N$75:$Q$191,3,0))=TRUE," ",VLOOKUP(B1888,vylosovanie!$N$75:$Q$191,3,0))</f>
        <v>PACH Kamil</v>
      </c>
      <c r="J1888" s="488"/>
      <c r="K1888" s="488"/>
      <c r="L1888" s="488"/>
      <c r="M1888" s="263"/>
      <c r="N1888" s="489">
        <v>5</v>
      </c>
      <c r="O1888" s="489">
        <v>4</v>
      </c>
      <c r="P1888" s="489">
        <v>8</v>
      </c>
      <c r="Q1888" s="489"/>
      <c r="R1888" s="489"/>
      <c r="S1888" s="491"/>
      <c r="T1888" s="491"/>
      <c r="U1888" s="263"/>
      <c r="V1888" s="493">
        <f>IF(SUM(AF1888:AL1889)=0,"",SUM(AF1888:AL1888))</f>
        <v>0</v>
      </c>
      <c r="W1888" s="267"/>
      <c r="X1888" s="263"/>
      <c r="AE1888" s="253" t="str">
        <f>VLOOKUP(I1888,vylosovanie!$F$8:$L$190,7,0)</f>
        <v>CH63</v>
      </c>
      <c r="AF1888" s="268">
        <f>IF(N1888&gt;N1891,1,0)</f>
        <v>0</v>
      </c>
      <c r="AG1888" s="268">
        <f t="shared" ref="AG1888" si="1544">IF(O1888&gt;O1891,1,0)</f>
        <v>0</v>
      </c>
      <c r="AH1888" s="268">
        <f t="shared" ref="AH1888" si="1545">IF(P1888&gt;P1891,1,0)</f>
        <v>0</v>
      </c>
      <c r="AI1888" s="268">
        <f t="shared" ref="AI1888" si="1546">IF(Q1888&gt;Q1891,1,0)</f>
        <v>0</v>
      </c>
      <c r="AJ1888" s="268">
        <f t="shared" ref="AJ1888" si="1547">IF(R1888&gt;R1891,1,0)</f>
        <v>0</v>
      </c>
      <c r="AK1888" s="268">
        <f t="shared" ref="AK1888" si="1548">IF(S1888&gt;S1891,1,0)</f>
        <v>0</v>
      </c>
      <c r="AL1888" s="268">
        <f t="shared" ref="AL1888" si="1549">IF(T1888&gt;T1891,1,0)</f>
        <v>0</v>
      </c>
      <c r="AN1888" s="268">
        <f t="shared" ref="AN1888" si="1550">IF(ISBLANK(N1888)=TRUE,"",IF(AF1888=1,N1891,-N1888))</f>
        <v>-5</v>
      </c>
      <c r="AO1888" s="268">
        <f t="shared" ref="AO1888" si="1551">IF(ISBLANK(O1888)=TRUE,"",IF(AG1888=1,O1891,-O1888))</f>
        <v>-4</v>
      </c>
      <c r="AP1888" s="268">
        <f t="shared" ref="AP1888" si="1552">IF(ISBLANK(P1888)=TRUE,"",IF(AH1888=1,P1891,-P1888))</f>
        <v>-8</v>
      </c>
      <c r="AQ1888" s="268" t="str">
        <f t="shared" ref="AQ1888" si="1553">IF(ISBLANK(Q1888)=TRUE,"",IF(AI1888=1,Q1891,-Q1888))</f>
        <v/>
      </c>
      <c r="AR1888" s="268" t="str">
        <f t="shared" ref="AR1888" si="1554">IF(ISBLANK(R1888)=TRUE,"",IF(AJ1888=1,R1891,-R1888))</f>
        <v/>
      </c>
      <c r="AS1888" s="268" t="str">
        <f t="shared" ref="AS1888" si="1555">IF(ISBLANK(S1888)=TRUE,"",IF(AK1888=1,S1891,-S1888))</f>
        <v/>
      </c>
      <c r="AT1888" s="268" t="str">
        <f t="shared" ref="AT1888" si="1556">IF(ISBLANK(T1888)=TRUE,"",IF(AL1888=1,T1891,-T1888))</f>
        <v/>
      </c>
      <c r="AZ1888" s="269" t="s">
        <v>12</v>
      </c>
      <c r="BA1888" s="269">
        <v>1</v>
      </c>
    </row>
    <row r="1889" spans="1:53" ht="39.950000000000003" customHeight="1">
      <c r="C1889" s="223"/>
      <c r="D1889" s="223"/>
      <c r="E1889" s="264"/>
      <c r="F1889" s="265"/>
      <c r="G1889" s="509"/>
      <c r="H1889" s="319"/>
      <c r="I1889" s="487" t="str">
        <f>IF(ISERROR(VLOOKUP(B1888,vylosovanie!$N$75:$Q$191,3,0))=TRUE," ",VLOOKUP(B1888,vylosovanie!$N$75:$Q$191,4,0))</f>
        <v>VIŠŇOVSKÁ Nina</v>
      </c>
      <c r="J1889" s="488"/>
      <c r="K1889" s="488"/>
      <c r="L1889" s="488"/>
      <c r="M1889" s="263"/>
      <c r="N1889" s="490"/>
      <c r="O1889" s="490"/>
      <c r="P1889" s="490"/>
      <c r="Q1889" s="490"/>
      <c r="R1889" s="490"/>
      <c r="S1889" s="492"/>
      <c r="T1889" s="492"/>
      <c r="U1889" s="263"/>
      <c r="V1889" s="493"/>
      <c r="W1889" s="267"/>
      <c r="X1889" s="263"/>
      <c r="AE1889" s="253" t="str">
        <f>VLOOKUP(I1891,vylosovanie!$F$8:$L$190,7,0)</f>
        <v>CH42</v>
      </c>
      <c r="AF1889" s="268">
        <f>IF(N1891&gt;N1888,1,0)</f>
        <v>1</v>
      </c>
      <c r="AG1889" s="268">
        <f t="shared" ref="AG1889" si="1557">IF(O1891&gt;O1888,1,0)</f>
        <v>1</v>
      </c>
      <c r="AH1889" s="268">
        <f t="shared" ref="AH1889" si="1558">IF(P1891&gt;P1888,1,0)</f>
        <v>1</v>
      </c>
      <c r="AI1889" s="268">
        <f t="shared" ref="AI1889" si="1559">IF(Q1891&gt;Q1888,1,0)</f>
        <v>0</v>
      </c>
      <c r="AJ1889" s="268">
        <f t="shared" ref="AJ1889" si="1560">IF(R1891&gt;R1888,1,0)</f>
        <v>0</v>
      </c>
      <c r="AK1889" s="268">
        <f t="shared" ref="AK1889" si="1561">IF(S1891&gt;S1888,1,0)</f>
        <v>0</v>
      </c>
      <c r="AL1889" s="268">
        <f t="shared" ref="AL1889" si="1562">IF(T1891&gt;T1888,1,0)</f>
        <v>0</v>
      </c>
      <c r="AN1889" s="268">
        <f t="shared" ref="AN1889" si="1563">IF(ISBLANK(N1891)=TRUE,"",IF(AF1889=1,N1888,-N1891))</f>
        <v>5</v>
      </c>
      <c r="AO1889" s="268">
        <f t="shared" ref="AO1889" si="1564">IF(ISBLANK(O1891)=TRUE,"",IF(AG1889=1,O1888,-O1891))</f>
        <v>4</v>
      </c>
      <c r="AP1889" s="268">
        <f t="shared" ref="AP1889" si="1565">IF(ISBLANK(P1891)=TRUE,"",IF(AH1889=1,P1888,-P1891))</f>
        <v>8</v>
      </c>
      <c r="AQ1889" s="268" t="str">
        <f t="shared" ref="AQ1889" si="1566">IF(ISBLANK(Q1891)=TRUE,"",IF(AI1889=1,Q1888,-Q1891))</f>
        <v/>
      </c>
      <c r="AR1889" s="268" t="str">
        <f t="shared" ref="AR1889" si="1567">IF(ISBLANK(R1891)=TRUE,"",IF(AJ1889=1,R1888,-R1891))</f>
        <v/>
      </c>
      <c r="AS1889" s="268" t="str">
        <f t="shared" ref="AS1889" si="1568">IF(ISBLANK(S1891)=TRUE,"",IF(AK1889=1,S1888,-S1891))</f>
        <v/>
      </c>
      <c r="AT1889" s="268" t="str">
        <f t="shared" ref="AT1889" si="1569">IF(ISBLANK(T1891)=TRUE,"",IF(AL1889=1,T1888,-T1891))</f>
        <v/>
      </c>
      <c r="AZ1889" s="269" t="s">
        <v>18</v>
      </c>
      <c r="BA1889" s="269">
        <v>2</v>
      </c>
    </row>
    <row r="1890" spans="1:53" ht="39.950000000000003" customHeight="1">
      <c r="C1890" s="223"/>
      <c r="D1890" s="223"/>
      <c r="E1890" s="264" t="s">
        <v>35</v>
      </c>
      <c r="F1890" s="265" t="str">
        <f>VLOOKUP(CONCATENATE(A1886,1),'zoznam zapasov'!$A$6:$K$160,9,0)</f>
        <v>So</v>
      </c>
      <c r="G1890" s="263"/>
      <c r="H1890" s="263"/>
      <c r="I1890" s="263"/>
      <c r="J1890" s="263"/>
      <c r="K1890" s="263"/>
      <c r="L1890" s="263"/>
      <c r="M1890" s="263"/>
      <c r="N1890" s="263"/>
      <c r="O1890" s="263"/>
      <c r="P1890" s="263"/>
      <c r="Q1890" s="263"/>
      <c r="R1890" s="263"/>
      <c r="S1890" s="263"/>
      <c r="T1890" s="263"/>
      <c r="U1890" s="263"/>
      <c r="V1890" s="263"/>
      <c r="W1890" s="267"/>
      <c r="X1890" s="263"/>
      <c r="AZ1890" s="269" t="s">
        <v>38</v>
      </c>
      <c r="BA1890" s="269">
        <v>3</v>
      </c>
    </row>
    <row r="1891" spans="1:53" ht="39.950000000000003" customHeight="1">
      <c r="A1891" s="252" t="str">
        <f>CONCATENATE(A1886,2)</f>
        <v>MIXP182</v>
      </c>
      <c r="B1891" s="252" t="str">
        <f>VLOOKUP(A1891,'KO KODY SPOLU'!$A$3:$B$189,2,0)</f>
        <v>HURKA / MAJERSKÁ</v>
      </c>
      <c r="C1891" s="223"/>
      <c r="D1891" s="223"/>
      <c r="E1891" s="264" t="s">
        <v>28</v>
      </c>
      <c r="F1891" s="270" t="str">
        <f>VLOOKUP(CONCATENATE(A1886,1),'zoznam zapasov'!$A$6:$K$160,10,0)</f>
        <v>14.55</v>
      </c>
      <c r="G1891" s="508"/>
      <c r="H1891" s="319"/>
      <c r="I1891" s="487" t="str">
        <f>IF(ISERROR(VLOOKUP(B1891,vylosovanie!$N$75:$Q$191,3,0))=TRUE," ",VLOOKUP(B1891,vylosovanie!$N$75:$Q$191,3,0))</f>
        <v>HURKA Rastislav</v>
      </c>
      <c r="J1891" s="488"/>
      <c r="K1891" s="488"/>
      <c r="L1891" s="488"/>
      <c r="M1891" s="263"/>
      <c r="N1891" s="489">
        <v>11</v>
      </c>
      <c r="O1891" s="489">
        <v>11</v>
      </c>
      <c r="P1891" s="489">
        <v>11</v>
      </c>
      <c r="Q1891" s="489"/>
      <c r="R1891" s="489"/>
      <c r="S1891" s="491"/>
      <c r="T1891" s="491"/>
      <c r="U1891" s="263"/>
      <c r="V1891" s="493">
        <f>IF(SUM(AF1888:AL1889)=0,"",SUM(AF1889:AL1889))</f>
        <v>3</v>
      </c>
      <c r="W1891" s="267"/>
      <c r="X1891" s="263"/>
      <c r="AZ1891" s="269" t="s">
        <v>39</v>
      </c>
      <c r="BA1891" s="269">
        <v>4</v>
      </c>
    </row>
    <row r="1892" spans="1:53" ht="39.950000000000003" customHeight="1">
      <c r="C1892" s="223"/>
      <c r="D1892" s="223"/>
      <c r="E1892" s="271"/>
      <c r="F1892" s="272"/>
      <c r="G1892" s="509"/>
      <c r="H1892" s="319"/>
      <c r="I1892" s="487" t="str">
        <f>IF(ISERROR(VLOOKUP(B1891,vylosovanie!$N$75:$Q$191,3,0))=TRUE," ",VLOOKUP(B1891,vylosovanie!$N$75:$Q$191,4,0))</f>
        <v>MAJERSKÁ Alena</v>
      </c>
      <c r="J1892" s="488"/>
      <c r="K1892" s="488"/>
      <c r="L1892" s="488"/>
      <c r="M1892" s="263"/>
      <c r="N1892" s="490"/>
      <c r="O1892" s="490"/>
      <c r="P1892" s="490"/>
      <c r="Q1892" s="490"/>
      <c r="R1892" s="490"/>
      <c r="S1892" s="492"/>
      <c r="T1892" s="492"/>
      <c r="U1892" s="263"/>
      <c r="V1892" s="493"/>
      <c r="W1892" s="267"/>
      <c r="X1892" s="263"/>
      <c r="AZ1892" s="269" t="s">
        <v>40</v>
      </c>
      <c r="BA1892" s="269">
        <v>5</v>
      </c>
    </row>
    <row r="1893" spans="1:53" ht="39.950000000000003" customHeight="1">
      <c r="C1893" s="223"/>
      <c r="D1893" s="223"/>
      <c r="E1893" s="264" t="s">
        <v>66</v>
      </c>
      <c r="F1893" s="265" t="s">
        <v>316</v>
      </c>
      <c r="G1893" s="263"/>
      <c r="H1893" s="263"/>
      <c r="I1893" s="263"/>
      <c r="J1893" s="263"/>
      <c r="K1893" s="263"/>
      <c r="L1893" s="263"/>
      <c r="M1893" s="263"/>
      <c r="N1893" s="263"/>
      <c r="O1893" s="263"/>
      <c r="P1893" s="263"/>
      <c r="Q1893" s="263"/>
      <c r="R1893" s="263"/>
      <c r="S1893" s="263"/>
      <c r="T1893" s="263"/>
      <c r="U1893" s="263"/>
      <c r="V1893" s="263"/>
      <c r="W1893" s="267"/>
      <c r="X1893" s="263"/>
      <c r="AZ1893" s="269" t="s">
        <v>41</v>
      </c>
      <c r="BA1893" s="269">
        <v>6</v>
      </c>
    </row>
    <row r="1894" spans="1:53" ht="39.950000000000003" customHeight="1">
      <c r="C1894" s="223"/>
      <c r="D1894" s="223"/>
      <c r="E1894" s="271"/>
      <c r="F1894" s="272"/>
      <c r="G1894" s="263"/>
      <c r="H1894" s="263"/>
      <c r="I1894" s="263" t="s">
        <v>32</v>
      </c>
      <c r="J1894" s="263"/>
      <c r="K1894" s="263"/>
      <c r="L1894" s="263"/>
      <c r="M1894" s="263"/>
      <c r="N1894" s="273"/>
      <c r="O1894" s="266"/>
      <c r="P1894" s="266" t="s">
        <v>34</v>
      </c>
      <c r="Q1894" s="266"/>
      <c r="R1894" s="266"/>
      <c r="S1894" s="266"/>
      <c r="T1894" s="266"/>
      <c r="U1894" s="263"/>
      <c r="V1894" s="263"/>
      <c r="W1894" s="267"/>
      <c r="X1894" s="263"/>
      <c r="AZ1894" s="269" t="s">
        <v>42</v>
      </c>
      <c r="BA1894" s="269">
        <v>7</v>
      </c>
    </row>
    <row r="1895" spans="1:53" ht="39.950000000000003" customHeight="1">
      <c r="E1895" s="264" t="s">
        <v>26</v>
      </c>
      <c r="F1895" s="265" t="s">
        <v>128</v>
      </c>
      <c r="G1895" s="263"/>
      <c r="H1895" s="263"/>
      <c r="I1895" s="486"/>
      <c r="J1895" s="486"/>
      <c r="K1895" s="486"/>
      <c r="L1895" s="486"/>
      <c r="M1895" s="263"/>
      <c r="N1895" s="483" t="str">
        <f>IF(V1888&gt;V1891,I1888,IF(V1891&gt;V1888,I1891,""))</f>
        <v>HURKA Rastislav</v>
      </c>
      <c r="O1895" s="494"/>
      <c r="P1895" s="494"/>
      <c r="Q1895" s="494"/>
      <c r="R1895" s="494"/>
      <c r="S1895" s="495"/>
      <c r="T1895" s="263"/>
      <c r="U1895" s="263"/>
      <c r="V1895" s="263"/>
      <c r="W1895" s="267"/>
      <c r="X1895" s="263"/>
      <c r="AZ1895" s="269" t="s">
        <v>43</v>
      </c>
      <c r="BA1895" s="269">
        <v>8</v>
      </c>
    </row>
    <row r="1896" spans="1:53" ht="39.950000000000003" customHeight="1">
      <c r="E1896" s="271"/>
      <c r="F1896" s="272"/>
      <c r="G1896" s="263"/>
      <c r="H1896" s="263"/>
      <c r="I1896" s="486"/>
      <c r="J1896" s="486"/>
      <c r="K1896" s="486"/>
      <c r="L1896" s="486"/>
      <c r="M1896" s="263"/>
      <c r="N1896" s="483" t="str">
        <f>IF(V1888&gt;V1891,I1889,IF(V1891&gt;V1888,I1892,""))</f>
        <v>MAJERSKÁ Alena</v>
      </c>
      <c r="O1896" s="494"/>
      <c r="P1896" s="494"/>
      <c r="Q1896" s="494"/>
      <c r="R1896" s="494"/>
      <c r="S1896" s="495"/>
      <c r="T1896" s="263"/>
      <c r="U1896" s="263"/>
      <c r="V1896" s="263"/>
      <c r="W1896" s="267"/>
      <c r="X1896" s="263"/>
    </row>
    <row r="1897" spans="1:53" ht="39.950000000000003" customHeight="1">
      <c r="E1897" s="264" t="s">
        <v>27</v>
      </c>
      <c r="F1897" s="274" t="s">
        <v>360</v>
      </c>
      <c r="G1897" s="263"/>
      <c r="H1897" s="263"/>
      <c r="I1897" s="263"/>
      <c r="J1897" s="263"/>
      <c r="K1897" s="263"/>
      <c r="L1897" s="263"/>
      <c r="M1897" s="263"/>
      <c r="N1897" s="263"/>
      <c r="O1897" s="263"/>
      <c r="P1897" s="263"/>
      <c r="Q1897" s="263"/>
      <c r="R1897" s="263"/>
      <c r="S1897" s="263"/>
      <c r="T1897" s="263"/>
      <c r="U1897" s="263"/>
      <c r="V1897" s="263"/>
      <c r="W1897" s="267"/>
      <c r="X1897" s="263"/>
    </row>
    <row r="1898" spans="1:53" ht="39.950000000000003" customHeight="1">
      <c r="E1898" s="271"/>
      <c r="F1898" s="272"/>
      <c r="G1898" s="263"/>
      <c r="H1898" s="263" t="s">
        <v>33</v>
      </c>
      <c r="I1898" s="263"/>
      <c r="J1898" s="263"/>
      <c r="K1898" s="263"/>
      <c r="L1898" s="263"/>
      <c r="M1898" s="263"/>
      <c r="N1898" s="263"/>
      <c r="O1898" s="263"/>
      <c r="P1898" s="263"/>
      <c r="Q1898" s="263"/>
      <c r="R1898" s="263"/>
      <c r="S1898" s="263"/>
      <c r="T1898" s="263"/>
      <c r="U1898" s="263"/>
      <c r="V1898" s="263"/>
      <c r="W1898" s="267"/>
      <c r="X1898" s="263"/>
    </row>
    <row r="1899" spans="1:53" ht="39.950000000000003" customHeight="1">
      <c r="E1899" s="271"/>
      <c r="F1899" s="272"/>
      <c r="G1899" s="263"/>
      <c r="H1899" s="263"/>
      <c r="I1899" s="263"/>
      <c r="J1899" s="263"/>
      <c r="K1899" s="263"/>
      <c r="L1899" s="263"/>
      <c r="M1899" s="263"/>
      <c r="N1899" s="263"/>
      <c r="O1899" s="263"/>
      <c r="P1899" s="263"/>
      <c r="Q1899" s="263"/>
      <c r="R1899" s="263"/>
      <c r="S1899" s="263"/>
      <c r="T1899" s="263"/>
      <c r="U1899" s="263"/>
      <c r="V1899" s="263"/>
      <c r="W1899" s="267"/>
      <c r="X1899" s="263"/>
    </row>
    <row r="1900" spans="1:53" ht="39.950000000000003" customHeight="1">
      <c r="E1900" s="271"/>
      <c r="F1900" s="272"/>
      <c r="G1900" s="263"/>
      <c r="H1900" s="263"/>
      <c r="I1900" s="496" t="str">
        <f>I1888</f>
        <v>PACH Kamil</v>
      </c>
      <c r="J1900" s="496"/>
      <c r="K1900" s="496"/>
      <c r="L1900" s="496"/>
      <c r="M1900" s="263"/>
      <c r="N1900" s="263"/>
      <c r="P1900" s="496" t="str">
        <f>I1891</f>
        <v>HURKA Rastislav</v>
      </c>
      <c r="Q1900" s="496"/>
      <c r="R1900" s="496"/>
      <c r="S1900" s="496"/>
      <c r="T1900" s="497"/>
      <c r="U1900" s="497"/>
      <c r="V1900" s="263"/>
      <c r="W1900" s="267"/>
      <c r="X1900" s="263"/>
    </row>
    <row r="1901" spans="1:53" ht="39.950000000000003" customHeight="1">
      <c r="E1901" s="271"/>
      <c r="F1901" s="272"/>
      <c r="G1901" s="263"/>
      <c r="H1901" s="263"/>
      <c r="I1901" s="496" t="str">
        <f>I1889</f>
        <v>VIŠŇOVSKÁ Nina</v>
      </c>
      <c r="J1901" s="496"/>
      <c r="K1901" s="496"/>
      <c r="L1901" s="496"/>
      <c r="M1901" s="263"/>
      <c r="N1901" s="263"/>
      <c r="O1901" s="263"/>
      <c r="P1901" s="496" t="str">
        <f>I1892</f>
        <v>MAJERSKÁ Alena</v>
      </c>
      <c r="Q1901" s="496"/>
      <c r="R1901" s="496"/>
      <c r="S1901" s="496"/>
      <c r="T1901" s="497"/>
      <c r="U1901" s="497"/>
      <c r="V1901" s="263"/>
      <c r="W1901" s="267"/>
      <c r="X1901" s="263"/>
    </row>
    <row r="1902" spans="1:53" ht="69.95" customHeight="1">
      <c r="E1902" s="264"/>
      <c r="F1902" s="265"/>
      <c r="G1902" s="263"/>
      <c r="H1902" s="275" t="s">
        <v>36</v>
      </c>
      <c r="I1902" s="483"/>
      <c r="J1902" s="484"/>
      <c r="K1902" s="484"/>
      <c r="L1902" s="485"/>
      <c r="M1902" s="263"/>
      <c r="N1902" s="263"/>
      <c r="O1902" s="275" t="s">
        <v>36</v>
      </c>
      <c r="P1902" s="486"/>
      <c r="Q1902" s="486"/>
      <c r="R1902" s="486"/>
      <c r="S1902" s="486"/>
      <c r="T1902" s="486"/>
      <c r="U1902" s="486"/>
      <c r="V1902" s="263"/>
      <c r="W1902" s="267"/>
      <c r="X1902" s="263"/>
    </row>
    <row r="1903" spans="1:53" ht="69.95" customHeight="1">
      <c r="E1903" s="264"/>
      <c r="F1903" s="265"/>
      <c r="G1903" s="263"/>
      <c r="H1903" s="275" t="s">
        <v>37</v>
      </c>
      <c r="I1903" s="486"/>
      <c r="J1903" s="486"/>
      <c r="K1903" s="486"/>
      <c r="L1903" s="486"/>
      <c r="M1903" s="263"/>
      <c r="N1903" s="263"/>
      <c r="O1903" s="275" t="s">
        <v>37</v>
      </c>
      <c r="P1903" s="486"/>
      <c r="Q1903" s="486"/>
      <c r="R1903" s="486"/>
      <c r="S1903" s="486"/>
      <c r="T1903" s="486"/>
      <c r="U1903" s="486"/>
      <c r="V1903" s="263"/>
      <c r="W1903" s="267"/>
      <c r="X1903" s="263"/>
    </row>
    <row r="1904" spans="1:53" ht="69.95" customHeight="1">
      <c r="E1904" s="264"/>
      <c r="F1904" s="265"/>
      <c r="G1904" s="263"/>
      <c r="H1904" s="275" t="s">
        <v>37</v>
      </c>
      <c r="I1904" s="486"/>
      <c r="J1904" s="486"/>
      <c r="K1904" s="486"/>
      <c r="L1904" s="486"/>
      <c r="M1904" s="263"/>
      <c r="N1904" s="263"/>
      <c r="O1904" s="275" t="s">
        <v>37</v>
      </c>
      <c r="P1904" s="486"/>
      <c r="Q1904" s="486"/>
      <c r="R1904" s="486"/>
      <c r="S1904" s="486"/>
      <c r="T1904" s="486"/>
      <c r="U1904" s="486"/>
      <c r="V1904" s="263"/>
      <c r="W1904" s="267"/>
      <c r="X1904" s="263"/>
    </row>
    <row r="1905" spans="1:53" ht="39.950000000000003" customHeight="1" thickBot="1">
      <c r="E1905" s="276"/>
      <c r="F1905" s="277"/>
      <c r="G1905" s="278"/>
      <c r="H1905" s="278"/>
      <c r="I1905" s="278"/>
      <c r="J1905" s="278"/>
      <c r="K1905" s="278"/>
      <c r="L1905" s="278"/>
      <c r="M1905" s="278"/>
      <c r="N1905" s="278"/>
      <c r="O1905" s="278"/>
      <c r="P1905" s="278"/>
      <c r="Q1905" s="278"/>
      <c r="R1905" s="278"/>
      <c r="S1905" s="278"/>
      <c r="T1905" s="279"/>
      <c r="U1905" s="279"/>
      <c r="V1905" s="279"/>
      <c r="W1905" s="280"/>
      <c r="X1905" s="263"/>
    </row>
    <row r="1906" spans="1:53" ht="62.25" thickBot="1"/>
    <row r="1907" spans="1:53" ht="39.950000000000003" customHeight="1">
      <c r="A1907" s="252" t="str">
        <f>CONCATENATE(F1914,F1916,F1918)</f>
        <v>MIXP19</v>
      </c>
      <c r="C1907" s="223"/>
      <c r="D1907" s="223"/>
      <c r="E1907" s="259" t="s">
        <v>70</v>
      </c>
      <c r="F1907" s="260">
        <f>VLOOKUP(CONCATENATE(A1907,1),'zoznam zapasov'!$A$6:$K$160,3,0)</f>
        <v>95</v>
      </c>
      <c r="G1907" s="261"/>
      <c r="H1907" s="322" t="s">
        <v>501</v>
      </c>
      <c r="I1907" s="261"/>
      <c r="J1907" s="261"/>
      <c r="K1907" s="261"/>
      <c r="L1907" s="261"/>
      <c r="M1907" s="261"/>
      <c r="N1907" s="261"/>
      <c r="O1907" s="261"/>
      <c r="P1907" s="261"/>
      <c r="Q1907" s="261"/>
      <c r="R1907" s="261"/>
      <c r="S1907" s="261"/>
      <c r="T1907" s="261"/>
      <c r="U1907" s="261"/>
      <c r="V1907" s="261" t="s">
        <v>30</v>
      </c>
      <c r="W1907" s="262"/>
      <c r="X1907" s="263"/>
      <c r="Y1907" s="253" t="str">
        <f>A1909</f>
        <v>MIXP191</v>
      </c>
      <c r="Z1907" s="258" t="str">
        <f>CONCATENATE(V1909,":",V1912)</f>
        <v>3:0</v>
      </c>
      <c r="AA1907" s="255" t="str">
        <f>IF(V1909&gt;V1912,B1909,IF(V1912&gt;V1909,B1912,""))</f>
        <v>ĎANOVSKÝ / DIVINSKÁ</v>
      </c>
      <c r="AB1907" s="255" t="str">
        <f>IF(V1909&gt;V1912,AV1907,IF(V1912&gt;V1909,AV1908,""))</f>
        <v xml:space="preserve">3:0 ( 8,5,6,,,, ) </v>
      </c>
      <c r="AC1907" s="255" t="str">
        <f>CONCATENATE("Tbl.: ",F1909,"   H: ",F1912,"   D: ",F1911)</f>
        <v>Tbl.: 3   H: 14.55   D: So</v>
      </c>
      <c r="AE1907" s="253" t="s">
        <v>11</v>
      </c>
      <c r="AV1907" s="256" t="str">
        <f>CONCATENATE(V1909,":",V1912, " ( ",AN1909,",",AO1909,",",AP1909,",",AQ1909,",",AR1909,",",AS1909,",",AT1909," ) ")</f>
        <v xml:space="preserve">3:0 ( 8,5,6,,,, ) </v>
      </c>
    </row>
    <row r="1908" spans="1:53" ht="39.950000000000003" customHeight="1">
      <c r="C1908" s="223"/>
      <c r="D1908" s="223"/>
      <c r="E1908" s="264"/>
      <c r="F1908" s="265"/>
      <c r="G1908" s="321" t="s">
        <v>500</v>
      </c>
      <c r="H1908" s="323" t="s">
        <v>502</v>
      </c>
      <c r="I1908" s="263"/>
      <c r="J1908" s="263"/>
      <c r="K1908" s="263"/>
      <c r="L1908" s="263"/>
      <c r="M1908" s="263"/>
      <c r="N1908" s="266">
        <v>1</v>
      </c>
      <c r="O1908" s="266">
        <v>2</v>
      </c>
      <c r="P1908" s="266">
        <v>3</v>
      </c>
      <c r="Q1908" s="266">
        <v>4</v>
      </c>
      <c r="R1908" s="266">
        <v>5</v>
      </c>
      <c r="S1908" s="266">
        <v>6</v>
      </c>
      <c r="T1908" s="266">
        <v>7</v>
      </c>
      <c r="U1908" s="263"/>
      <c r="V1908" s="266" t="s">
        <v>31</v>
      </c>
      <c r="W1908" s="267"/>
      <c r="X1908" s="263"/>
      <c r="AE1908" s="253" t="s">
        <v>68</v>
      </c>
      <c r="AV1908" s="256" t="str">
        <f>CONCATENATE(V1912,":",V1909, " ( ",AN1910,",",AO1910,",",AP1910,",",AQ1910,",",AR1910,",",AS1910,",",AT1910," ) ")</f>
        <v xml:space="preserve">0:3 ( -8,-5,-6,,,, ) </v>
      </c>
    </row>
    <row r="1909" spans="1:53" ht="39.950000000000003" customHeight="1">
      <c r="A1909" s="252" t="str">
        <f>CONCATENATE(A1907,1)</f>
        <v>MIXP191</v>
      </c>
      <c r="B1909" s="252" t="str">
        <f>VLOOKUP(A1909,'KO KODY SPOLU'!$A$3:$B$189,2,0)</f>
        <v>ĎANOVSKÝ / DIVINSKÁ</v>
      </c>
      <c r="C1909" s="223"/>
      <c r="D1909" s="223"/>
      <c r="E1909" s="264" t="s">
        <v>29</v>
      </c>
      <c r="F1909" s="265">
        <f>VLOOKUP(CONCATENATE(A1907,1),'zoznam zapasov'!$A$6:$K$160,11,0)</f>
        <v>3</v>
      </c>
      <c r="G1909" s="508"/>
      <c r="H1909" s="319"/>
      <c r="I1909" s="487" t="str">
        <f>IF(ISERROR(VLOOKUP(B1909,vylosovanie!$N$75:$Q$191,3,0))=TRUE," ",VLOOKUP(B1909,vylosovanie!$N$75:$Q$191,3,0))</f>
        <v>ĎANOVSKÝ Martin</v>
      </c>
      <c r="J1909" s="488"/>
      <c r="K1909" s="488"/>
      <c r="L1909" s="488"/>
      <c r="M1909" s="263"/>
      <c r="N1909" s="489">
        <v>11</v>
      </c>
      <c r="O1909" s="489">
        <v>11</v>
      </c>
      <c r="P1909" s="489">
        <v>11</v>
      </c>
      <c r="Q1909" s="489"/>
      <c r="R1909" s="489"/>
      <c r="S1909" s="491"/>
      <c r="T1909" s="491"/>
      <c r="U1909" s="263"/>
      <c r="V1909" s="493">
        <f>IF(SUM(AF1909:AL1910)=0,"",SUM(AF1909:AL1909))</f>
        <v>3</v>
      </c>
      <c r="W1909" s="267"/>
      <c r="X1909" s="263"/>
      <c r="AE1909" s="253" t="str">
        <f>VLOOKUP(I1909,vylosovanie!$F$8:$L$190,7,0)</f>
        <v>CH52</v>
      </c>
      <c r="AF1909" s="268">
        <f>IF(N1909&gt;N1912,1,0)</f>
        <v>1</v>
      </c>
      <c r="AG1909" s="268">
        <f t="shared" ref="AG1909" si="1570">IF(O1909&gt;O1912,1,0)</f>
        <v>1</v>
      </c>
      <c r="AH1909" s="268">
        <f t="shared" ref="AH1909" si="1571">IF(P1909&gt;P1912,1,0)</f>
        <v>1</v>
      </c>
      <c r="AI1909" s="268">
        <f t="shared" ref="AI1909" si="1572">IF(Q1909&gt;Q1912,1,0)</f>
        <v>0</v>
      </c>
      <c r="AJ1909" s="268">
        <f t="shared" ref="AJ1909" si="1573">IF(R1909&gt;R1912,1,0)</f>
        <v>0</v>
      </c>
      <c r="AK1909" s="268">
        <f t="shared" ref="AK1909" si="1574">IF(S1909&gt;S1912,1,0)</f>
        <v>0</v>
      </c>
      <c r="AL1909" s="268">
        <f t="shared" ref="AL1909" si="1575">IF(T1909&gt;T1912,1,0)</f>
        <v>0</v>
      </c>
      <c r="AN1909" s="268">
        <f t="shared" ref="AN1909" si="1576">IF(ISBLANK(N1909)=TRUE,"",IF(AF1909=1,N1912,-N1909))</f>
        <v>8</v>
      </c>
      <c r="AO1909" s="268">
        <f t="shared" ref="AO1909" si="1577">IF(ISBLANK(O1909)=TRUE,"",IF(AG1909=1,O1912,-O1909))</f>
        <v>5</v>
      </c>
      <c r="AP1909" s="268">
        <f t="shared" ref="AP1909" si="1578">IF(ISBLANK(P1909)=TRUE,"",IF(AH1909=1,P1912,-P1909))</f>
        <v>6</v>
      </c>
      <c r="AQ1909" s="268" t="str">
        <f t="shared" ref="AQ1909" si="1579">IF(ISBLANK(Q1909)=TRUE,"",IF(AI1909=1,Q1912,-Q1909))</f>
        <v/>
      </c>
      <c r="AR1909" s="268" t="str">
        <f t="shared" ref="AR1909" si="1580">IF(ISBLANK(R1909)=TRUE,"",IF(AJ1909=1,R1912,-R1909))</f>
        <v/>
      </c>
      <c r="AS1909" s="268" t="str">
        <f t="shared" ref="AS1909" si="1581">IF(ISBLANK(S1909)=TRUE,"",IF(AK1909=1,S1912,-S1909))</f>
        <v/>
      </c>
      <c r="AT1909" s="268" t="str">
        <f t="shared" ref="AT1909" si="1582">IF(ISBLANK(T1909)=TRUE,"",IF(AL1909=1,T1912,-T1909))</f>
        <v/>
      </c>
      <c r="AZ1909" s="269" t="s">
        <v>12</v>
      </c>
      <c r="BA1909" s="269">
        <v>1</v>
      </c>
    </row>
    <row r="1910" spans="1:53" ht="39.950000000000003" customHeight="1">
      <c r="C1910" s="223"/>
      <c r="D1910" s="223"/>
      <c r="E1910" s="264"/>
      <c r="F1910" s="265"/>
      <c r="G1910" s="509"/>
      <c r="H1910" s="319"/>
      <c r="I1910" s="487" t="str">
        <f>IF(ISERROR(VLOOKUP(B1909,vylosovanie!$N$75:$Q$191,3,0))=TRUE," ",VLOOKUP(B1909,vylosovanie!$N$75:$Q$191,4,0))</f>
        <v>DIVINSKÁ Natália</v>
      </c>
      <c r="J1910" s="488"/>
      <c r="K1910" s="488"/>
      <c r="L1910" s="488"/>
      <c r="M1910" s="263"/>
      <c r="N1910" s="490"/>
      <c r="O1910" s="490"/>
      <c r="P1910" s="490"/>
      <c r="Q1910" s="490"/>
      <c r="R1910" s="490"/>
      <c r="S1910" s="492"/>
      <c r="T1910" s="492"/>
      <c r="U1910" s="263"/>
      <c r="V1910" s="493"/>
      <c r="W1910" s="267"/>
      <c r="X1910" s="263"/>
      <c r="AE1910" s="253" t="str">
        <f>VLOOKUP(I1912,vylosovanie!$F$8:$L$190,7,0)</f>
        <v>CH34</v>
      </c>
      <c r="AF1910" s="268">
        <f>IF(N1912&gt;N1909,1,0)</f>
        <v>0</v>
      </c>
      <c r="AG1910" s="268">
        <f t="shared" ref="AG1910" si="1583">IF(O1912&gt;O1909,1,0)</f>
        <v>0</v>
      </c>
      <c r="AH1910" s="268">
        <f t="shared" ref="AH1910" si="1584">IF(P1912&gt;P1909,1,0)</f>
        <v>0</v>
      </c>
      <c r="AI1910" s="268">
        <f t="shared" ref="AI1910" si="1585">IF(Q1912&gt;Q1909,1,0)</f>
        <v>0</v>
      </c>
      <c r="AJ1910" s="268">
        <f t="shared" ref="AJ1910" si="1586">IF(R1912&gt;R1909,1,0)</f>
        <v>0</v>
      </c>
      <c r="AK1910" s="268">
        <f t="shared" ref="AK1910" si="1587">IF(S1912&gt;S1909,1,0)</f>
        <v>0</v>
      </c>
      <c r="AL1910" s="268">
        <f t="shared" ref="AL1910" si="1588">IF(T1912&gt;T1909,1,0)</f>
        <v>0</v>
      </c>
      <c r="AN1910" s="268">
        <f t="shared" ref="AN1910" si="1589">IF(ISBLANK(N1912)=TRUE,"",IF(AF1910=1,N1909,-N1912))</f>
        <v>-8</v>
      </c>
      <c r="AO1910" s="268">
        <f t="shared" ref="AO1910" si="1590">IF(ISBLANK(O1912)=TRUE,"",IF(AG1910=1,O1909,-O1912))</f>
        <v>-5</v>
      </c>
      <c r="AP1910" s="268">
        <f t="shared" ref="AP1910" si="1591">IF(ISBLANK(P1912)=TRUE,"",IF(AH1910=1,P1909,-P1912))</f>
        <v>-6</v>
      </c>
      <c r="AQ1910" s="268" t="str">
        <f t="shared" ref="AQ1910" si="1592">IF(ISBLANK(Q1912)=TRUE,"",IF(AI1910=1,Q1909,-Q1912))</f>
        <v/>
      </c>
      <c r="AR1910" s="268" t="str">
        <f t="shared" ref="AR1910" si="1593">IF(ISBLANK(R1912)=TRUE,"",IF(AJ1910=1,R1909,-R1912))</f>
        <v/>
      </c>
      <c r="AS1910" s="268" t="str">
        <f t="shared" ref="AS1910" si="1594">IF(ISBLANK(S1912)=TRUE,"",IF(AK1910=1,S1909,-S1912))</f>
        <v/>
      </c>
      <c r="AT1910" s="268" t="str">
        <f t="shared" ref="AT1910" si="1595">IF(ISBLANK(T1912)=TRUE,"",IF(AL1910=1,T1909,-T1912))</f>
        <v/>
      </c>
      <c r="AZ1910" s="269" t="s">
        <v>18</v>
      </c>
      <c r="BA1910" s="269">
        <v>2</v>
      </c>
    </row>
    <row r="1911" spans="1:53" ht="39.950000000000003" customHeight="1">
      <c r="C1911" s="223"/>
      <c r="D1911" s="223"/>
      <c r="E1911" s="264" t="s">
        <v>35</v>
      </c>
      <c r="F1911" s="265" t="str">
        <f>VLOOKUP(CONCATENATE(A1907,1),'zoznam zapasov'!$A$6:$K$160,9,0)</f>
        <v>So</v>
      </c>
      <c r="G1911" s="263"/>
      <c r="H1911" s="263"/>
      <c r="I1911" s="263"/>
      <c r="J1911" s="263"/>
      <c r="K1911" s="263"/>
      <c r="L1911" s="263"/>
      <c r="M1911" s="263"/>
      <c r="N1911" s="263"/>
      <c r="O1911" s="263"/>
      <c r="P1911" s="263"/>
      <c r="Q1911" s="263"/>
      <c r="R1911" s="263"/>
      <c r="S1911" s="263"/>
      <c r="T1911" s="263"/>
      <c r="U1911" s="263"/>
      <c r="V1911" s="263"/>
      <c r="W1911" s="267"/>
      <c r="X1911" s="263"/>
      <c r="AZ1911" s="269" t="s">
        <v>38</v>
      </c>
      <c r="BA1911" s="269">
        <v>3</v>
      </c>
    </row>
    <row r="1912" spans="1:53" ht="39.950000000000003" customHeight="1">
      <c r="A1912" s="252" t="str">
        <f>CONCATENATE(A1907,2)</f>
        <v>MIXP192</v>
      </c>
      <c r="B1912" s="252" t="str">
        <f>VLOOKUP(A1912,'KO KODY SPOLU'!$A$3:$B$189,2,0)</f>
        <v>KLUČÁR / GORFOLOVÁ</v>
      </c>
      <c r="C1912" s="223"/>
      <c r="D1912" s="223"/>
      <c r="E1912" s="264" t="s">
        <v>28</v>
      </c>
      <c r="F1912" s="270" t="str">
        <f>VLOOKUP(CONCATENATE(A1907,1),'zoznam zapasov'!$A$6:$K$160,10,0)</f>
        <v>14.55</v>
      </c>
      <c r="G1912" s="508"/>
      <c r="H1912" s="319"/>
      <c r="I1912" s="487" t="str">
        <f>IF(ISERROR(VLOOKUP(B1912,vylosovanie!$N$75:$Q$191,3,0))=TRUE," ",VLOOKUP(B1912,vylosovanie!$N$75:$Q$191,3,0))</f>
        <v>KLUČÁR Matej</v>
      </c>
      <c r="J1912" s="488"/>
      <c r="K1912" s="488"/>
      <c r="L1912" s="488"/>
      <c r="M1912" s="263"/>
      <c r="N1912" s="489">
        <v>8</v>
      </c>
      <c r="O1912" s="489">
        <v>5</v>
      </c>
      <c r="P1912" s="489">
        <v>6</v>
      </c>
      <c r="Q1912" s="489"/>
      <c r="R1912" s="489"/>
      <c r="S1912" s="491"/>
      <c r="T1912" s="491"/>
      <c r="U1912" s="263"/>
      <c r="V1912" s="493">
        <f>IF(SUM(AF1909:AL1910)=0,"",SUM(AF1910:AL1910))</f>
        <v>0</v>
      </c>
      <c r="W1912" s="267"/>
      <c r="X1912" s="263"/>
      <c r="AZ1912" s="269" t="s">
        <v>39</v>
      </c>
      <c r="BA1912" s="269">
        <v>4</v>
      </c>
    </row>
    <row r="1913" spans="1:53" ht="39.950000000000003" customHeight="1">
      <c r="C1913" s="223"/>
      <c r="D1913" s="223"/>
      <c r="E1913" s="271"/>
      <c r="F1913" s="272"/>
      <c r="G1913" s="509"/>
      <c r="H1913" s="319"/>
      <c r="I1913" s="487" t="str">
        <f>IF(ISERROR(VLOOKUP(B1912,vylosovanie!$N$75:$Q$191,3,0))=TRUE," ",VLOOKUP(B1912,vylosovanie!$N$75:$Q$191,4,0))</f>
        <v>GORFOLOVÁ Viktória</v>
      </c>
      <c r="J1913" s="488"/>
      <c r="K1913" s="488"/>
      <c r="L1913" s="488"/>
      <c r="M1913" s="263"/>
      <c r="N1913" s="490"/>
      <c r="O1913" s="490"/>
      <c r="P1913" s="490"/>
      <c r="Q1913" s="490"/>
      <c r="R1913" s="490"/>
      <c r="S1913" s="492"/>
      <c r="T1913" s="492"/>
      <c r="U1913" s="263"/>
      <c r="V1913" s="493"/>
      <c r="W1913" s="267"/>
      <c r="X1913" s="263"/>
      <c r="AZ1913" s="269" t="s">
        <v>40</v>
      </c>
      <c r="BA1913" s="269">
        <v>5</v>
      </c>
    </row>
    <row r="1914" spans="1:53" ht="39.950000000000003" customHeight="1">
      <c r="C1914" s="223"/>
      <c r="D1914" s="223"/>
      <c r="E1914" s="264" t="s">
        <v>66</v>
      </c>
      <c r="F1914" s="265" t="s">
        <v>316</v>
      </c>
      <c r="G1914" s="263"/>
      <c r="H1914" s="263"/>
      <c r="I1914" s="263"/>
      <c r="J1914" s="263"/>
      <c r="K1914" s="263"/>
      <c r="L1914" s="263"/>
      <c r="M1914" s="263"/>
      <c r="N1914" s="263"/>
      <c r="O1914" s="263"/>
      <c r="P1914" s="263"/>
      <c r="Q1914" s="263"/>
      <c r="R1914" s="263"/>
      <c r="S1914" s="263"/>
      <c r="T1914" s="263"/>
      <c r="U1914" s="263"/>
      <c r="V1914" s="263"/>
      <c r="W1914" s="267"/>
      <c r="X1914" s="263"/>
      <c r="AZ1914" s="269" t="s">
        <v>41</v>
      </c>
      <c r="BA1914" s="269">
        <v>6</v>
      </c>
    </row>
    <row r="1915" spans="1:53" ht="39.950000000000003" customHeight="1">
      <c r="C1915" s="223"/>
      <c r="D1915" s="223"/>
      <c r="E1915" s="271"/>
      <c r="F1915" s="272"/>
      <c r="G1915" s="263"/>
      <c r="H1915" s="263"/>
      <c r="I1915" s="263" t="s">
        <v>32</v>
      </c>
      <c r="J1915" s="263"/>
      <c r="K1915" s="263"/>
      <c r="L1915" s="263"/>
      <c r="M1915" s="263"/>
      <c r="N1915" s="273"/>
      <c r="O1915" s="266"/>
      <c r="P1915" s="266" t="s">
        <v>34</v>
      </c>
      <c r="Q1915" s="266"/>
      <c r="R1915" s="266"/>
      <c r="S1915" s="266"/>
      <c r="T1915" s="266"/>
      <c r="U1915" s="263"/>
      <c r="V1915" s="263"/>
      <c r="W1915" s="267"/>
      <c r="X1915" s="263"/>
      <c r="AZ1915" s="269" t="s">
        <v>42</v>
      </c>
      <c r="BA1915" s="269">
        <v>7</v>
      </c>
    </row>
    <row r="1916" spans="1:53" ht="39.950000000000003" customHeight="1">
      <c r="E1916" s="264" t="s">
        <v>26</v>
      </c>
      <c r="F1916" s="265" t="s">
        <v>128</v>
      </c>
      <c r="G1916" s="263"/>
      <c r="H1916" s="263"/>
      <c r="I1916" s="486"/>
      <c r="J1916" s="486"/>
      <c r="K1916" s="486"/>
      <c r="L1916" s="486"/>
      <c r="M1916" s="263"/>
      <c r="N1916" s="483" t="str">
        <f>IF(V1909&gt;V1912,I1909,IF(V1912&gt;V1909,I1912,""))</f>
        <v>ĎANOVSKÝ Martin</v>
      </c>
      <c r="O1916" s="494"/>
      <c r="P1916" s="494"/>
      <c r="Q1916" s="494"/>
      <c r="R1916" s="494"/>
      <c r="S1916" s="495"/>
      <c r="T1916" s="263"/>
      <c r="U1916" s="263"/>
      <c r="V1916" s="263"/>
      <c r="W1916" s="267"/>
      <c r="X1916" s="263"/>
      <c r="AZ1916" s="269" t="s">
        <v>43</v>
      </c>
      <c r="BA1916" s="269">
        <v>8</v>
      </c>
    </row>
    <row r="1917" spans="1:53" ht="39.950000000000003" customHeight="1">
      <c r="E1917" s="271"/>
      <c r="F1917" s="272"/>
      <c r="G1917" s="263"/>
      <c r="H1917" s="263"/>
      <c r="I1917" s="486"/>
      <c r="J1917" s="486"/>
      <c r="K1917" s="486"/>
      <c r="L1917" s="486"/>
      <c r="M1917" s="263"/>
      <c r="N1917" s="483" t="str">
        <f>IF(V1909&gt;V1912,I1910,IF(V1912&gt;V1909,I1913,""))</f>
        <v>DIVINSKÁ Natália</v>
      </c>
      <c r="O1917" s="494"/>
      <c r="P1917" s="494"/>
      <c r="Q1917" s="494"/>
      <c r="R1917" s="494"/>
      <c r="S1917" s="495"/>
      <c r="T1917" s="263"/>
      <c r="U1917" s="263"/>
      <c r="V1917" s="263"/>
      <c r="W1917" s="267"/>
      <c r="X1917" s="263"/>
    </row>
    <row r="1918" spans="1:53" ht="39.950000000000003" customHeight="1">
      <c r="E1918" s="264" t="s">
        <v>27</v>
      </c>
      <c r="F1918" s="274" t="s">
        <v>361</v>
      </c>
      <c r="G1918" s="263"/>
      <c r="H1918" s="263"/>
      <c r="I1918" s="263"/>
      <c r="J1918" s="263"/>
      <c r="K1918" s="263"/>
      <c r="L1918" s="263"/>
      <c r="M1918" s="263"/>
      <c r="N1918" s="263"/>
      <c r="O1918" s="263"/>
      <c r="P1918" s="263"/>
      <c r="Q1918" s="263"/>
      <c r="R1918" s="263"/>
      <c r="S1918" s="263"/>
      <c r="T1918" s="263"/>
      <c r="U1918" s="263"/>
      <c r="V1918" s="263"/>
      <c r="W1918" s="267"/>
      <c r="X1918" s="263"/>
    </row>
    <row r="1919" spans="1:53" ht="39.950000000000003" customHeight="1">
      <c r="E1919" s="271"/>
      <c r="F1919" s="272"/>
      <c r="G1919" s="263"/>
      <c r="H1919" s="263" t="s">
        <v>33</v>
      </c>
      <c r="I1919" s="263"/>
      <c r="J1919" s="263"/>
      <c r="K1919" s="263"/>
      <c r="L1919" s="263"/>
      <c r="M1919" s="263"/>
      <c r="N1919" s="263"/>
      <c r="O1919" s="263"/>
      <c r="P1919" s="263"/>
      <c r="Q1919" s="263"/>
      <c r="R1919" s="263"/>
      <c r="S1919" s="263"/>
      <c r="T1919" s="263"/>
      <c r="U1919" s="263"/>
      <c r="V1919" s="263"/>
      <c r="W1919" s="267"/>
      <c r="X1919" s="263"/>
    </row>
    <row r="1920" spans="1:53" ht="39.950000000000003" customHeight="1">
      <c r="E1920" s="271"/>
      <c r="F1920" s="272"/>
      <c r="G1920" s="263"/>
      <c r="H1920" s="263"/>
      <c r="I1920" s="263"/>
      <c r="J1920" s="263"/>
      <c r="K1920" s="263"/>
      <c r="L1920" s="263"/>
      <c r="M1920" s="263"/>
      <c r="N1920" s="263"/>
      <c r="O1920" s="263"/>
      <c r="P1920" s="263"/>
      <c r="Q1920" s="263"/>
      <c r="R1920" s="263"/>
      <c r="S1920" s="263"/>
      <c r="T1920" s="263"/>
      <c r="U1920" s="263"/>
      <c r="V1920" s="263"/>
      <c r="W1920" s="267"/>
      <c r="X1920" s="263"/>
    </row>
    <row r="1921" spans="1:53" ht="39.950000000000003" customHeight="1">
      <c r="E1921" s="271"/>
      <c r="F1921" s="272"/>
      <c r="G1921" s="263"/>
      <c r="H1921" s="263"/>
      <c r="I1921" s="496" t="str">
        <f>I1909</f>
        <v>ĎANOVSKÝ Martin</v>
      </c>
      <c r="J1921" s="496"/>
      <c r="K1921" s="496"/>
      <c r="L1921" s="496"/>
      <c r="M1921" s="263"/>
      <c r="N1921" s="263"/>
      <c r="P1921" s="496" t="str">
        <f>I1912</f>
        <v>KLUČÁR Matej</v>
      </c>
      <c r="Q1921" s="496"/>
      <c r="R1921" s="496"/>
      <c r="S1921" s="496"/>
      <c r="T1921" s="497"/>
      <c r="U1921" s="497"/>
      <c r="V1921" s="263"/>
      <c r="W1921" s="267"/>
      <c r="X1921" s="263"/>
    </row>
    <row r="1922" spans="1:53" ht="39.950000000000003" customHeight="1">
      <c r="E1922" s="271"/>
      <c r="F1922" s="272"/>
      <c r="G1922" s="263"/>
      <c r="H1922" s="263"/>
      <c r="I1922" s="496" t="str">
        <f>I1910</f>
        <v>DIVINSKÁ Natália</v>
      </c>
      <c r="J1922" s="496"/>
      <c r="K1922" s="496"/>
      <c r="L1922" s="496"/>
      <c r="M1922" s="263"/>
      <c r="N1922" s="263"/>
      <c r="O1922" s="263"/>
      <c r="P1922" s="496" t="str">
        <f>I1913</f>
        <v>GORFOLOVÁ Viktória</v>
      </c>
      <c r="Q1922" s="496"/>
      <c r="R1922" s="496"/>
      <c r="S1922" s="496"/>
      <c r="T1922" s="497"/>
      <c r="U1922" s="497"/>
      <c r="V1922" s="263"/>
      <c r="W1922" s="267"/>
      <c r="X1922" s="263"/>
    </row>
    <row r="1923" spans="1:53" ht="69.95" customHeight="1">
      <c r="E1923" s="264"/>
      <c r="F1923" s="265"/>
      <c r="G1923" s="263"/>
      <c r="H1923" s="275" t="s">
        <v>36</v>
      </c>
      <c r="I1923" s="483"/>
      <c r="J1923" s="484"/>
      <c r="K1923" s="484"/>
      <c r="L1923" s="485"/>
      <c r="M1923" s="263"/>
      <c r="N1923" s="263"/>
      <c r="O1923" s="275" t="s">
        <v>36</v>
      </c>
      <c r="P1923" s="486"/>
      <c r="Q1923" s="486"/>
      <c r="R1923" s="486"/>
      <c r="S1923" s="486"/>
      <c r="T1923" s="486"/>
      <c r="U1923" s="486"/>
      <c r="V1923" s="263"/>
      <c r="W1923" s="267"/>
      <c r="X1923" s="263"/>
    </row>
    <row r="1924" spans="1:53" ht="69.95" customHeight="1">
      <c r="E1924" s="264"/>
      <c r="F1924" s="265"/>
      <c r="G1924" s="263"/>
      <c r="H1924" s="275" t="s">
        <v>37</v>
      </c>
      <c r="I1924" s="486"/>
      <c r="J1924" s="486"/>
      <c r="K1924" s="486"/>
      <c r="L1924" s="486"/>
      <c r="M1924" s="263"/>
      <c r="N1924" s="263"/>
      <c r="O1924" s="275" t="s">
        <v>37</v>
      </c>
      <c r="P1924" s="486"/>
      <c r="Q1924" s="486"/>
      <c r="R1924" s="486"/>
      <c r="S1924" s="486"/>
      <c r="T1924" s="486"/>
      <c r="U1924" s="486"/>
      <c r="V1924" s="263"/>
      <c r="W1924" s="267"/>
      <c r="X1924" s="263"/>
    </row>
    <row r="1925" spans="1:53" ht="69.95" customHeight="1">
      <c r="E1925" s="264"/>
      <c r="F1925" s="265"/>
      <c r="G1925" s="263"/>
      <c r="H1925" s="275" t="s">
        <v>37</v>
      </c>
      <c r="I1925" s="486"/>
      <c r="J1925" s="486"/>
      <c r="K1925" s="486"/>
      <c r="L1925" s="486"/>
      <c r="M1925" s="263"/>
      <c r="N1925" s="263"/>
      <c r="O1925" s="275" t="s">
        <v>37</v>
      </c>
      <c r="P1925" s="486"/>
      <c r="Q1925" s="486"/>
      <c r="R1925" s="486"/>
      <c r="S1925" s="486"/>
      <c r="T1925" s="486"/>
      <c r="U1925" s="486"/>
      <c r="V1925" s="263"/>
      <c r="W1925" s="267"/>
      <c r="X1925" s="263"/>
    </row>
    <row r="1926" spans="1:53" ht="39.950000000000003" customHeight="1" thickBot="1">
      <c r="E1926" s="276"/>
      <c r="F1926" s="277"/>
      <c r="G1926" s="278"/>
      <c r="H1926" s="278"/>
      <c r="I1926" s="278"/>
      <c r="J1926" s="278"/>
      <c r="K1926" s="278"/>
      <c r="L1926" s="278"/>
      <c r="M1926" s="278"/>
      <c r="N1926" s="278"/>
      <c r="O1926" s="278"/>
      <c r="P1926" s="278"/>
      <c r="Q1926" s="278"/>
      <c r="R1926" s="278"/>
      <c r="S1926" s="278"/>
      <c r="T1926" s="279"/>
      <c r="U1926" s="279"/>
      <c r="V1926" s="279"/>
      <c r="W1926" s="280"/>
      <c r="X1926" s="263"/>
    </row>
    <row r="1927" spans="1:53" ht="62.25" thickBot="1"/>
    <row r="1928" spans="1:53" ht="39.950000000000003" customHeight="1">
      <c r="A1928" s="252" t="str">
        <f>CONCATENATE(F1935,F1937,F1939)</f>
        <v>MIXP20</v>
      </c>
      <c r="C1928" s="223"/>
      <c r="D1928" s="223"/>
      <c r="E1928" s="259" t="s">
        <v>70</v>
      </c>
      <c r="F1928" s="260">
        <f>VLOOKUP(CONCATENATE(A1928,1),'zoznam zapasov'!$A$6:$K$160,3,0)</f>
        <v>96</v>
      </c>
      <c r="G1928" s="261"/>
      <c r="H1928" s="322" t="s">
        <v>501</v>
      </c>
      <c r="I1928" s="261"/>
      <c r="J1928" s="261"/>
      <c r="K1928" s="261"/>
      <c r="L1928" s="261"/>
      <c r="M1928" s="261"/>
      <c r="N1928" s="261"/>
      <c r="O1928" s="261"/>
      <c r="P1928" s="261"/>
      <c r="Q1928" s="261"/>
      <c r="R1928" s="261"/>
      <c r="S1928" s="261"/>
      <c r="T1928" s="261"/>
      <c r="U1928" s="261"/>
      <c r="V1928" s="261" t="s">
        <v>30</v>
      </c>
      <c r="W1928" s="262"/>
      <c r="X1928" s="263"/>
      <c r="Y1928" s="253" t="str">
        <f>A1930</f>
        <v>MIXP201</v>
      </c>
      <c r="Z1928" s="258" t="str">
        <f>CONCATENATE(V1930,":",V1933)</f>
        <v>0:3</v>
      </c>
      <c r="AA1928" s="255" t="str">
        <f>IF(V1930&gt;V1933,B1930,IF(V1933&gt;V1930,B1933,""))</f>
        <v>FEČO / DZELINSKA</v>
      </c>
      <c r="AB1928" s="255" t="str">
        <f>IF(V1930&gt;V1933,AV1928,IF(V1933&gt;V1930,AV1929,""))</f>
        <v xml:space="preserve">3:0 ( 10,7,8,,,, ) </v>
      </c>
      <c r="AC1928" s="255" t="str">
        <f>CONCATENATE("Tbl.: ",F1930,"   H: ",F1933,"   D: ",F1932)</f>
        <v>Tbl.: 4   H: 14.55   D: So</v>
      </c>
      <c r="AE1928" s="253" t="s">
        <v>11</v>
      </c>
      <c r="AV1928" s="256" t="str">
        <f>CONCATENATE(V1930,":",V1933, " ( ",AN1930,",",AO1930,",",AP1930,",",AQ1930,",",AR1930,",",AS1930,",",AT1930," ) ")</f>
        <v xml:space="preserve">0:3 ( -10,-7,-8,,,, ) </v>
      </c>
    </row>
    <row r="1929" spans="1:53" ht="39.950000000000003" customHeight="1">
      <c r="C1929" s="223"/>
      <c r="D1929" s="223"/>
      <c r="E1929" s="264"/>
      <c r="F1929" s="265"/>
      <c r="G1929" s="321" t="s">
        <v>500</v>
      </c>
      <c r="H1929" s="323" t="s">
        <v>502</v>
      </c>
      <c r="I1929" s="263"/>
      <c r="J1929" s="263"/>
      <c r="K1929" s="263"/>
      <c r="L1929" s="263"/>
      <c r="M1929" s="263"/>
      <c r="N1929" s="266">
        <v>1</v>
      </c>
      <c r="O1929" s="266">
        <v>2</v>
      </c>
      <c r="P1929" s="266">
        <v>3</v>
      </c>
      <c r="Q1929" s="266">
        <v>4</v>
      </c>
      <c r="R1929" s="266">
        <v>5</v>
      </c>
      <c r="S1929" s="266">
        <v>6</v>
      </c>
      <c r="T1929" s="266">
        <v>7</v>
      </c>
      <c r="U1929" s="263"/>
      <c r="V1929" s="266" t="s">
        <v>31</v>
      </c>
      <c r="W1929" s="267"/>
      <c r="X1929" s="263"/>
      <c r="AE1929" s="253" t="s">
        <v>68</v>
      </c>
      <c r="AV1929" s="256" t="str">
        <f>CONCATENATE(V1933,":",V1930, " ( ",AN1931,",",AO1931,",",AP1931,",",AQ1931,",",AR1931,",",AS1931,",",AT1931," ) ")</f>
        <v xml:space="preserve">3:0 ( 10,7,8,,,, ) </v>
      </c>
    </row>
    <row r="1930" spans="1:53" ht="39.950000000000003" customHeight="1">
      <c r="A1930" s="252" t="str">
        <f>CONCATENATE(A1928,1)</f>
        <v>MIXP201</v>
      </c>
      <c r="B1930" s="252" t="str">
        <f>VLOOKUP(A1930,'KO KODY SPOLU'!$A$3:$B$189,2,0)</f>
        <v>JALOVECKÝ / SLOBODNÍKOVÁ</v>
      </c>
      <c r="C1930" s="223"/>
      <c r="D1930" s="223"/>
      <c r="E1930" s="264" t="s">
        <v>29</v>
      </c>
      <c r="F1930" s="265">
        <f>VLOOKUP(CONCATENATE(A1928,1),'zoznam zapasov'!$A$6:$K$160,11,0)</f>
        <v>4</v>
      </c>
      <c r="G1930" s="508"/>
      <c r="H1930" s="319"/>
      <c r="I1930" s="487" t="str">
        <f>IF(ISERROR(VLOOKUP(B1930,vylosovanie!$N$75:$Q$191,3,0))=TRUE," ",VLOOKUP(B1930,vylosovanie!$N$75:$Q$191,3,0))</f>
        <v>JALOVECKÝ Marek</v>
      </c>
      <c r="J1930" s="488"/>
      <c r="K1930" s="488"/>
      <c r="L1930" s="488"/>
      <c r="M1930" s="263"/>
      <c r="N1930" s="489">
        <v>10</v>
      </c>
      <c r="O1930" s="489">
        <v>7</v>
      </c>
      <c r="P1930" s="489">
        <v>8</v>
      </c>
      <c r="Q1930" s="489"/>
      <c r="R1930" s="489"/>
      <c r="S1930" s="491"/>
      <c r="T1930" s="491"/>
      <c r="U1930" s="263"/>
      <c r="V1930" s="493">
        <f>IF(SUM(AF1930:AL1931)=0,"",SUM(AF1930:AL1930))</f>
        <v>0</v>
      </c>
      <c r="W1930" s="267"/>
      <c r="X1930" s="263"/>
      <c r="AE1930" s="253" t="str">
        <f>VLOOKUP(I1930,vylosovanie!$F$8:$L$190,7,0)</f>
        <v>CH72</v>
      </c>
      <c r="AF1930" s="268">
        <f>IF(N1930&gt;N1933,1,0)</f>
        <v>0</v>
      </c>
      <c r="AG1930" s="268">
        <f t="shared" ref="AG1930" si="1596">IF(O1930&gt;O1933,1,0)</f>
        <v>0</v>
      </c>
      <c r="AH1930" s="268">
        <f t="shared" ref="AH1930" si="1597">IF(P1930&gt;P1933,1,0)</f>
        <v>0</v>
      </c>
      <c r="AI1930" s="268">
        <f t="shared" ref="AI1930" si="1598">IF(Q1930&gt;Q1933,1,0)</f>
        <v>0</v>
      </c>
      <c r="AJ1930" s="268">
        <f t="shared" ref="AJ1930" si="1599">IF(R1930&gt;R1933,1,0)</f>
        <v>0</v>
      </c>
      <c r="AK1930" s="268">
        <f t="shared" ref="AK1930" si="1600">IF(S1930&gt;S1933,1,0)</f>
        <v>0</v>
      </c>
      <c r="AL1930" s="268">
        <f t="shared" ref="AL1930" si="1601">IF(T1930&gt;T1933,1,0)</f>
        <v>0</v>
      </c>
      <c r="AN1930" s="268">
        <f t="shared" ref="AN1930" si="1602">IF(ISBLANK(N1930)=TRUE,"",IF(AF1930=1,N1933,-N1930))</f>
        <v>-10</v>
      </c>
      <c r="AO1930" s="268">
        <f t="shared" ref="AO1930" si="1603">IF(ISBLANK(O1930)=TRUE,"",IF(AG1930=1,O1933,-O1930))</f>
        <v>-7</v>
      </c>
      <c r="AP1930" s="268">
        <f t="shared" ref="AP1930" si="1604">IF(ISBLANK(P1930)=TRUE,"",IF(AH1930=1,P1933,-P1930))</f>
        <v>-8</v>
      </c>
      <c r="AQ1930" s="268" t="str">
        <f t="shared" ref="AQ1930" si="1605">IF(ISBLANK(Q1930)=TRUE,"",IF(AI1930=1,Q1933,-Q1930))</f>
        <v/>
      </c>
      <c r="AR1930" s="268" t="str">
        <f t="shared" ref="AR1930" si="1606">IF(ISBLANK(R1930)=TRUE,"",IF(AJ1930=1,R1933,-R1930))</f>
        <v/>
      </c>
      <c r="AS1930" s="268" t="str">
        <f t="shared" ref="AS1930" si="1607">IF(ISBLANK(S1930)=TRUE,"",IF(AK1930=1,S1933,-S1930))</f>
        <v/>
      </c>
      <c r="AT1930" s="268" t="str">
        <f t="shared" ref="AT1930" si="1608">IF(ISBLANK(T1930)=TRUE,"",IF(AL1930=1,T1933,-T1930))</f>
        <v/>
      </c>
      <c r="AZ1930" s="269" t="s">
        <v>12</v>
      </c>
      <c r="BA1930" s="269">
        <v>1</v>
      </c>
    </row>
    <row r="1931" spans="1:53" ht="39.950000000000003" customHeight="1">
      <c r="C1931" s="223"/>
      <c r="D1931" s="223"/>
      <c r="E1931" s="264"/>
      <c r="F1931" s="265"/>
      <c r="G1931" s="509"/>
      <c r="H1931" s="319"/>
      <c r="I1931" s="487" t="str">
        <f>IF(ISERROR(VLOOKUP(B1930,vylosovanie!$N$75:$Q$191,3,0))=TRUE," ",VLOOKUP(B1930,vylosovanie!$N$75:$Q$191,4,0))</f>
        <v>SLOBODNÍKOVÁ Hana</v>
      </c>
      <c r="J1931" s="488"/>
      <c r="K1931" s="488"/>
      <c r="L1931" s="488"/>
      <c r="M1931" s="263"/>
      <c r="N1931" s="490"/>
      <c r="O1931" s="490"/>
      <c r="P1931" s="490"/>
      <c r="Q1931" s="490"/>
      <c r="R1931" s="490"/>
      <c r="S1931" s="492"/>
      <c r="T1931" s="492"/>
      <c r="U1931" s="263"/>
      <c r="V1931" s="493"/>
      <c r="W1931" s="267"/>
      <c r="X1931" s="263"/>
      <c r="AE1931" s="253" t="str">
        <f>VLOOKUP(I1933,vylosovanie!$F$8:$L$190,7,0)</f>
        <v>CH31</v>
      </c>
      <c r="AF1931" s="268">
        <f>IF(N1933&gt;N1930,1,0)</f>
        <v>1</v>
      </c>
      <c r="AG1931" s="268">
        <f t="shared" ref="AG1931" si="1609">IF(O1933&gt;O1930,1,0)</f>
        <v>1</v>
      </c>
      <c r="AH1931" s="268">
        <f t="shared" ref="AH1931" si="1610">IF(P1933&gt;P1930,1,0)</f>
        <v>1</v>
      </c>
      <c r="AI1931" s="268">
        <f t="shared" ref="AI1931" si="1611">IF(Q1933&gt;Q1930,1,0)</f>
        <v>0</v>
      </c>
      <c r="AJ1931" s="268">
        <f t="shared" ref="AJ1931" si="1612">IF(R1933&gt;R1930,1,0)</f>
        <v>0</v>
      </c>
      <c r="AK1931" s="268">
        <f t="shared" ref="AK1931" si="1613">IF(S1933&gt;S1930,1,0)</f>
        <v>0</v>
      </c>
      <c r="AL1931" s="268">
        <f t="shared" ref="AL1931" si="1614">IF(T1933&gt;T1930,1,0)</f>
        <v>0</v>
      </c>
      <c r="AN1931" s="268">
        <f t="shared" ref="AN1931" si="1615">IF(ISBLANK(N1933)=TRUE,"",IF(AF1931=1,N1930,-N1933))</f>
        <v>10</v>
      </c>
      <c r="AO1931" s="268">
        <f t="shared" ref="AO1931" si="1616">IF(ISBLANK(O1933)=TRUE,"",IF(AG1931=1,O1930,-O1933))</f>
        <v>7</v>
      </c>
      <c r="AP1931" s="268">
        <f t="shared" ref="AP1931" si="1617">IF(ISBLANK(P1933)=TRUE,"",IF(AH1931=1,P1930,-P1933))</f>
        <v>8</v>
      </c>
      <c r="AQ1931" s="268" t="str">
        <f t="shared" ref="AQ1931" si="1618">IF(ISBLANK(Q1933)=TRUE,"",IF(AI1931=1,Q1930,-Q1933))</f>
        <v/>
      </c>
      <c r="AR1931" s="268" t="str">
        <f t="shared" ref="AR1931" si="1619">IF(ISBLANK(R1933)=TRUE,"",IF(AJ1931=1,R1930,-R1933))</f>
        <v/>
      </c>
      <c r="AS1931" s="268" t="str">
        <f t="shared" ref="AS1931" si="1620">IF(ISBLANK(S1933)=TRUE,"",IF(AK1931=1,S1930,-S1933))</f>
        <v/>
      </c>
      <c r="AT1931" s="268" t="str">
        <f t="shared" ref="AT1931" si="1621">IF(ISBLANK(T1933)=TRUE,"",IF(AL1931=1,T1930,-T1933))</f>
        <v/>
      </c>
      <c r="AZ1931" s="269" t="s">
        <v>18</v>
      </c>
      <c r="BA1931" s="269">
        <v>2</v>
      </c>
    </row>
    <row r="1932" spans="1:53" ht="39.950000000000003" customHeight="1">
      <c r="C1932" s="223"/>
      <c r="D1932" s="223"/>
      <c r="E1932" s="264" t="s">
        <v>35</v>
      </c>
      <c r="F1932" s="265" t="str">
        <f>VLOOKUP(CONCATENATE(A1928,1),'zoznam zapasov'!$A$6:$K$160,9,0)</f>
        <v>So</v>
      </c>
      <c r="G1932" s="263"/>
      <c r="H1932" s="263"/>
      <c r="I1932" s="263"/>
      <c r="J1932" s="263"/>
      <c r="K1932" s="263"/>
      <c r="L1932" s="263"/>
      <c r="M1932" s="263"/>
      <c r="N1932" s="263"/>
      <c r="O1932" s="263"/>
      <c r="P1932" s="263"/>
      <c r="Q1932" s="263"/>
      <c r="R1932" s="263"/>
      <c r="S1932" s="263"/>
      <c r="T1932" s="263"/>
      <c r="U1932" s="263"/>
      <c r="V1932" s="263"/>
      <c r="W1932" s="267"/>
      <c r="X1932" s="263"/>
      <c r="AZ1932" s="269" t="s">
        <v>38</v>
      </c>
      <c r="BA1932" s="269">
        <v>3</v>
      </c>
    </row>
    <row r="1933" spans="1:53" ht="39.950000000000003" customHeight="1">
      <c r="A1933" s="252" t="str">
        <f>CONCATENATE(A1928,2)</f>
        <v>MIXP202</v>
      </c>
      <c r="B1933" s="252" t="str">
        <f>VLOOKUP(A1933,'KO KODY SPOLU'!$A$3:$B$189,2,0)</f>
        <v>FEČO / DZELINSKA</v>
      </c>
      <c r="C1933" s="223"/>
      <c r="D1933" s="223"/>
      <c r="E1933" s="264" t="s">
        <v>28</v>
      </c>
      <c r="F1933" s="270" t="str">
        <f>VLOOKUP(CONCATENATE(A1928,1),'zoznam zapasov'!$A$6:$K$160,10,0)</f>
        <v>14.55</v>
      </c>
      <c r="G1933" s="508"/>
      <c r="H1933" s="319"/>
      <c r="I1933" s="487" t="str">
        <f>IF(ISERROR(VLOOKUP(B1933,vylosovanie!$N$75:$Q$191,3,0))=TRUE," ",VLOOKUP(B1933,vylosovanie!$N$75:$Q$191,3,0))</f>
        <v>FEČO Samuel</v>
      </c>
      <c r="J1933" s="488"/>
      <c r="K1933" s="488"/>
      <c r="L1933" s="488"/>
      <c r="M1933" s="263"/>
      <c r="N1933" s="489">
        <v>12</v>
      </c>
      <c r="O1933" s="489">
        <v>11</v>
      </c>
      <c r="P1933" s="489">
        <v>11</v>
      </c>
      <c r="Q1933" s="489"/>
      <c r="R1933" s="489"/>
      <c r="S1933" s="491"/>
      <c r="T1933" s="491"/>
      <c r="U1933" s="263"/>
      <c r="V1933" s="493">
        <f>IF(SUM(AF1930:AL1931)=0,"",SUM(AF1931:AL1931))</f>
        <v>3</v>
      </c>
      <c r="W1933" s="267"/>
      <c r="X1933" s="263"/>
      <c r="AZ1933" s="269" t="s">
        <v>39</v>
      </c>
      <c r="BA1933" s="269">
        <v>4</v>
      </c>
    </row>
    <row r="1934" spans="1:53" ht="39.950000000000003" customHeight="1">
      <c r="C1934" s="223"/>
      <c r="D1934" s="223"/>
      <c r="E1934" s="271"/>
      <c r="F1934" s="272"/>
      <c r="G1934" s="509"/>
      <c r="H1934" s="319"/>
      <c r="I1934" s="487" t="str">
        <f>IF(ISERROR(VLOOKUP(B1933,vylosovanie!$N$75:$Q$191,3,0))=TRUE," ",VLOOKUP(B1933,vylosovanie!$N$75:$Q$191,4,0))</f>
        <v>DZELINSKA Júlia</v>
      </c>
      <c r="J1934" s="488"/>
      <c r="K1934" s="488"/>
      <c r="L1934" s="488"/>
      <c r="M1934" s="263"/>
      <c r="N1934" s="490"/>
      <c r="O1934" s="490"/>
      <c r="P1934" s="490"/>
      <c r="Q1934" s="490"/>
      <c r="R1934" s="490"/>
      <c r="S1934" s="492"/>
      <c r="T1934" s="492"/>
      <c r="U1934" s="263"/>
      <c r="V1934" s="493"/>
      <c r="W1934" s="267"/>
      <c r="X1934" s="263"/>
      <c r="AZ1934" s="269" t="s">
        <v>40</v>
      </c>
      <c r="BA1934" s="269">
        <v>5</v>
      </c>
    </row>
    <row r="1935" spans="1:53" ht="39.950000000000003" customHeight="1">
      <c r="C1935" s="223"/>
      <c r="D1935" s="223"/>
      <c r="E1935" s="264" t="s">
        <v>66</v>
      </c>
      <c r="F1935" s="265" t="s">
        <v>316</v>
      </c>
      <c r="G1935" s="263"/>
      <c r="H1935" s="263"/>
      <c r="I1935" s="263"/>
      <c r="J1935" s="263"/>
      <c r="K1935" s="263"/>
      <c r="L1935" s="263"/>
      <c r="M1935" s="263"/>
      <c r="N1935" s="263"/>
      <c r="O1935" s="263"/>
      <c r="P1935" s="263"/>
      <c r="Q1935" s="263"/>
      <c r="R1935" s="263"/>
      <c r="S1935" s="263"/>
      <c r="T1935" s="263"/>
      <c r="U1935" s="263"/>
      <c r="V1935" s="263"/>
      <c r="W1935" s="267"/>
      <c r="X1935" s="263"/>
      <c r="AZ1935" s="269" t="s">
        <v>41</v>
      </c>
      <c r="BA1935" s="269">
        <v>6</v>
      </c>
    </row>
    <row r="1936" spans="1:53" ht="39.950000000000003" customHeight="1">
      <c r="C1936" s="223"/>
      <c r="D1936" s="223"/>
      <c r="E1936" s="271"/>
      <c r="F1936" s="272"/>
      <c r="G1936" s="263"/>
      <c r="H1936" s="263"/>
      <c r="I1936" s="263" t="s">
        <v>32</v>
      </c>
      <c r="J1936" s="263"/>
      <c r="K1936" s="263"/>
      <c r="L1936" s="263"/>
      <c r="M1936" s="263"/>
      <c r="N1936" s="273"/>
      <c r="O1936" s="266"/>
      <c r="P1936" s="266" t="s">
        <v>34</v>
      </c>
      <c r="Q1936" s="266"/>
      <c r="R1936" s="266"/>
      <c r="S1936" s="266"/>
      <c r="T1936" s="266"/>
      <c r="U1936" s="263"/>
      <c r="V1936" s="263"/>
      <c r="W1936" s="267"/>
      <c r="X1936" s="263"/>
      <c r="AZ1936" s="269" t="s">
        <v>42</v>
      </c>
      <c r="BA1936" s="269">
        <v>7</v>
      </c>
    </row>
    <row r="1937" spans="1:53" ht="39.950000000000003" customHeight="1">
      <c r="E1937" s="264" t="s">
        <v>26</v>
      </c>
      <c r="F1937" s="265" t="s">
        <v>128</v>
      </c>
      <c r="G1937" s="263"/>
      <c r="H1937" s="263"/>
      <c r="I1937" s="486"/>
      <c r="J1937" s="486"/>
      <c r="K1937" s="486"/>
      <c r="L1937" s="486"/>
      <c r="M1937" s="263"/>
      <c r="N1937" s="483" t="str">
        <f>IF(V1930&gt;V1933,I1930,IF(V1933&gt;V1930,I1933,""))</f>
        <v>FEČO Samuel</v>
      </c>
      <c r="O1937" s="494"/>
      <c r="P1937" s="494"/>
      <c r="Q1937" s="494"/>
      <c r="R1937" s="494"/>
      <c r="S1937" s="495"/>
      <c r="T1937" s="263"/>
      <c r="U1937" s="263"/>
      <c r="V1937" s="263"/>
      <c r="W1937" s="267"/>
      <c r="X1937" s="263"/>
      <c r="AZ1937" s="269" t="s">
        <v>43</v>
      </c>
      <c r="BA1937" s="269">
        <v>8</v>
      </c>
    </row>
    <row r="1938" spans="1:53" ht="39.950000000000003" customHeight="1">
      <c r="E1938" s="271"/>
      <c r="F1938" s="272"/>
      <c r="G1938" s="263"/>
      <c r="H1938" s="263"/>
      <c r="I1938" s="486"/>
      <c r="J1938" s="486"/>
      <c r="K1938" s="486"/>
      <c r="L1938" s="486"/>
      <c r="M1938" s="263"/>
      <c r="N1938" s="483" t="str">
        <f>IF(V1930&gt;V1933,I1931,IF(V1933&gt;V1930,I1934,""))</f>
        <v>DZELINSKA Júlia</v>
      </c>
      <c r="O1938" s="494"/>
      <c r="P1938" s="494"/>
      <c r="Q1938" s="494"/>
      <c r="R1938" s="494"/>
      <c r="S1938" s="495"/>
      <c r="T1938" s="263"/>
      <c r="U1938" s="263"/>
      <c r="V1938" s="263"/>
      <c r="W1938" s="267"/>
      <c r="X1938" s="263"/>
    </row>
    <row r="1939" spans="1:53" ht="39.950000000000003" customHeight="1">
      <c r="E1939" s="264" t="s">
        <v>27</v>
      </c>
      <c r="F1939" s="274" t="s">
        <v>362</v>
      </c>
      <c r="G1939" s="263"/>
      <c r="H1939" s="263"/>
      <c r="I1939" s="263"/>
      <c r="J1939" s="263"/>
      <c r="K1939" s="263"/>
      <c r="L1939" s="263"/>
      <c r="M1939" s="263"/>
      <c r="N1939" s="263"/>
      <c r="O1939" s="263"/>
      <c r="P1939" s="263"/>
      <c r="Q1939" s="263"/>
      <c r="R1939" s="263"/>
      <c r="S1939" s="263"/>
      <c r="T1939" s="263"/>
      <c r="U1939" s="263"/>
      <c r="V1939" s="263"/>
      <c r="W1939" s="267"/>
      <c r="X1939" s="263"/>
    </row>
    <row r="1940" spans="1:53" ht="39.950000000000003" customHeight="1">
      <c r="E1940" s="271"/>
      <c r="F1940" s="272"/>
      <c r="G1940" s="263"/>
      <c r="H1940" s="263" t="s">
        <v>33</v>
      </c>
      <c r="I1940" s="263"/>
      <c r="J1940" s="263"/>
      <c r="K1940" s="263"/>
      <c r="L1940" s="263"/>
      <c r="M1940" s="263"/>
      <c r="N1940" s="263"/>
      <c r="O1940" s="263"/>
      <c r="P1940" s="263"/>
      <c r="Q1940" s="263"/>
      <c r="R1940" s="263"/>
      <c r="S1940" s="263"/>
      <c r="T1940" s="263"/>
      <c r="U1940" s="263"/>
      <c r="V1940" s="263"/>
      <c r="W1940" s="267"/>
      <c r="X1940" s="263"/>
    </row>
    <row r="1941" spans="1:53" ht="39.950000000000003" customHeight="1">
      <c r="E1941" s="271"/>
      <c r="F1941" s="272"/>
      <c r="G1941" s="263"/>
      <c r="H1941" s="263"/>
      <c r="I1941" s="263"/>
      <c r="J1941" s="263"/>
      <c r="K1941" s="263"/>
      <c r="L1941" s="263"/>
      <c r="M1941" s="263"/>
      <c r="N1941" s="263"/>
      <c r="O1941" s="263"/>
      <c r="P1941" s="263"/>
      <c r="Q1941" s="263"/>
      <c r="R1941" s="263"/>
      <c r="S1941" s="263"/>
      <c r="T1941" s="263"/>
      <c r="U1941" s="263"/>
      <c r="V1941" s="263"/>
      <c r="W1941" s="267"/>
      <c r="X1941" s="263"/>
    </row>
    <row r="1942" spans="1:53" ht="39.950000000000003" customHeight="1">
      <c r="E1942" s="271"/>
      <c r="F1942" s="272"/>
      <c r="G1942" s="263"/>
      <c r="H1942" s="263"/>
      <c r="I1942" s="496" t="str">
        <f>I1930</f>
        <v>JALOVECKÝ Marek</v>
      </c>
      <c r="J1942" s="496"/>
      <c r="K1942" s="496"/>
      <c r="L1942" s="496"/>
      <c r="M1942" s="263"/>
      <c r="N1942" s="263"/>
      <c r="P1942" s="496" t="str">
        <f>I1933</f>
        <v>FEČO Samuel</v>
      </c>
      <c r="Q1942" s="496"/>
      <c r="R1942" s="496"/>
      <c r="S1942" s="496"/>
      <c r="T1942" s="497"/>
      <c r="U1942" s="497"/>
      <c r="V1942" s="263"/>
      <c r="W1942" s="267"/>
      <c r="X1942" s="263"/>
    </row>
    <row r="1943" spans="1:53" ht="39.950000000000003" customHeight="1">
      <c r="E1943" s="271"/>
      <c r="F1943" s="272"/>
      <c r="G1943" s="263"/>
      <c r="H1943" s="263"/>
      <c r="I1943" s="496" t="str">
        <f>I1931</f>
        <v>SLOBODNÍKOVÁ Hana</v>
      </c>
      <c r="J1943" s="496"/>
      <c r="K1943" s="496"/>
      <c r="L1943" s="496"/>
      <c r="M1943" s="263"/>
      <c r="N1943" s="263"/>
      <c r="O1943" s="263"/>
      <c r="P1943" s="496" t="str">
        <f>I1934</f>
        <v>DZELINSKA Júlia</v>
      </c>
      <c r="Q1943" s="496"/>
      <c r="R1943" s="496"/>
      <c r="S1943" s="496"/>
      <c r="T1943" s="497"/>
      <c r="U1943" s="497"/>
      <c r="V1943" s="263"/>
      <c r="W1943" s="267"/>
      <c r="X1943" s="263"/>
    </row>
    <row r="1944" spans="1:53" ht="69.95" customHeight="1">
      <c r="E1944" s="264"/>
      <c r="F1944" s="265"/>
      <c r="G1944" s="263"/>
      <c r="H1944" s="275" t="s">
        <v>36</v>
      </c>
      <c r="I1944" s="483"/>
      <c r="J1944" s="484"/>
      <c r="K1944" s="484"/>
      <c r="L1944" s="485"/>
      <c r="M1944" s="263"/>
      <c r="N1944" s="263"/>
      <c r="O1944" s="275" t="s">
        <v>36</v>
      </c>
      <c r="P1944" s="486"/>
      <c r="Q1944" s="486"/>
      <c r="R1944" s="486"/>
      <c r="S1944" s="486"/>
      <c r="T1944" s="486"/>
      <c r="U1944" s="486"/>
      <c r="V1944" s="263"/>
      <c r="W1944" s="267"/>
      <c r="X1944" s="263"/>
    </row>
    <row r="1945" spans="1:53" ht="69.95" customHeight="1">
      <c r="E1945" s="264"/>
      <c r="F1945" s="265"/>
      <c r="G1945" s="263"/>
      <c r="H1945" s="275" t="s">
        <v>37</v>
      </c>
      <c r="I1945" s="486"/>
      <c r="J1945" s="486"/>
      <c r="K1945" s="486"/>
      <c r="L1945" s="486"/>
      <c r="M1945" s="263"/>
      <c r="N1945" s="263"/>
      <c r="O1945" s="275" t="s">
        <v>37</v>
      </c>
      <c r="P1945" s="486"/>
      <c r="Q1945" s="486"/>
      <c r="R1945" s="486"/>
      <c r="S1945" s="486"/>
      <c r="T1945" s="486"/>
      <c r="U1945" s="486"/>
      <c r="V1945" s="263"/>
      <c r="W1945" s="267"/>
      <c r="X1945" s="263"/>
    </row>
    <row r="1946" spans="1:53" ht="69.95" customHeight="1">
      <c r="E1946" s="264"/>
      <c r="F1946" s="265"/>
      <c r="G1946" s="263"/>
      <c r="H1946" s="275" t="s">
        <v>37</v>
      </c>
      <c r="I1946" s="486"/>
      <c r="J1946" s="486"/>
      <c r="K1946" s="486"/>
      <c r="L1946" s="486"/>
      <c r="M1946" s="263"/>
      <c r="N1946" s="263"/>
      <c r="O1946" s="275" t="s">
        <v>37</v>
      </c>
      <c r="P1946" s="486"/>
      <c r="Q1946" s="486"/>
      <c r="R1946" s="486"/>
      <c r="S1946" s="486"/>
      <c r="T1946" s="486"/>
      <c r="U1946" s="486"/>
      <c r="V1946" s="263"/>
      <c r="W1946" s="267"/>
      <c r="X1946" s="263"/>
    </row>
    <row r="1947" spans="1:53" ht="39.950000000000003" customHeight="1" thickBot="1">
      <c r="E1947" s="276"/>
      <c r="F1947" s="277"/>
      <c r="G1947" s="278"/>
      <c r="H1947" s="278"/>
      <c r="I1947" s="278"/>
      <c r="J1947" s="278"/>
      <c r="K1947" s="278"/>
      <c r="L1947" s="278"/>
      <c r="M1947" s="278"/>
      <c r="N1947" s="278"/>
      <c r="O1947" s="278"/>
      <c r="P1947" s="278"/>
      <c r="Q1947" s="278"/>
      <c r="R1947" s="278"/>
      <c r="S1947" s="278"/>
      <c r="T1947" s="279"/>
      <c r="U1947" s="279"/>
      <c r="V1947" s="279"/>
      <c r="W1947" s="280"/>
      <c r="X1947" s="263"/>
    </row>
    <row r="1948" spans="1:53" ht="62.25" thickBot="1"/>
    <row r="1949" spans="1:53" ht="39.950000000000003" customHeight="1">
      <c r="A1949" s="252" t="str">
        <f>CONCATENATE(F1956,F1958,F1960)</f>
        <v>MIXP21</v>
      </c>
      <c r="C1949" s="223"/>
      <c r="D1949" s="223"/>
      <c r="E1949" s="259" t="s">
        <v>70</v>
      </c>
      <c r="F1949" s="260">
        <f>VLOOKUP(CONCATENATE(A1949,1),'zoznam zapasov'!$A$6:$K$160,3,0)</f>
        <v>97</v>
      </c>
      <c r="G1949" s="261"/>
      <c r="H1949" s="322" t="s">
        <v>501</v>
      </c>
      <c r="I1949" s="261"/>
      <c r="J1949" s="261"/>
      <c r="K1949" s="261"/>
      <c r="L1949" s="261"/>
      <c r="M1949" s="261"/>
      <c r="N1949" s="261"/>
      <c r="O1949" s="261"/>
      <c r="P1949" s="261"/>
      <c r="Q1949" s="261"/>
      <c r="R1949" s="261"/>
      <c r="S1949" s="261"/>
      <c r="T1949" s="261"/>
      <c r="U1949" s="261"/>
      <c r="V1949" s="261" t="s">
        <v>30</v>
      </c>
      <c r="W1949" s="262"/>
      <c r="X1949" s="263"/>
      <c r="Y1949" s="253" t="str">
        <f>A1951</f>
        <v>MIXP211</v>
      </c>
      <c r="Z1949" s="258" t="str">
        <f>CONCATENATE(V1951,":",V1954)</f>
        <v>3:0</v>
      </c>
      <c r="AA1949" s="255" t="str">
        <f>IF(V1951&gt;V1954,B1951,IF(V1954&gt;V1951,B1954,""))</f>
        <v>PINDURA / ŠINKAROVÁ</v>
      </c>
      <c r="AB1949" s="255" t="str">
        <f>IF(V1951&gt;V1954,AV1949,IF(V1954&gt;V1951,AV1950,""))</f>
        <v xml:space="preserve">3:0 ( 9,5,4,,,, ) </v>
      </c>
      <c r="AC1949" s="255" t="str">
        <f>CONCATENATE("Tbl.: ",F1951,"   H: ",F1954,"   D: ",F1953)</f>
        <v>Tbl.: 5   H: 14.55   D: So</v>
      </c>
      <c r="AE1949" s="253" t="s">
        <v>11</v>
      </c>
      <c r="AV1949" s="256" t="str">
        <f>CONCATENATE(V1951,":",V1954, " ( ",AN1951,",",AO1951,",",AP1951,",",AQ1951,",",AR1951,",",AS1951,",",AT1951," ) ")</f>
        <v xml:space="preserve">3:0 ( 9,5,4,,,, ) </v>
      </c>
    </row>
    <row r="1950" spans="1:53" ht="39.950000000000003" customHeight="1">
      <c r="C1950" s="223"/>
      <c r="D1950" s="223"/>
      <c r="E1950" s="264"/>
      <c r="F1950" s="265"/>
      <c r="G1950" s="321" t="s">
        <v>500</v>
      </c>
      <c r="H1950" s="323" t="s">
        <v>502</v>
      </c>
      <c r="I1950" s="263"/>
      <c r="J1950" s="263"/>
      <c r="K1950" s="263"/>
      <c r="L1950" s="263"/>
      <c r="M1950" s="263"/>
      <c r="N1950" s="266">
        <v>1</v>
      </c>
      <c r="O1950" s="266">
        <v>2</v>
      </c>
      <c r="P1950" s="266">
        <v>3</v>
      </c>
      <c r="Q1950" s="266">
        <v>4</v>
      </c>
      <c r="R1950" s="266">
        <v>5</v>
      </c>
      <c r="S1950" s="266">
        <v>6</v>
      </c>
      <c r="T1950" s="266">
        <v>7</v>
      </c>
      <c r="U1950" s="263"/>
      <c r="V1950" s="266" t="s">
        <v>31</v>
      </c>
      <c r="W1950" s="267"/>
      <c r="X1950" s="263"/>
      <c r="AE1950" s="253" t="s">
        <v>68</v>
      </c>
      <c r="AV1950" s="256" t="str">
        <f>CONCATENATE(V1954,":",V1951, " ( ",AN1952,",",AO1952,",",AP1952,",",AQ1952,",",AR1952,",",AS1952,",",AT1952," ) ")</f>
        <v xml:space="preserve">0:3 ( -9,-5,-4,,,, ) </v>
      </c>
    </row>
    <row r="1951" spans="1:53" ht="39.950000000000003" customHeight="1">
      <c r="A1951" s="252" t="str">
        <f>CONCATENATE(A1949,1)</f>
        <v>MIXP211</v>
      </c>
      <c r="B1951" s="252" t="str">
        <f>VLOOKUP(A1951,'KO KODY SPOLU'!$A$3:$B$189,2,0)</f>
        <v>PINDURA / ŠINKAROVÁ</v>
      </c>
      <c r="C1951" s="223"/>
      <c r="D1951" s="223"/>
      <c r="E1951" s="264" t="s">
        <v>29</v>
      </c>
      <c r="F1951" s="265">
        <f>VLOOKUP(CONCATENATE(A1949,1),'zoznam zapasov'!$A$6:$K$160,11,0)</f>
        <v>5</v>
      </c>
      <c r="G1951" s="508"/>
      <c r="H1951" s="319"/>
      <c r="I1951" s="487" t="str">
        <f>IF(ISERROR(VLOOKUP(B1951,vylosovanie!$N$75:$Q$191,3,0))=TRUE," ",VLOOKUP(B1951,vylosovanie!$N$75:$Q$191,3,0))</f>
        <v>PINDURA Tobiáš</v>
      </c>
      <c r="J1951" s="488"/>
      <c r="K1951" s="488"/>
      <c r="L1951" s="488"/>
      <c r="M1951" s="263"/>
      <c r="N1951" s="489">
        <v>11</v>
      </c>
      <c r="O1951" s="489">
        <v>11</v>
      </c>
      <c r="P1951" s="489">
        <v>11</v>
      </c>
      <c r="Q1951" s="489"/>
      <c r="R1951" s="489"/>
      <c r="S1951" s="491"/>
      <c r="T1951" s="491"/>
      <c r="U1951" s="263"/>
      <c r="V1951" s="493">
        <f>IF(SUM(AF1951:AL1952)=0,"",SUM(AF1951:AL1951))</f>
        <v>3</v>
      </c>
      <c r="W1951" s="267"/>
      <c r="X1951" s="263"/>
      <c r="AE1951" s="253" t="str">
        <f>VLOOKUP(I1951,vylosovanie!$F$8:$L$190,7,0)</f>
        <v>CH41</v>
      </c>
      <c r="AF1951" s="268">
        <f>IF(N1951&gt;N1954,1,0)</f>
        <v>1</v>
      </c>
      <c r="AG1951" s="268">
        <f t="shared" ref="AG1951" si="1622">IF(O1951&gt;O1954,1,0)</f>
        <v>1</v>
      </c>
      <c r="AH1951" s="268">
        <f t="shared" ref="AH1951" si="1623">IF(P1951&gt;P1954,1,0)</f>
        <v>1</v>
      </c>
      <c r="AI1951" s="268">
        <f t="shared" ref="AI1951" si="1624">IF(Q1951&gt;Q1954,1,0)</f>
        <v>0</v>
      </c>
      <c r="AJ1951" s="268">
        <f t="shared" ref="AJ1951" si="1625">IF(R1951&gt;R1954,1,0)</f>
        <v>0</v>
      </c>
      <c r="AK1951" s="268">
        <f t="shared" ref="AK1951" si="1626">IF(S1951&gt;S1954,1,0)</f>
        <v>0</v>
      </c>
      <c r="AL1951" s="268">
        <f t="shared" ref="AL1951" si="1627">IF(T1951&gt;T1954,1,0)</f>
        <v>0</v>
      </c>
      <c r="AN1951" s="268">
        <f t="shared" ref="AN1951" si="1628">IF(ISBLANK(N1951)=TRUE,"",IF(AF1951=1,N1954,-N1951))</f>
        <v>9</v>
      </c>
      <c r="AO1951" s="268">
        <f t="shared" ref="AO1951" si="1629">IF(ISBLANK(O1951)=TRUE,"",IF(AG1951=1,O1954,-O1951))</f>
        <v>5</v>
      </c>
      <c r="AP1951" s="268">
        <f t="shared" ref="AP1951" si="1630">IF(ISBLANK(P1951)=TRUE,"",IF(AH1951=1,P1954,-P1951))</f>
        <v>4</v>
      </c>
      <c r="AQ1951" s="268" t="str">
        <f t="shared" ref="AQ1951" si="1631">IF(ISBLANK(Q1951)=TRUE,"",IF(AI1951=1,Q1954,-Q1951))</f>
        <v/>
      </c>
      <c r="AR1951" s="268" t="str">
        <f t="shared" ref="AR1951" si="1632">IF(ISBLANK(R1951)=TRUE,"",IF(AJ1951=1,R1954,-R1951))</f>
        <v/>
      </c>
      <c r="AS1951" s="268" t="str">
        <f t="shared" ref="AS1951" si="1633">IF(ISBLANK(S1951)=TRUE,"",IF(AK1951=1,S1954,-S1951))</f>
        <v/>
      </c>
      <c r="AT1951" s="268" t="str">
        <f t="shared" ref="AT1951" si="1634">IF(ISBLANK(T1951)=TRUE,"",IF(AL1951=1,T1954,-T1951))</f>
        <v/>
      </c>
      <c r="AZ1951" s="269" t="s">
        <v>12</v>
      </c>
      <c r="BA1951" s="269">
        <v>1</v>
      </c>
    </row>
    <row r="1952" spans="1:53" ht="39.950000000000003" customHeight="1">
      <c r="C1952" s="223"/>
      <c r="D1952" s="223"/>
      <c r="E1952" s="264"/>
      <c r="F1952" s="265"/>
      <c r="G1952" s="509"/>
      <c r="H1952" s="319"/>
      <c r="I1952" s="487" t="str">
        <f>IF(ISERROR(VLOOKUP(B1951,vylosovanie!$N$75:$Q$191,3,0))=TRUE," ",VLOOKUP(B1951,vylosovanie!$N$75:$Q$191,4,0))</f>
        <v>ŠINKAROVÁ Dáša</v>
      </c>
      <c r="J1952" s="488"/>
      <c r="K1952" s="488"/>
      <c r="L1952" s="488"/>
      <c r="M1952" s="263"/>
      <c r="N1952" s="490"/>
      <c r="O1952" s="490"/>
      <c r="P1952" s="490"/>
      <c r="Q1952" s="490"/>
      <c r="R1952" s="490"/>
      <c r="S1952" s="492"/>
      <c r="T1952" s="492"/>
      <c r="U1952" s="263"/>
      <c r="V1952" s="493"/>
      <c r="W1952" s="267"/>
      <c r="X1952" s="263"/>
      <c r="AE1952" s="253" t="str">
        <f>VLOOKUP(I1954,vylosovanie!$F$8:$L$190,7,0)</f>
        <v>CH14</v>
      </c>
      <c r="AF1952" s="268">
        <f>IF(N1954&gt;N1951,1,0)</f>
        <v>0</v>
      </c>
      <c r="AG1952" s="268">
        <f t="shared" ref="AG1952" si="1635">IF(O1954&gt;O1951,1,0)</f>
        <v>0</v>
      </c>
      <c r="AH1952" s="268">
        <f t="shared" ref="AH1952" si="1636">IF(P1954&gt;P1951,1,0)</f>
        <v>0</v>
      </c>
      <c r="AI1952" s="268">
        <f t="shared" ref="AI1952" si="1637">IF(Q1954&gt;Q1951,1,0)</f>
        <v>0</v>
      </c>
      <c r="AJ1952" s="268">
        <f t="shared" ref="AJ1952" si="1638">IF(R1954&gt;R1951,1,0)</f>
        <v>0</v>
      </c>
      <c r="AK1952" s="268">
        <f t="shared" ref="AK1952" si="1639">IF(S1954&gt;S1951,1,0)</f>
        <v>0</v>
      </c>
      <c r="AL1952" s="268">
        <f t="shared" ref="AL1952" si="1640">IF(T1954&gt;T1951,1,0)</f>
        <v>0</v>
      </c>
      <c r="AN1952" s="268">
        <f t="shared" ref="AN1952" si="1641">IF(ISBLANK(N1954)=TRUE,"",IF(AF1952=1,N1951,-N1954))</f>
        <v>-9</v>
      </c>
      <c r="AO1952" s="268">
        <f t="shared" ref="AO1952" si="1642">IF(ISBLANK(O1954)=TRUE,"",IF(AG1952=1,O1951,-O1954))</f>
        <v>-5</v>
      </c>
      <c r="AP1952" s="268">
        <f t="shared" ref="AP1952" si="1643">IF(ISBLANK(P1954)=TRUE,"",IF(AH1952=1,P1951,-P1954))</f>
        <v>-4</v>
      </c>
      <c r="AQ1952" s="268" t="str">
        <f t="shared" ref="AQ1952" si="1644">IF(ISBLANK(Q1954)=TRUE,"",IF(AI1952=1,Q1951,-Q1954))</f>
        <v/>
      </c>
      <c r="AR1952" s="268" t="str">
        <f t="shared" ref="AR1952" si="1645">IF(ISBLANK(R1954)=TRUE,"",IF(AJ1952=1,R1951,-R1954))</f>
        <v/>
      </c>
      <c r="AS1952" s="268" t="str">
        <f t="shared" ref="AS1952" si="1646">IF(ISBLANK(S1954)=TRUE,"",IF(AK1952=1,S1951,-S1954))</f>
        <v/>
      </c>
      <c r="AT1952" s="268" t="str">
        <f t="shared" ref="AT1952" si="1647">IF(ISBLANK(T1954)=TRUE,"",IF(AL1952=1,T1951,-T1954))</f>
        <v/>
      </c>
      <c r="AZ1952" s="269" t="s">
        <v>18</v>
      </c>
      <c r="BA1952" s="269">
        <v>2</v>
      </c>
    </row>
    <row r="1953" spans="1:53" ht="39.950000000000003" customHeight="1">
      <c r="C1953" s="223"/>
      <c r="D1953" s="223"/>
      <c r="E1953" s="264" t="s">
        <v>35</v>
      </c>
      <c r="F1953" s="265" t="str">
        <f>VLOOKUP(CONCATENATE(A1949,1),'zoznam zapasov'!$A$6:$K$160,9,0)</f>
        <v>So</v>
      </c>
      <c r="G1953" s="263"/>
      <c r="H1953" s="263"/>
      <c r="I1953" s="263"/>
      <c r="J1953" s="263"/>
      <c r="K1953" s="263"/>
      <c r="L1953" s="263"/>
      <c r="M1953" s="263"/>
      <c r="N1953" s="263"/>
      <c r="O1953" s="263"/>
      <c r="P1953" s="263"/>
      <c r="Q1953" s="263"/>
      <c r="R1953" s="263"/>
      <c r="S1953" s="263"/>
      <c r="T1953" s="263"/>
      <c r="U1953" s="263"/>
      <c r="V1953" s="263"/>
      <c r="W1953" s="267"/>
      <c r="X1953" s="263"/>
      <c r="AZ1953" s="269" t="s">
        <v>38</v>
      </c>
      <c r="BA1953" s="269">
        <v>3</v>
      </c>
    </row>
    <row r="1954" spans="1:53" ht="39.950000000000003" customHeight="1">
      <c r="A1954" s="252" t="str">
        <f>CONCATENATE(A1949,2)</f>
        <v>MIXP212</v>
      </c>
      <c r="B1954" s="252" t="str">
        <f>VLOOKUP(A1954,'KO KODY SPOLU'!$A$3:$B$189,2,0)</f>
        <v>MARUNIAK / VOJTASOVA</v>
      </c>
      <c r="C1954" s="223"/>
      <c r="D1954" s="223"/>
      <c r="E1954" s="264" t="s">
        <v>28</v>
      </c>
      <c r="F1954" s="270" t="str">
        <f>VLOOKUP(CONCATENATE(A1949,1),'zoznam zapasov'!$A$6:$K$160,10,0)</f>
        <v>14.55</v>
      </c>
      <c r="G1954" s="508"/>
      <c r="H1954" s="319"/>
      <c r="I1954" s="487" t="str">
        <f>IF(ISERROR(VLOOKUP(B1954,vylosovanie!$N$75:$Q$191,3,0))=TRUE," ",VLOOKUP(B1954,vylosovanie!$N$75:$Q$191,3,0))</f>
        <v>MARUNIAK Martin</v>
      </c>
      <c r="J1954" s="488"/>
      <c r="K1954" s="488"/>
      <c r="L1954" s="488"/>
      <c r="M1954" s="263"/>
      <c r="N1954" s="489">
        <v>9</v>
      </c>
      <c r="O1954" s="489">
        <v>5</v>
      </c>
      <c r="P1954" s="489">
        <v>4</v>
      </c>
      <c r="Q1954" s="489"/>
      <c r="R1954" s="489"/>
      <c r="S1954" s="491"/>
      <c r="T1954" s="491"/>
      <c r="U1954" s="263"/>
      <c r="V1954" s="493">
        <f>IF(SUM(AF1951:AL1952)=0,"",SUM(AF1952:AL1952))</f>
        <v>0</v>
      </c>
      <c r="W1954" s="267"/>
      <c r="X1954" s="263"/>
      <c r="AZ1954" s="269" t="s">
        <v>39</v>
      </c>
      <c r="BA1954" s="269">
        <v>4</v>
      </c>
    </row>
    <row r="1955" spans="1:53" ht="39.950000000000003" customHeight="1">
      <c r="C1955" s="223"/>
      <c r="D1955" s="223"/>
      <c r="E1955" s="271"/>
      <c r="F1955" s="272"/>
      <c r="G1955" s="509"/>
      <c r="H1955" s="319"/>
      <c r="I1955" s="487" t="str">
        <f>IF(ISERROR(VLOOKUP(B1954,vylosovanie!$N$75:$Q$191,3,0))=TRUE," ",VLOOKUP(B1954,vylosovanie!$N$75:$Q$191,4,0))</f>
        <v>VOJTASOVA Patrícia</v>
      </c>
      <c r="J1955" s="488"/>
      <c r="K1955" s="488"/>
      <c r="L1955" s="488"/>
      <c r="M1955" s="263"/>
      <c r="N1955" s="490"/>
      <c r="O1955" s="490"/>
      <c r="P1955" s="490"/>
      <c r="Q1955" s="490"/>
      <c r="R1955" s="490"/>
      <c r="S1955" s="492"/>
      <c r="T1955" s="492"/>
      <c r="U1955" s="263"/>
      <c r="V1955" s="493"/>
      <c r="W1955" s="267"/>
      <c r="X1955" s="263"/>
      <c r="AZ1955" s="269" t="s">
        <v>40</v>
      </c>
      <c r="BA1955" s="269">
        <v>5</v>
      </c>
    </row>
    <row r="1956" spans="1:53" ht="39.950000000000003" customHeight="1">
      <c r="C1956" s="223"/>
      <c r="D1956" s="223"/>
      <c r="E1956" s="264" t="s">
        <v>66</v>
      </c>
      <c r="F1956" s="265" t="s">
        <v>316</v>
      </c>
      <c r="G1956" s="263"/>
      <c r="H1956" s="263"/>
      <c r="I1956" s="263"/>
      <c r="J1956" s="263"/>
      <c r="K1956" s="263"/>
      <c r="L1956" s="263"/>
      <c r="M1956" s="263"/>
      <c r="N1956" s="263"/>
      <c r="O1956" s="263"/>
      <c r="P1956" s="263"/>
      <c r="Q1956" s="263"/>
      <c r="R1956" s="263"/>
      <c r="S1956" s="263"/>
      <c r="T1956" s="263"/>
      <c r="U1956" s="263"/>
      <c r="V1956" s="263"/>
      <c r="W1956" s="267"/>
      <c r="X1956" s="263"/>
      <c r="AZ1956" s="269" t="s">
        <v>41</v>
      </c>
      <c r="BA1956" s="269">
        <v>6</v>
      </c>
    </row>
    <row r="1957" spans="1:53" ht="39.950000000000003" customHeight="1">
      <c r="C1957" s="223"/>
      <c r="D1957" s="223"/>
      <c r="E1957" s="271"/>
      <c r="F1957" s="272"/>
      <c r="G1957" s="263"/>
      <c r="H1957" s="263"/>
      <c r="I1957" s="263" t="s">
        <v>32</v>
      </c>
      <c r="J1957" s="263"/>
      <c r="K1957" s="263"/>
      <c r="L1957" s="263"/>
      <c r="M1957" s="263"/>
      <c r="N1957" s="273"/>
      <c r="O1957" s="266"/>
      <c r="P1957" s="266" t="s">
        <v>34</v>
      </c>
      <c r="Q1957" s="266"/>
      <c r="R1957" s="266"/>
      <c r="S1957" s="266"/>
      <c r="T1957" s="266"/>
      <c r="U1957" s="263"/>
      <c r="V1957" s="263"/>
      <c r="W1957" s="267"/>
      <c r="X1957" s="263"/>
      <c r="AZ1957" s="269" t="s">
        <v>42</v>
      </c>
      <c r="BA1957" s="269">
        <v>7</v>
      </c>
    </row>
    <row r="1958" spans="1:53" ht="39.950000000000003" customHeight="1">
      <c r="E1958" s="264" t="s">
        <v>26</v>
      </c>
      <c r="F1958" s="265" t="s">
        <v>128</v>
      </c>
      <c r="G1958" s="263"/>
      <c r="H1958" s="263"/>
      <c r="I1958" s="486"/>
      <c r="J1958" s="486"/>
      <c r="K1958" s="486"/>
      <c r="L1958" s="486"/>
      <c r="M1958" s="263"/>
      <c r="N1958" s="483" t="str">
        <f>IF(V1951&gt;V1954,I1951,IF(V1954&gt;V1951,I1954,""))</f>
        <v>PINDURA Tobiáš</v>
      </c>
      <c r="O1958" s="494"/>
      <c r="P1958" s="494"/>
      <c r="Q1958" s="494"/>
      <c r="R1958" s="494"/>
      <c r="S1958" s="495"/>
      <c r="T1958" s="263"/>
      <c r="U1958" s="263"/>
      <c r="V1958" s="263"/>
      <c r="W1958" s="267"/>
      <c r="X1958" s="263"/>
      <c r="AZ1958" s="269" t="s">
        <v>43</v>
      </c>
      <c r="BA1958" s="269">
        <v>8</v>
      </c>
    </row>
    <row r="1959" spans="1:53" ht="39.950000000000003" customHeight="1">
      <c r="E1959" s="271"/>
      <c r="F1959" s="272"/>
      <c r="G1959" s="263"/>
      <c r="H1959" s="263"/>
      <c r="I1959" s="486"/>
      <c r="J1959" s="486"/>
      <c r="K1959" s="486"/>
      <c r="L1959" s="486"/>
      <c r="M1959" s="263"/>
      <c r="N1959" s="483" t="str">
        <f>IF(V1951&gt;V1954,I1952,IF(V1954&gt;V1951,I1955,""))</f>
        <v>ŠINKAROVÁ Dáša</v>
      </c>
      <c r="O1959" s="494"/>
      <c r="P1959" s="494"/>
      <c r="Q1959" s="494"/>
      <c r="R1959" s="494"/>
      <c r="S1959" s="495"/>
      <c r="T1959" s="263"/>
      <c r="U1959" s="263"/>
      <c r="V1959" s="263"/>
      <c r="W1959" s="267"/>
      <c r="X1959" s="263"/>
    </row>
    <row r="1960" spans="1:53" ht="39.950000000000003" customHeight="1">
      <c r="E1960" s="264" t="s">
        <v>27</v>
      </c>
      <c r="F1960" s="274" t="s">
        <v>368</v>
      </c>
      <c r="G1960" s="263"/>
      <c r="H1960" s="263"/>
      <c r="I1960" s="263"/>
      <c r="J1960" s="263"/>
      <c r="K1960" s="263"/>
      <c r="L1960" s="263"/>
      <c r="M1960" s="263"/>
      <c r="N1960" s="263"/>
      <c r="O1960" s="263"/>
      <c r="P1960" s="263"/>
      <c r="Q1960" s="263"/>
      <c r="R1960" s="263"/>
      <c r="S1960" s="263"/>
      <c r="T1960" s="263"/>
      <c r="U1960" s="263"/>
      <c r="V1960" s="263"/>
      <c r="W1960" s="267"/>
      <c r="X1960" s="263"/>
    </row>
    <row r="1961" spans="1:53" ht="39.950000000000003" customHeight="1">
      <c r="E1961" s="271"/>
      <c r="F1961" s="272"/>
      <c r="G1961" s="263"/>
      <c r="H1961" s="263" t="s">
        <v>33</v>
      </c>
      <c r="I1961" s="263"/>
      <c r="J1961" s="263"/>
      <c r="K1961" s="263"/>
      <c r="L1961" s="263"/>
      <c r="M1961" s="263"/>
      <c r="N1961" s="263"/>
      <c r="O1961" s="263"/>
      <c r="P1961" s="263"/>
      <c r="Q1961" s="263"/>
      <c r="R1961" s="263"/>
      <c r="S1961" s="263"/>
      <c r="T1961" s="263"/>
      <c r="U1961" s="263"/>
      <c r="V1961" s="263"/>
      <c r="W1961" s="267"/>
      <c r="X1961" s="263"/>
    </row>
    <row r="1962" spans="1:53" ht="39.950000000000003" customHeight="1">
      <c r="E1962" s="271"/>
      <c r="F1962" s="272"/>
      <c r="G1962" s="263"/>
      <c r="H1962" s="263"/>
      <c r="I1962" s="263"/>
      <c r="J1962" s="263"/>
      <c r="K1962" s="263"/>
      <c r="L1962" s="263"/>
      <c r="M1962" s="263"/>
      <c r="N1962" s="263"/>
      <c r="O1962" s="263"/>
      <c r="P1962" s="263"/>
      <c r="Q1962" s="263"/>
      <c r="R1962" s="263"/>
      <c r="S1962" s="263"/>
      <c r="T1962" s="263"/>
      <c r="U1962" s="263"/>
      <c r="V1962" s="263"/>
      <c r="W1962" s="267"/>
      <c r="X1962" s="263"/>
    </row>
    <row r="1963" spans="1:53" ht="39.950000000000003" customHeight="1">
      <c r="E1963" s="271"/>
      <c r="F1963" s="272"/>
      <c r="G1963" s="263"/>
      <c r="H1963" s="263"/>
      <c r="I1963" s="496" t="str">
        <f>I1951</f>
        <v>PINDURA Tobiáš</v>
      </c>
      <c r="J1963" s="496"/>
      <c r="K1963" s="496"/>
      <c r="L1963" s="496"/>
      <c r="M1963" s="263"/>
      <c r="N1963" s="263"/>
      <c r="P1963" s="496" t="str">
        <f>I1954</f>
        <v>MARUNIAK Martin</v>
      </c>
      <c r="Q1963" s="496"/>
      <c r="R1963" s="496"/>
      <c r="S1963" s="496"/>
      <c r="T1963" s="497"/>
      <c r="U1963" s="497"/>
      <c r="V1963" s="263"/>
      <c r="W1963" s="267"/>
      <c r="X1963" s="263"/>
    </row>
    <row r="1964" spans="1:53" ht="39.950000000000003" customHeight="1">
      <c r="E1964" s="271"/>
      <c r="F1964" s="272"/>
      <c r="G1964" s="263"/>
      <c r="H1964" s="263"/>
      <c r="I1964" s="496" t="str">
        <f>I1952</f>
        <v>ŠINKAROVÁ Dáša</v>
      </c>
      <c r="J1964" s="496"/>
      <c r="K1964" s="496"/>
      <c r="L1964" s="496"/>
      <c r="M1964" s="263"/>
      <c r="N1964" s="263"/>
      <c r="O1964" s="263"/>
      <c r="P1964" s="496" t="str">
        <f>I1955</f>
        <v>VOJTASOVA Patrícia</v>
      </c>
      <c r="Q1964" s="496"/>
      <c r="R1964" s="496"/>
      <c r="S1964" s="496"/>
      <c r="T1964" s="497"/>
      <c r="U1964" s="497"/>
      <c r="V1964" s="263"/>
      <c r="W1964" s="267"/>
      <c r="X1964" s="263"/>
    </row>
    <row r="1965" spans="1:53" ht="69.95" customHeight="1">
      <c r="E1965" s="264"/>
      <c r="F1965" s="265"/>
      <c r="G1965" s="263"/>
      <c r="H1965" s="275" t="s">
        <v>36</v>
      </c>
      <c r="I1965" s="483"/>
      <c r="J1965" s="484"/>
      <c r="K1965" s="484"/>
      <c r="L1965" s="485"/>
      <c r="M1965" s="263"/>
      <c r="N1965" s="263"/>
      <c r="O1965" s="275" t="s">
        <v>36</v>
      </c>
      <c r="P1965" s="486"/>
      <c r="Q1965" s="486"/>
      <c r="R1965" s="486"/>
      <c r="S1965" s="486"/>
      <c r="T1965" s="486"/>
      <c r="U1965" s="486"/>
      <c r="V1965" s="263"/>
      <c r="W1965" s="267"/>
      <c r="X1965" s="263"/>
    </row>
    <row r="1966" spans="1:53" ht="69.95" customHeight="1">
      <c r="E1966" s="264"/>
      <c r="F1966" s="265"/>
      <c r="G1966" s="263"/>
      <c r="H1966" s="275" t="s">
        <v>37</v>
      </c>
      <c r="I1966" s="486"/>
      <c r="J1966" s="486"/>
      <c r="K1966" s="486"/>
      <c r="L1966" s="486"/>
      <c r="M1966" s="263"/>
      <c r="N1966" s="263"/>
      <c r="O1966" s="275" t="s">
        <v>37</v>
      </c>
      <c r="P1966" s="486"/>
      <c r="Q1966" s="486"/>
      <c r="R1966" s="486"/>
      <c r="S1966" s="486"/>
      <c r="T1966" s="486"/>
      <c r="U1966" s="486"/>
      <c r="V1966" s="263"/>
      <c r="W1966" s="267"/>
      <c r="X1966" s="263"/>
    </row>
    <row r="1967" spans="1:53" ht="69.95" customHeight="1">
      <c r="E1967" s="264"/>
      <c r="F1967" s="265"/>
      <c r="G1967" s="263"/>
      <c r="H1967" s="275" t="s">
        <v>37</v>
      </c>
      <c r="I1967" s="486"/>
      <c r="J1967" s="486"/>
      <c r="K1967" s="486"/>
      <c r="L1967" s="486"/>
      <c r="M1967" s="263"/>
      <c r="N1967" s="263"/>
      <c r="O1967" s="275" t="s">
        <v>37</v>
      </c>
      <c r="P1967" s="486"/>
      <c r="Q1967" s="486"/>
      <c r="R1967" s="486"/>
      <c r="S1967" s="486"/>
      <c r="T1967" s="486"/>
      <c r="U1967" s="486"/>
      <c r="V1967" s="263"/>
      <c r="W1967" s="267"/>
      <c r="X1967" s="263"/>
    </row>
    <row r="1968" spans="1:53" ht="39.950000000000003" customHeight="1" thickBot="1">
      <c r="E1968" s="276"/>
      <c r="F1968" s="277"/>
      <c r="G1968" s="278"/>
      <c r="H1968" s="278"/>
      <c r="I1968" s="278"/>
      <c r="J1968" s="278"/>
      <c r="K1968" s="278"/>
      <c r="L1968" s="278"/>
      <c r="M1968" s="278"/>
      <c r="N1968" s="278"/>
      <c r="O1968" s="278"/>
      <c r="P1968" s="278"/>
      <c r="Q1968" s="278"/>
      <c r="R1968" s="278"/>
      <c r="S1968" s="278"/>
      <c r="T1968" s="279"/>
      <c r="U1968" s="279"/>
      <c r="V1968" s="279"/>
      <c r="W1968" s="280"/>
      <c r="X1968" s="263"/>
    </row>
    <row r="1969" spans="1:53" ht="62.25" thickBot="1"/>
    <row r="1970" spans="1:53" ht="39.950000000000003" customHeight="1">
      <c r="A1970" s="252" t="str">
        <f>CONCATENATE(F1977,F1979,F1981)</f>
        <v>MIXP22</v>
      </c>
      <c r="C1970" s="223"/>
      <c r="D1970" s="223"/>
      <c r="E1970" s="259" t="s">
        <v>70</v>
      </c>
      <c r="F1970" s="260">
        <f>VLOOKUP(CONCATENATE(A1970,1),'zoznam zapasov'!$A$6:$K$160,3,0)</f>
        <v>98</v>
      </c>
      <c r="G1970" s="261"/>
      <c r="H1970" s="322" t="s">
        <v>501</v>
      </c>
      <c r="I1970" s="261"/>
      <c r="J1970" s="261"/>
      <c r="K1970" s="261"/>
      <c r="L1970" s="261"/>
      <c r="M1970" s="261"/>
      <c r="N1970" s="261"/>
      <c r="O1970" s="261"/>
      <c r="P1970" s="261"/>
      <c r="Q1970" s="261"/>
      <c r="R1970" s="261"/>
      <c r="S1970" s="261"/>
      <c r="T1970" s="261"/>
      <c r="U1970" s="261"/>
      <c r="V1970" s="261" t="s">
        <v>30</v>
      </c>
      <c r="W1970" s="262"/>
      <c r="X1970" s="263"/>
      <c r="Y1970" s="253" t="str">
        <f>A1972</f>
        <v>MIXP221</v>
      </c>
      <c r="Z1970" s="258" t="str">
        <f>CONCATENATE(V1972,":",V1975)</f>
        <v>3:0</v>
      </c>
      <c r="AA1970" s="255" t="str">
        <f>IF(V1972&gt;V1975,B1972,IF(V1975&gt;V1972,B1975,""))</f>
        <v>TUREK / DZUROVÁ</v>
      </c>
      <c r="AB1970" s="255" t="str">
        <f>IF(V1972&gt;V1975,AV1970,IF(V1975&gt;V1972,AV1971,""))</f>
        <v xml:space="preserve">3:0 ( 6,7,5,,,, ) </v>
      </c>
      <c r="AC1970" s="255" t="str">
        <f>CONCATENATE("Tbl.: ",F1972,"   H: ",F1975,"   D: ",F1974)</f>
        <v>Tbl.: 6   H: 14.55   D: So</v>
      </c>
      <c r="AE1970" s="253" t="s">
        <v>11</v>
      </c>
      <c r="AV1970" s="256" t="str">
        <f>CONCATENATE(V1972,":",V1975, " ( ",AN1972,",",AO1972,",",AP1972,",",AQ1972,",",AR1972,",",AS1972,",",AT1972," ) ")</f>
        <v xml:space="preserve">3:0 ( 6,7,5,,,, ) </v>
      </c>
    </row>
    <row r="1971" spans="1:53" ht="39.950000000000003" customHeight="1">
      <c r="C1971" s="223"/>
      <c r="D1971" s="223"/>
      <c r="E1971" s="264"/>
      <c r="F1971" s="265"/>
      <c r="G1971" s="321" t="s">
        <v>500</v>
      </c>
      <c r="H1971" s="323" t="s">
        <v>502</v>
      </c>
      <c r="I1971" s="263"/>
      <c r="J1971" s="263"/>
      <c r="K1971" s="263"/>
      <c r="L1971" s="263"/>
      <c r="M1971" s="263"/>
      <c r="N1971" s="266">
        <v>1</v>
      </c>
      <c r="O1971" s="266">
        <v>2</v>
      </c>
      <c r="P1971" s="266">
        <v>3</v>
      </c>
      <c r="Q1971" s="266">
        <v>4</v>
      </c>
      <c r="R1971" s="266">
        <v>5</v>
      </c>
      <c r="S1971" s="266">
        <v>6</v>
      </c>
      <c r="T1971" s="266">
        <v>7</v>
      </c>
      <c r="U1971" s="263"/>
      <c r="V1971" s="266" t="s">
        <v>31</v>
      </c>
      <c r="W1971" s="267"/>
      <c r="X1971" s="263"/>
      <c r="AE1971" s="253" t="s">
        <v>68</v>
      </c>
      <c r="AV1971" s="256" t="str">
        <f>CONCATENATE(V1975,":",V1972, " ( ",AN1973,",",AO1973,",",AP1973,",",AQ1973,",",AR1973,",",AS1973,",",AT1973," ) ")</f>
        <v xml:space="preserve">0:3 ( -6,-7,-5,,,, ) </v>
      </c>
    </row>
    <row r="1972" spans="1:53" ht="39.950000000000003" customHeight="1">
      <c r="A1972" s="252" t="str">
        <f>CONCATENATE(A1970,1)</f>
        <v>MIXP221</v>
      </c>
      <c r="B1972" s="252" t="str">
        <f>VLOOKUP(A1972,'KO KODY SPOLU'!$A$3:$B$189,2,0)</f>
        <v>TUREK / DZUROVÁ</v>
      </c>
      <c r="C1972" s="223"/>
      <c r="D1972" s="223"/>
      <c r="E1972" s="264" t="s">
        <v>29</v>
      </c>
      <c r="F1972" s="265">
        <f>VLOOKUP(CONCATENATE(A1970,1),'zoznam zapasov'!$A$6:$K$160,11,0)</f>
        <v>6</v>
      </c>
      <c r="G1972" s="508"/>
      <c r="H1972" s="319"/>
      <c r="I1972" s="487" t="str">
        <f>IF(ISERROR(VLOOKUP(B1972,vylosovanie!$N$75:$Q$191,3,0))=TRUE," ",VLOOKUP(B1972,vylosovanie!$N$75:$Q$191,3,0))</f>
        <v>TUREK Teodor</v>
      </c>
      <c r="J1972" s="488"/>
      <c r="K1972" s="488"/>
      <c r="L1972" s="488"/>
      <c r="M1972" s="263"/>
      <c r="N1972" s="489">
        <v>11</v>
      </c>
      <c r="O1972" s="489">
        <v>11</v>
      </c>
      <c r="P1972" s="489">
        <v>11</v>
      </c>
      <c r="Q1972" s="489"/>
      <c r="R1972" s="489"/>
      <c r="S1972" s="491"/>
      <c r="T1972" s="491"/>
      <c r="U1972" s="263"/>
      <c r="V1972" s="493">
        <f>IF(SUM(AF1972:AL1973)=0,"",SUM(AF1972:AL1972))</f>
        <v>3</v>
      </c>
      <c r="W1972" s="267"/>
      <c r="X1972" s="263"/>
      <c r="AE1972" s="253" t="str">
        <f>VLOOKUP(I1972,vylosovanie!$F$8:$L$190,7,0)</f>
        <v>CH71</v>
      </c>
      <c r="AF1972" s="268">
        <f>IF(N1972&gt;N1975,1,0)</f>
        <v>1</v>
      </c>
      <c r="AG1972" s="268">
        <f t="shared" ref="AG1972" si="1648">IF(O1972&gt;O1975,1,0)</f>
        <v>1</v>
      </c>
      <c r="AH1972" s="268">
        <f t="shared" ref="AH1972" si="1649">IF(P1972&gt;P1975,1,0)</f>
        <v>1</v>
      </c>
      <c r="AI1972" s="268">
        <f t="shared" ref="AI1972" si="1650">IF(Q1972&gt;Q1975,1,0)</f>
        <v>0</v>
      </c>
      <c r="AJ1972" s="268">
        <f t="shared" ref="AJ1972" si="1651">IF(R1972&gt;R1975,1,0)</f>
        <v>0</v>
      </c>
      <c r="AK1972" s="268">
        <f t="shared" ref="AK1972" si="1652">IF(S1972&gt;S1975,1,0)</f>
        <v>0</v>
      </c>
      <c r="AL1972" s="268">
        <f t="shared" ref="AL1972" si="1653">IF(T1972&gt;T1975,1,0)</f>
        <v>0</v>
      </c>
      <c r="AN1972" s="268">
        <f t="shared" ref="AN1972" si="1654">IF(ISBLANK(N1972)=TRUE,"",IF(AF1972=1,N1975,-N1972))</f>
        <v>6</v>
      </c>
      <c r="AO1972" s="268">
        <f t="shared" ref="AO1972" si="1655">IF(ISBLANK(O1972)=TRUE,"",IF(AG1972=1,O1975,-O1972))</f>
        <v>7</v>
      </c>
      <c r="AP1972" s="268">
        <f t="shared" ref="AP1972" si="1656">IF(ISBLANK(P1972)=TRUE,"",IF(AH1972=1,P1975,-P1972))</f>
        <v>5</v>
      </c>
      <c r="AQ1972" s="268" t="str">
        <f t="shared" ref="AQ1972" si="1657">IF(ISBLANK(Q1972)=TRUE,"",IF(AI1972=1,Q1975,-Q1972))</f>
        <v/>
      </c>
      <c r="AR1972" s="268" t="str">
        <f t="shared" ref="AR1972" si="1658">IF(ISBLANK(R1972)=TRUE,"",IF(AJ1972=1,R1975,-R1972))</f>
        <v/>
      </c>
      <c r="AS1972" s="268" t="str">
        <f t="shared" ref="AS1972" si="1659">IF(ISBLANK(S1972)=TRUE,"",IF(AK1972=1,S1975,-S1972))</f>
        <v/>
      </c>
      <c r="AT1972" s="268" t="str">
        <f t="shared" ref="AT1972" si="1660">IF(ISBLANK(T1972)=TRUE,"",IF(AL1972=1,T1975,-T1972))</f>
        <v/>
      </c>
      <c r="AZ1972" s="269" t="s">
        <v>12</v>
      </c>
      <c r="BA1972" s="269">
        <v>1</v>
      </c>
    </row>
    <row r="1973" spans="1:53" ht="39.950000000000003" customHeight="1">
      <c r="C1973" s="223"/>
      <c r="D1973" s="223"/>
      <c r="E1973" s="264"/>
      <c r="F1973" s="265"/>
      <c r="G1973" s="509"/>
      <c r="H1973" s="319"/>
      <c r="I1973" s="487" t="str">
        <f>IF(ISERROR(VLOOKUP(B1972,vylosovanie!$N$75:$Q$191,3,0))=TRUE," ",VLOOKUP(B1972,vylosovanie!$N$75:$Q$191,4,0))</f>
        <v>DZUROVÁ Lenka</v>
      </c>
      <c r="J1973" s="488"/>
      <c r="K1973" s="488"/>
      <c r="L1973" s="488"/>
      <c r="M1973" s="263"/>
      <c r="N1973" s="490"/>
      <c r="O1973" s="490"/>
      <c r="P1973" s="490"/>
      <c r="Q1973" s="490"/>
      <c r="R1973" s="490"/>
      <c r="S1973" s="492"/>
      <c r="T1973" s="492"/>
      <c r="U1973" s="263"/>
      <c r="V1973" s="493"/>
      <c r="W1973" s="267"/>
      <c r="X1973" s="263"/>
      <c r="AE1973" s="253" t="str">
        <f>VLOOKUP(I1975,vylosovanie!$F$8:$L$190,7,0)</f>
        <v>CH61</v>
      </c>
      <c r="AF1973" s="268">
        <f>IF(N1975&gt;N1972,1,0)</f>
        <v>0</v>
      </c>
      <c r="AG1973" s="268">
        <f t="shared" ref="AG1973" si="1661">IF(O1975&gt;O1972,1,0)</f>
        <v>0</v>
      </c>
      <c r="AH1973" s="268">
        <f t="shared" ref="AH1973" si="1662">IF(P1975&gt;P1972,1,0)</f>
        <v>0</v>
      </c>
      <c r="AI1973" s="268">
        <f t="shared" ref="AI1973" si="1663">IF(Q1975&gt;Q1972,1,0)</f>
        <v>0</v>
      </c>
      <c r="AJ1973" s="268">
        <f t="shared" ref="AJ1973" si="1664">IF(R1975&gt;R1972,1,0)</f>
        <v>0</v>
      </c>
      <c r="AK1973" s="268">
        <f t="shared" ref="AK1973" si="1665">IF(S1975&gt;S1972,1,0)</f>
        <v>0</v>
      </c>
      <c r="AL1973" s="268">
        <f t="shared" ref="AL1973" si="1666">IF(T1975&gt;T1972,1,0)</f>
        <v>0</v>
      </c>
      <c r="AN1973" s="268">
        <f t="shared" ref="AN1973" si="1667">IF(ISBLANK(N1975)=TRUE,"",IF(AF1973=1,N1972,-N1975))</f>
        <v>-6</v>
      </c>
      <c r="AO1973" s="268">
        <f t="shared" ref="AO1973" si="1668">IF(ISBLANK(O1975)=TRUE,"",IF(AG1973=1,O1972,-O1975))</f>
        <v>-7</v>
      </c>
      <c r="AP1973" s="268">
        <f t="shared" ref="AP1973" si="1669">IF(ISBLANK(P1975)=TRUE,"",IF(AH1973=1,P1972,-P1975))</f>
        <v>-5</v>
      </c>
      <c r="AQ1973" s="268" t="str">
        <f t="shared" ref="AQ1973" si="1670">IF(ISBLANK(Q1975)=TRUE,"",IF(AI1973=1,Q1972,-Q1975))</f>
        <v/>
      </c>
      <c r="AR1973" s="268" t="str">
        <f t="shared" ref="AR1973" si="1671">IF(ISBLANK(R1975)=TRUE,"",IF(AJ1973=1,R1972,-R1975))</f>
        <v/>
      </c>
      <c r="AS1973" s="268" t="str">
        <f t="shared" ref="AS1973" si="1672">IF(ISBLANK(S1975)=TRUE,"",IF(AK1973=1,S1972,-S1975))</f>
        <v/>
      </c>
      <c r="AT1973" s="268" t="str">
        <f t="shared" ref="AT1973" si="1673">IF(ISBLANK(T1975)=TRUE,"",IF(AL1973=1,T1972,-T1975))</f>
        <v/>
      </c>
      <c r="AZ1973" s="269" t="s">
        <v>18</v>
      </c>
      <c r="BA1973" s="269">
        <v>2</v>
      </c>
    </row>
    <row r="1974" spans="1:53" ht="39.950000000000003" customHeight="1">
      <c r="C1974" s="223"/>
      <c r="D1974" s="223"/>
      <c r="E1974" s="264" t="s">
        <v>35</v>
      </c>
      <c r="F1974" s="265" t="str">
        <f>VLOOKUP(CONCATENATE(A1970,1),'zoznam zapasov'!$A$6:$K$160,9,0)</f>
        <v>So</v>
      </c>
      <c r="G1974" s="263"/>
      <c r="H1974" s="263"/>
      <c r="I1974" s="263"/>
      <c r="J1974" s="263"/>
      <c r="K1974" s="263"/>
      <c r="L1974" s="263"/>
      <c r="M1974" s="263"/>
      <c r="N1974" s="263"/>
      <c r="O1974" s="263"/>
      <c r="P1974" s="263"/>
      <c r="Q1974" s="263"/>
      <c r="R1974" s="263"/>
      <c r="S1974" s="263"/>
      <c r="T1974" s="263"/>
      <c r="U1974" s="263"/>
      <c r="V1974" s="263"/>
      <c r="W1974" s="267"/>
      <c r="X1974" s="263"/>
      <c r="AZ1974" s="269" t="s">
        <v>38</v>
      </c>
      <c r="BA1974" s="269">
        <v>3</v>
      </c>
    </row>
    <row r="1975" spans="1:53" ht="39.950000000000003" customHeight="1">
      <c r="A1975" s="252" t="str">
        <f>CONCATENATE(A1970,2)</f>
        <v>MIXP222</v>
      </c>
      <c r="B1975" s="252" t="str">
        <f>VLOOKUP(A1975,'KO KODY SPOLU'!$A$3:$B$189,2,0)</f>
        <v>CYPRICH / ŠVAJDLENKOVÁ</v>
      </c>
      <c r="C1975" s="223"/>
      <c r="D1975" s="223"/>
      <c r="E1975" s="264" t="s">
        <v>28</v>
      </c>
      <c r="F1975" s="270" t="str">
        <f>VLOOKUP(CONCATENATE(A1970,1),'zoznam zapasov'!$A$6:$K$160,10,0)</f>
        <v>14.55</v>
      </c>
      <c r="G1975" s="508"/>
      <c r="H1975" s="319"/>
      <c r="I1975" s="487" t="str">
        <f>IF(ISERROR(VLOOKUP(B1975,vylosovanie!$N$75:$Q$191,3,0))=TRUE," ",VLOOKUP(B1975,vylosovanie!$N$75:$Q$191,3,0))</f>
        <v>CYPRICH Samuel</v>
      </c>
      <c r="J1975" s="488"/>
      <c r="K1975" s="488"/>
      <c r="L1975" s="488"/>
      <c r="M1975" s="263"/>
      <c r="N1975" s="489">
        <v>6</v>
      </c>
      <c r="O1975" s="489">
        <v>7</v>
      </c>
      <c r="P1975" s="489">
        <v>5</v>
      </c>
      <c r="Q1975" s="489"/>
      <c r="R1975" s="489"/>
      <c r="S1975" s="491"/>
      <c r="T1975" s="491"/>
      <c r="U1975" s="263"/>
      <c r="V1975" s="493">
        <f>IF(SUM(AF1972:AL1973)=0,"",SUM(AF1973:AL1973))</f>
        <v>0</v>
      </c>
      <c r="W1975" s="267"/>
      <c r="X1975" s="263"/>
      <c r="AZ1975" s="269" t="s">
        <v>39</v>
      </c>
      <c r="BA1975" s="269">
        <v>4</v>
      </c>
    </row>
    <row r="1976" spans="1:53" ht="39.950000000000003" customHeight="1">
      <c r="C1976" s="223"/>
      <c r="D1976" s="223"/>
      <c r="E1976" s="271"/>
      <c r="F1976" s="272"/>
      <c r="G1976" s="509"/>
      <c r="H1976" s="319"/>
      <c r="I1976" s="487" t="str">
        <f>IF(ISERROR(VLOOKUP(B1975,vylosovanie!$N$75:$Q$191,3,0))=TRUE," ",VLOOKUP(B1975,vylosovanie!$N$75:$Q$191,4,0))</f>
        <v>ŠVAJDLENKOVÁ Laura</v>
      </c>
      <c r="J1976" s="488"/>
      <c r="K1976" s="488"/>
      <c r="L1976" s="488"/>
      <c r="M1976" s="263"/>
      <c r="N1976" s="490"/>
      <c r="O1976" s="490"/>
      <c r="P1976" s="490"/>
      <c r="Q1976" s="490"/>
      <c r="R1976" s="490"/>
      <c r="S1976" s="492"/>
      <c r="T1976" s="492"/>
      <c r="U1976" s="263"/>
      <c r="V1976" s="493"/>
      <c r="W1976" s="267"/>
      <c r="X1976" s="263"/>
      <c r="AZ1976" s="269" t="s">
        <v>40</v>
      </c>
      <c r="BA1976" s="269">
        <v>5</v>
      </c>
    </row>
    <row r="1977" spans="1:53" ht="39.950000000000003" customHeight="1">
      <c r="C1977" s="223"/>
      <c r="D1977" s="223"/>
      <c r="E1977" s="264" t="s">
        <v>66</v>
      </c>
      <c r="F1977" s="265" t="s">
        <v>316</v>
      </c>
      <c r="G1977" s="263"/>
      <c r="H1977" s="263"/>
      <c r="I1977" s="263"/>
      <c r="J1977" s="263"/>
      <c r="K1977" s="263"/>
      <c r="L1977" s="263"/>
      <c r="M1977" s="263"/>
      <c r="N1977" s="263"/>
      <c r="O1977" s="263"/>
      <c r="P1977" s="263"/>
      <c r="Q1977" s="263"/>
      <c r="R1977" s="263"/>
      <c r="S1977" s="263"/>
      <c r="T1977" s="263"/>
      <c r="U1977" s="263"/>
      <c r="V1977" s="263"/>
      <c r="W1977" s="267"/>
      <c r="X1977" s="263"/>
      <c r="AZ1977" s="269" t="s">
        <v>41</v>
      </c>
      <c r="BA1977" s="269">
        <v>6</v>
      </c>
    </row>
    <row r="1978" spans="1:53" ht="39.950000000000003" customHeight="1">
      <c r="C1978" s="223"/>
      <c r="D1978" s="223"/>
      <c r="E1978" s="271"/>
      <c r="F1978" s="272"/>
      <c r="G1978" s="263"/>
      <c r="H1978" s="263"/>
      <c r="I1978" s="263" t="s">
        <v>32</v>
      </c>
      <c r="J1978" s="263"/>
      <c r="K1978" s="263"/>
      <c r="L1978" s="263"/>
      <c r="M1978" s="263"/>
      <c r="N1978" s="273"/>
      <c r="O1978" s="266"/>
      <c r="P1978" s="266" t="s">
        <v>34</v>
      </c>
      <c r="Q1978" s="266"/>
      <c r="R1978" s="266"/>
      <c r="S1978" s="266"/>
      <c r="T1978" s="266"/>
      <c r="U1978" s="263"/>
      <c r="V1978" s="263"/>
      <c r="W1978" s="267"/>
      <c r="X1978" s="263"/>
      <c r="AZ1978" s="269" t="s">
        <v>42</v>
      </c>
      <c r="BA1978" s="269">
        <v>7</v>
      </c>
    </row>
    <row r="1979" spans="1:53" ht="39.950000000000003" customHeight="1">
      <c r="E1979" s="264" t="s">
        <v>26</v>
      </c>
      <c r="F1979" s="265" t="s">
        <v>128</v>
      </c>
      <c r="G1979" s="263"/>
      <c r="H1979" s="263"/>
      <c r="I1979" s="486"/>
      <c r="J1979" s="486"/>
      <c r="K1979" s="486"/>
      <c r="L1979" s="486"/>
      <c r="M1979" s="263"/>
      <c r="N1979" s="483" t="str">
        <f>IF(V1972&gt;V1975,I1972,IF(V1975&gt;V1972,I1975,""))</f>
        <v>TUREK Teodor</v>
      </c>
      <c r="O1979" s="494"/>
      <c r="P1979" s="494"/>
      <c r="Q1979" s="494"/>
      <c r="R1979" s="494"/>
      <c r="S1979" s="495"/>
      <c r="T1979" s="263"/>
      <c r="U1979" s="263"/>
      <c r="V1979" s="263"/>
      <c r="W1979" s="267"/>
      <c r="X1979" s="263"/>
      <c r="AZ1979" s="269" t="s">
        <v>43</v>
      </c>
      <c r="BA1979" s="269">
        <v>8</v>
      </c>
    </row>
    <row r="1980" spans="1:53" ht="39.950000000000003" customHeight="1">
      <c r="E1980" s="271"/>
      <c r="F1980" s="272"/>
      <c r="G1980" s="263"/>
      <c r="H1980" s="263"/>
      <c r="I1980" s="486"/>
      <c r="J1980" s="486"/>
      <c r="K1980" s="486"/>
      <c r="L1980" s="486"/>
      <c r="M1980" s="263"/>
      <c r="N1980" s="483" t="str">
        <f>IF(V1972&gt;V1975,I1973,IF(V1975&gt;V1972,I1976,""))</f>
        <v>DZUROVÁ Lenka</v>
      </c>
      <c r="O1980" s="494"/>
      <c r="P1980" s="494"/>
      <c r="Q1980" s="494"/>
      <c r="R1980" s="494"/>
      <c r="S1980" s="495"/>
      <c r="T1980" s="263"/>
      <c r="U1980" s="263"/>
      <c r="V1980" s="263"/>
      <c r="W1980" s="267"/>
      <c r="X1980" s="263"/>
    </row>
    <row r="1981" spans="1:53" ht="39.950000000000003" customHeight="1">
      <c r="E1981" s="264" t="s">
        <v>27</v>
      </c>
      <c r="F1981" s="274" t="s">
        <v>369</v>
      </c>
      <c r="G1981" s="263"/>
      <c r="H1981" s="263"/>
      <c r="I1981" s="263"/>
      <c r="J1981" s="263"/>
      <c r="K1981" s="263"/>
      <c r="L1981" s="263"/>
      <c r="M1981" s="263"/>
      <c r="N1981" s="263"/>
      <c r="O1981" s="263"/>
      <c r="P1981" s="263"/>
      <c r="Q1981" s="263"/>
      <c r="R1981" s="263"/>
      <c r="S1981" s="263"/>
      <c r="T1981" s="263"/>
      <c r="U1981" s="263"/>
      <c r="V1981" s="263"/>
      <c r="W1981" s="267"/>
      <c r="X1981" s="263"/>
    </row>
    <row r="1982" spans="1:53" ht="39.950000000000003" customHeight="1">
      <c r="E1982" s="271"/>
      <c r="F1982" s="272"/>
      <c r="G1982" s="263"/>
      <c r="H1982" s="263" t="s">
        <v>33</v>
      </c>
      <c r="I1982" s="263"/>
      <c r="J1982" s="263"/>
      <c r="K1982" s="263"/>
      <c r="L1982" s="263"/>
      <c r="M1982" s="263"/>
      <c r="N1982" s="263"/>
      <c r="O1982" s="263"/>
      <c r="P1982" s="263"/>
      <c r="Q1982" s="263"/>
      <c r="R1982" s="263"/>
      <c r="S1982" s="263"/>
      <c r="T1982" s="263"/>
      <c r="U1982" s="263"/>
      <c r="V1982" s="263"/>
      <c r="W1982" s="267"/>
      <c r="X1982" s="263"/>
    </row>
    <row r="1983" spans="1:53" ht="39.950000000000003" customHeight="1">
      <c r="E1983" s="271"/>
      <c r="F1983" s="272"/>
      <c r="G1983" s="263"/>
      <c r="H1983" s="263"/>
      <c r="I1983" s="263"/>
      <c r="J1983" s="263"/>
      <c r="K1983" s="263"/>
      <c r="L1983" s="263"/>
      <c r="M1983" s="263"/>
      <c r="N1983" s="263"/>
      <c r="O1983" s="263"/>
      <c r="P1983" s="263"/>
      <c r="Q1983" s="263"/>
      <c r="R1983" s="263"/>
      <c r="S1983" s="263"/>
      <c r="T1983" s="263"/>
      <c r="U1983" s="263"/>
      <c r="V1983" s="263"/>
      <c r="W1983" s="267"/>
      <c r="X1983" s="263"/>
    </row>
    <row r="1984" spans="1:53" ht="39.950000000000003" customHeight="1">
      <c r="E1984" s="271"/>
      <c r="F1984" s="272"/>
      <c r="G1984" s="263"/>
      <c r="H1984" s="263"/>
      <c r="I1984" s="496" t="str">
        <f>I1972</f>
        <v>TUREK Teodor</v>
      </c>
      <c r="J1984" s="496"/>
      <c r="K1984" s="496"/>
      <c r="L1984" s="496"/>
      <c r="M1984" s="263"/>
      <c r="N1984" s="263"/>
      <c r="P1984" s="496" t="str">
        <f>I1975</f>
        <v>CYPRICH Samuel</v>
      </c>
      <c r="Q1984" s="496"/>
      <c r="R1984" s="496"/>
      <c r="S1984" s="496"/>
      <c r="T1984" s="497"/>
      <c r="U1984" s="497"/>
      <c r="V1984" s="263"/>
      <c r="W1984" s="267"/>
      <c r="X1984" s="263"/>
    </row>
    <row r="1985" spans="1:53" ht="39.950000000000003" customHeight="1">
      <c r="E1985" s="271"/>
      <c r="F1985" s="272"/>
      <c r="G1985" s="263"/>
      <c r="H1985" s="263"/>
      <c r="I1985" s="496" t="str">
        <f>I1973</f>
        <v>DZUROVÁ Lenka</v>
      </c>
      <c r="J1985" s="496"/>
      <c r="K1985" s="496"/>
      <c r="L1985" s="496"/>
      <c r="M1985" s="263"/>
      <c r="N1985" s="263"/>
      <c r="O1985" s="263"/>
      <c r="P1985" s="496" t="str">
        <f>I1976</f>
        <v>ŠVAJDLENKOVÁ Laura</v>
      </c>
      <c r="Q1985" s="496"/>
      <c r="R1985" s="496"/>
      <c r="S1985" s="496"/>
      <c r="T1985" s="497"/>
      <c r="U1985" s="497"/>
      <c r="V1985" s="263"/>
      <c r="W1985" s="267"/>
      <c r="X1985" s="263"/>
    </row>
    <row r="1986" spans="1:53" ht="69.95" customHeight="1">
      <c r="E1986" s="264"/>
      <c r="F1986" s="265"/>
      <c r="G1986" s="263"/>
      <c r="H1986" s="275" t="s">
        <v>36</v>
      </c>
      <c r="I1986" s="483"/>
      <c r="J1986" s="484"/>
      <c r="K1986" s="484"/>
      <c r="L1986" s="485"/>
      <c r="M1986" s="263"/>
      <c r="N1986" s="263"/>
      <c r="O1986" s="275" t="s">
        <v>36</v>
      </c>
      <c r="P1986" s="486"/>
      <c r="Q1986" s="486"/>
      <c r="R1986" s="486"/>
      <c r="S1986" s="486"/>
      <c r="T1986" s="486"/>
      <c r="U1986" s="486"/>
      <c r="V1986" s="263"/>
      <c r="W1986" s="267"/>
      <c r="X1986" s="263"/>
    </row>
    <row r="1987" spans="1:53" ht="69.95" customHeight="1">
      <c r="E1987" s="264"/>
      <c r="F1987" s="265"/>
      <c r="G1987" s="263"/>
      <c r="H1987" s="275" t="s">
        <v>37</v>
      </c>
      <c r="I1987" s="486"/>
      <c r="J1987" s="486"/>
      <c r="K1987" s="486"/>
      <c r="L1987" s="486"/>
      <c r="M1987" s="263"/>
      <c r="N1987" s="263"/>
      <c r="O1987" s="275" t="s">
        <v>37</v>
      </c>
      <c r="P1987" s="486"/>
      <c r="Q1987" s="486"/>
      <c r="R1987" s="486"/>
      <c r="S1987" s="486"/>
      <c r="T1987" s="486"/>
      <c r="U1987" s="486"/>
      <c r="V1987" s="263"/>
      <c r="W1987" s="267"/>
      <c r="X1987" s="263"/>
    </row>
    <row r="1988" spans="1:53" ht="69.95" customHeight="1">
      <c r="E1988" s="264"/>
      <c r="F1988" s="265"/>
      <c r="G1988" s="263"/>
      <c r="H1988" s="275" t="s">
        <v>37</v>
      </c>
      <c r="I1988" s="486"/>
      <c r="J1988" s="486"/>
      <c r="K1988" s="486"/>
      <c r="L1988" s="486"/>
      <c r="M1988" s="263"/>
      <c r="N1988" s="263"/>
      <c r="O1988" s="275" t="s">
        <v>37</v>
      </c>
      <c r="P1988" s="486"/>
      <c r="Q1988" s="486"/>
      <c r="R1988" s="486"/>
      <c r="S1988" s="486"/>
      <c r="T1988" s="486"/>
      <c r="U1988" s="486"/>
      <c r="V1988" s="263"/>
      <c r="W1988" s="267"/>
      <c r="X1988" s="263"/>
    </row>
    <row r="1989" spans="1:53" ht="39.950000000000003" customHeight="1" thickBot="1">
      <c r="E1989" s="276"/>
      <c r="F1989" s="277"/>
      <c r="G1989" s="278"/>
      <c r="H1989" s="278"/>
      <c r="I1989" s="278"/>
      <c r="J1989" s="278"/>
      <c r="K1989" s="278"/>
      <c r="L1989" s="278"/>
      <c r="M1989" s="278"/>
      <c r="N1989" s="278"/>
      <c r="O1989" s="278"/>
      <c r="P1989" s="278"/>
      <c r="Q1989" s="278"/>
      <c r="R1989" s="278"/>
      <c r="S1989" s="278"/>
      <c r="T1989" s="279"/>
      <c r="U1989" s="279"/>
      <c r="V1989" s="279"/>
      <c r="W1989" s="280"/>
      <c r="X1989" s="263"/>
    </row>
    <row r="1990" spans="1:53" ht="62.25" thickBot="1"/>
    <row r="1991" spans="1:53" ht="39.950000000000003" customHeight="1">
      <c r="A1991" s="252" t="str">
        <f>CONCATENATE(F1998,F2000,F2002)</f>
        <v>MIXP23</v>
      </c>
      <c r="C1991" s="223"/>
      <c r="D1991" s="223"/>
      <c r="E1991" s="259" t="s">
        <v>70</v>
      </c>
      <c r="F1991" s="260">
        <f>VLOOKUP(CONCATENATE(A1991,1),'zoznam zapasov'!$A$6:$K$160,3,0)</f>
        <v>99</v>
      </c>
      <c r="G1991" s="261"/>
      <c r="H1991" s="322" t="s">
        <v>501</v>
      </c>
      <c r="I1991" s="261"/>
      <c r="J1991" s="261"/>
      <c r="K1991" s="261"/>
      <c r="L1991" s="261"/>
      <c r="M1991" s="261"/>
      <c r="N1991" s="261"/>
      <c r="O1991" s="261"/>
      <c r="P1991" s="261"/>
      <c r="Q1991" s="261"/>
      <c r="R1991" s="261"/>
      <c r="S1991" s="261"/>
      <c r="T1991" s="261"/>
      <c r="U1991" s="261"/>
      <c r="V1991" s="261" t="s">
        <v>30</v>
      </c>
      <c r="W1991" s="262"/>
      <c r="X1991" s="263"/>
      <c r="Y1991" s="253" t="str">
        <f>A1993</f>
        <v>MIXP231</v>
      </c>
      <c r="Z1991" s="258" t="str">
        <f>CONCATENATE(V1993,":",V1996)</f>
        <v>3:1</v>
      </c>
      <c r="AA1991" s="255" t="str">
        <f>IF(V1993&gt;V1996,B1993,IF(V1996&gt;V1993,B1996,""))</f>
        <v>PETRÍK / PAPCUNOVÁ</v>
      </c>
      <c r="AB1991" s="255" t="str">
        <f>IF(V1993&gt;V1996,AV1991,IF(V1996&gt;V1993,AV1992,""))</f>
        <v xml:space="preserve">3:1 ( -9,3,8,12,,, ) </v>
      </c>
      <c r="AC1991" s="255" t="str">
        <f>CONCATENATE("Tbl.: ",F1993,"   H: ",F1996,"   D: ",F1995)</f>
        <v>Tbl.: 7   H: 14.55   D: So</v>
      </c>
      <c r="AE1991" s="253" t="s">
        <v>11</v>
      </c>
      <c r="AV1991" s="256" t="str">
        <f>CONCATENATE(V1993,":",V1996, " ( ",AN1993,",",AO1993,",",AP1993,",",AQ1993,",",AR1993,",",AS1993,",",AT1993," ) ")</f>
        <v xml:space="preserve">3:1 ( -9,3,8,12,,, ) </v>
      </c>
    </row>
    <row r="1992" spans="1:53" ht="39.950000000000003" customHeight="1">
      <c r="C1992" s="223"/>
      <c r="D1992" s="223"/>
      <c r="E1992" s="264"/>
      <c r="F1992" s="265"/>
      <c r="G1992" s="321" t="s">
        <v>500</v>
      </c>
      <c r="H1992" s="323" t="s">
        <v>502</v>
      </c>
      <c r="I1992" s="263"/>
      <c r="J1992" s="263"/>
      <c r="K1992" s="263"/>
      <c r="L1992" s="263"/>
      <c r="M1992" s="263"/>
      <c r="N1992" s="266">
        <v>1</v>
      </c>
      <c r="O1992" s="266">
        <v>2</v>
      </c>
      <c r="P1992" s="266">
        <v>3</v>
      </c>
      <c r="Q1992" s="266">
        <v>4</v>
      </c>
      <c r="R1992" s="266">
        <v>5</v>
      </c>
      <c r="S1992" s="266">
        <v>6</v>
      </c>
      <c r="T1992" s="266">
        <v>7</v>
      </c>
      <c r="U1992" s="263"/>
      <c r="V1992" s="266" t="s">
        <v>31</v>
      </c>
      <c r="W1992" s="267"/>
      <c r="X1992" s="263"/>
      <c r="AE1992" s="253" t="s">
        <v>68</v>
      </c>
      <c r="AV1992" s="256" t="str">
        <f>CONCATENATE(V1996,":",V1993, " ( ",AN1994,",",AO1994,",",AP1994,",",AQ1994,",",AR1994,",",AS1994,",",AT1994," ) ")</f>
        <v xml:space="preserve">1:3 ( 9,-3,-8,-12,,, ) </v>
      </c>
    </row>
    <row r="1993" spans="1:53" ht="39.950000000000003" customHeight="1">
      <c r="A1993" s="252" t="str">
        <f>CONCATENATE(A1991,1)</f>
        <v>MIXP231</v>
      </c>
      <c r="B1993" s="252" t="str">
        <f>VLOOKUP(A1993,'KO KODY SPOLU'!$A$3:$B$189,2,0)</f>
        <v>PETRÍK / PAPCUNOVÁ</v>
      </c>
      <c r="C1993" s="223"/>
      <c r="D1993" s="223"/>
      <c r="E1993" s="264" t="s">
        <v>29</v>
      </c>
      <c r="F1993" s="265">
        <f>VLOOKUP(CONCATENATE(A1991,1),'zoznam zapasov'!$A$6:$K$160,11,0)</f>
        <v>7</v>
      </c>
      <c r="G1993" s="508"/>
      <c r="H1993" s="319"/>
      <c r="I1993" s="487" t="str">
        <f>IF(ISERROR(VLOOKUP(B1993,vylosovanie!$N$75:$Q$191,3,0))=TRUE," ",VLOOKUP(B1993,vylosovanie!$N$75:$Q$191,3,0))</f>
        <v>PETRÍK Filip</v>
      </c>
      <c r="J1993" s="488"/>
      <c r="K1993" s="488"/>
      <c r="L1993" s="488"/>
      <c r="M1993" s="263"/>
      <c r="N1993" s="489">
        <v>9</v>
      </c>
      <c r="O1993" s="489">
        <v>11</v>
      </c>
      <c r="P1993" s="489">
        <v>11</v>
      </c>
      <c r="Q1993" s="489">
        <v>14</v>
      </c>
      <c r="R1993" s="489"/>
      <c r="S1993" s="491"/>
      <c r="T1993" s="491"/>
      <c r="U1993" s="263"/>
      <c r="V1993" s="493">
        <f>IF(SUM(AF1993:AL1994)=0,"",SUM(AF1993:AL1993))</f>
        <v>3</v>
      </c>
      <c r="W1993" s="267"/>
      <c r="X1993" s="263"/>
      <c r="AE1993" s="253" t="str">
        <f>VLOOKUP(I1993,vylosovanie!$F$8:$L$190,7,0)</f>
        <v>CH51</v>
      </c>
      <c r="AF1993" s="268">
        <f>IF(N1993&gt;N1996,1,0)</f>
        <v>0</v>
      </c>
      <c r="AG1993" s="268">
        <f t="shared" ref="AG1993" si="1674">IF(O1993&gt;O1996,1,0)</f>
        <v>1</v>
      </c>
      <c r="AH1993" s="268">
        <f t="shared" ref="AH1993" si="1675">IF(P1993&gt;P1996,1,0)</f>
        <v>1</v>
      </c>
      <c r="AI1993" s="268">
        <f t="shared" ref="AI1993" si="1676">IF(Q1993&gt;Q1996,1,0)</f>
        <v>1</v>
      </c>
      <c r="AJ1993" s="268">
        <f t="shared" ref="AJ1993" si="1677">IF(R1993&gt;R1996,1,0)</f>
        <v>0</v>
      </c>
      <c r="AK1993" s="268">
        <f t="shared" ref="AK1993" si="1678">IF(S1993&gt;S1996,1,0)</f>
        <v>0</v>
      </c>
      <c r="AL1993" s="268">
        <f t="shared" ref="AL1993" si="1679">IF(T1993&gt;T1996,1,0)</f>
        <v>0</v>
      </c>
      <c r="AN1993" s="268">
        <f t="shared" ref="AN1993" si="1680">IF(ISBLANK(N1993)=TRUE,"",IF(AF1993=1,N1996,-N1993))</f>
        <v>-9</v>
      </c>
      <c r="AO1993" s="268">
        <f t="shared" ref="AO1993" si="1681">IF(ISBLANK(O1993)=TRUE,"",IF(AG1993=1,O1996,-O1993))</f>
        <v>3</v>
      </c>
      <c r="AP1993" s="268">
        <f t="shared" ref="AP1993" si="1682">IF(ISBLANK(P1993)=TRUE,"",IF(AH1993=1,P1996,-P1993))</f>
        <v>8</v>
      </c>
      <c r="AQ1993" s="268">
        <f t="shared" ref="AQ1993" si="1683">IF(ISBLANK(Q1993)=TRUE,"",IF(AI1993=1,Q1996,-Q1993))</f>
        <v>12</v>
      </c>
      <c r="AR1993" s="268" t="str">
        <f t="shared" ref="AR1993" si="1684">IF(ISBLANK(R1993)=TRUE,"",IF(AJ1993=1,R1996,-R1993))</f>
        <v/>
      </c>
      <c r="AS1993" s="268" t="str">
        <f t="shared" ref="AS1993" si="1685">IF(ISBLANK(S1993)=TRUE,"",IF(AK1993=1,S1996,-S1993))</f>
        <v/>
      </c>
      <c r="AT1993" s="268" t="str">
        <f t="shared" ref="AT1993" si="1686">IF(ISBLANK(T1993)=TRUE,"",IF(AL1993=1,T1996,-T1993))</f>
        <v/>
      </c>
      <c r="AZ1993" s="269" t="s">
        <v>12</v>
      </c>
      <c r="BA1993" s="269">
        <v>1</v>
      </c>
    </row>
    <row r="1994" spans="1:53" ht="39.950000000000003" customHeight="1">
      <c r="C1994" s="223"/>
      <c r="D1994" s="223"/>
      <c r="E1994" s="264"/>
      <c r="F1994" s="265"/>
      <c r="G1994" s="509"/>
      <c r="H1994" s="319"/>
      <c r="I1994" s="487" t="str">
        <f>IF(ISERROR(VLOOKUP(B1993,vylosovanie!$N$75:$Q$191,3,0))=TRUE," ",VLOOKUP(B1993,vylosovanie!$N$75:$Q$191,4,0))</f>
        <v>PAPCUNOVÁ Viktória</v>
      </c>
      <c r="J1994" s="488"/>
      <c r="K1994" s="488"/>
      <c r="L1994" s="488"/>
      <c r="M1994" s="263"/>
      <c r="N1994" s="490"/>
      <c r="O1994" s="490"/>
      <c r="P1994" s="490"/>
      <c r="Q1994" s="490"/>
      <c r="R1994" s="490"/>
      <c r="S1994" s="492"/>
      <c r="T1994" s="492"/>
      <c r="U1994" s="263"/>
      <c r="V1994" s="493"/>
      <c r="W1994" s="267"/>
      <c r="X1994" s="263"/>
      <c r="AE1994" s="253" t="str">
        <f>VLOOKUP(I1996,vylosovanie!$F$8:$L$190,7,0)</f>
        <v>CH83</v>
      </c>
      <c r="AF1994" s="268">
        <f>IF(N1996&gt;N1993,1,0)</f>
        <v>1</v>
      </c>
      <c r="AG1994" s="268">
        <f t="shared" ref="AG1994" si="1687">IF(O1996&gt;O1993,1,0)</f>
        <v>0</v>
      </c>
      <c r="AH1994" s="268">
        <f t="shared" ref="AH1994" si="1688">IF(P1996&gt;P1993,1,0)</f>
        <v>0</v>
      </c>
      <c r="AI1994" s="268">
        <f t="shared" ref="AI1994" si="1689">IF(Q1996&gt;Q1993,1,0)</f>
        <v>0</v>
      </c>
      <c r="AJ1994" s="268">
        <f t="shared" ref="AJ1994" si="1690">IF(R1996&gt;R1993,1,0)</f>
        <v>0</v>
      </c>
      <c r="AK1994" s="268">
        <f t="shared" ref="AK1994" si="1691">IF(S1996&gt;S1993,1,0)</f>
        <v>0</v>
      </c>
      <c r="AL1994" s="268">
        <f t="shared" ref="AL1994" si="1692">IF(T1996&gt;T1993,1,0)</f>
        <v>0</v>
      </c>
      <c r="AN1994" s="268">
        <f t="shared" ref="AN1994" si="1693">IF(ISBLANK(N1996)=TRUE,"",IF(AF1994=1,N1993,-N1996))</f>
        <v>9</v>
      </c>
      <c r="AO1994" s="268">
        <f t="shared" ref="AO1994" si="1694">IF(ISBLANK(O1996)=TRUE,"",IF(AG1994=1,O1993,-O1996))</f>
        <v>-3</v>
      </c>
      <c r="AP1994" s="268">
        <f t="shared" ref="AP1994" si="1695">IF(ISBLANK(P1996)=TRUE,"",IF(AH1994=1,P1993,-P1996))</f>
        <v>-8</v>
      </c>
      <c r="AQ1994" s="268">
        <f t="shared" ref="AQ1994" si="1696">IF(ISBLANK(Q1996)=TRUE,"",IF(AI1994=1,Q1993,-Q1996))</f>
        <v>-12</v>
      </c>
      <c r="AR1994" s="268" t="str">
        <f t="shared" ref="AR1994" si="1697">IF(ISBLANK(R1996)=TRUE,"",IF(AJ1994=1,R1993,-R1996))</f>
        <v/>
      </c>
      <c r="AS1994" s="268" t="str">
        <f t="shared" ref="AS1994" si="1698">IF(ISBLANK(S1996)=TRUE,"",IF(AK1994=1,S1993,-S1996))</f>
        <v/>
      </c>
      <c r="AT1994" s="268" t="str">
        <f t="shared" ref="AT1994" si="1699">IF(ISBLANK(T1996)=TRUE,"",IF(AL1994=1,T1993,-T1996))</f>
        <v/>
      </c>
      <c r="AZ1994" s="269" t="s">
        <v>18</v>
      </c>
      <c r="BA1994" s="269">
        <v>2</v>
      </c>
    </row>
    <row r="1995" spans="1:53" ht="39.950000000000003" customHeight="1">
      <c r="C1995" s="223"/>
      <c r="D1995" s="223"/>
      <c r="E1995" s="264" t="s">
        <v>35</v>
      </c>
      <c r="F1995" s="265" t="str">
        <f>VLOOKUP(CONCATENATE(A1991,1),'zoznam zapasov'!$A$6:$K$160,9,0)</f>
        <v>So</v>
      </c>
      <c r="G1995" s="263"/>
      <c r="H1995" s="263"/>
      <c r="I1995" s="263"/>
      <c r="J1995" s="263"/>
      <c r="K1995" s="263"/>
      <c r="L1995" s="263"/>
      <c r="M1995" s="263"/>
      <c r="N1995" s="263"/>
      <c r="O1995" s="263"/>
      <c r="P1995" s="263"/>
      <c r="Q1995" s="263"/>
      <c r="R1995" s="263"/>
      <c r="S1995" s="263"/>
      <c r="T1995" s="263"/>
      <c r="U1995" s="263"/>
      <c r="V1995" s="263"/>
      <c r="W1995" s="267"/>
      <c r="X1995" s="263"/>
      <c r="AZ1995" s="269" t="s">
        <v>38</v>
      </c>
      <c r="BA1995" s="269">
        <v>3</v>
      </c>
    </row>
    <row r="1996" spans="1:53" ht="39.950000000000003" customHeight="1">
      <c r="A1996" s="252" t="str">
        <f>CONCATENATE(A1991,2)</f>
        <v>MIXP232</v>
      </c>
      <c r="B1996" s="252" t="str">
        <f>VLOOKUP(A1996,'KO KODY SPOLU'!$A$3:$B$189,2,0)</f>
        <v>MAKÚCH / GALČÍKOVÁ</v>
      </c>
      <c r="C1996" s="223"/>
      <c r="D1996" s="223"/>
      <c r="E1996" s="264" t="s">
        <v>28</v>
      </c>
      <c r="F1996" s="270" t="str">
        <f>VLOOKUP(CONCATENATE(A1991,1),'zoznam zapasov'!$A$6:$K$160,10,0)</f>
        <v>14.55</v>
      </c>
      <c r="G1996" s="508"/>
      <c r="H1996" s="319"/>
      <c r="I1996" s="487" t="str">
        <f>IF(ISERROR(VLOOKUP(B1996,vylosovanie!$N$75:$Q$191,3,0))=TRUE," ",VLOOKUP(B1996,vylosovanie!$N$75:$Q$191,3,0))</f>
        <v>MAKÚCH Damian</v>
      </c>
      <c r="J1996" s="488"/>
      <c r="K1996" s="488"/>
      <c r="L1996" s="488"/>
      <c r="M1996" s="263"/>
      <c r="N1996" s="489">
        <v>11</v>
      </c>
      <c r="O1996" s="489">
        <v>3</v>
      </c>
      <c r="P1996" s="489">
        <v>8</v>
      </c>
      <c r="Q1996" s="489">
        <v>12</v>
      </c>
      <c r="R1996" s="489"/>
      <c r="S1996" s="491"/>
      <c r="T1996" s="491"/>
      <c r="U1996" s="263"/>
      <c r="V1996" s="493">
        <f>IF(SUM(AF1993:AL1994)=0,"",SUM(AF1994:AL1994))</f>
        <v>1</v>
      </c>
      <c r="W1996" s="267"/>
      <c r="X1996" s="263"/>
      <c r="AZ1996" s="269" t="s">
        <v>39</v>
      </c>
      <c r="BA1996" s="269">
        <v>4</v>
      </c>
    </row>
    <row r="1997" spans="1:53" ht="39.950000000000003" customHeight="1">
      <c r="C1997" s="223"/>
      <c r="D1997" s="223"/>
      <c r="E1997" s="271"/>
      <c r="F1997" s="272"/>
      <c r="G1997" s="509"/>
      <c r="H1997" s="319"/>
      <c r="I1997" s="487" t="str">
        <f>IF(ISERROR(VLOOKUP(B1996,vylosovanie!$N$75:$Q$191,3,0))=TRUE," ",VLOOKUP(B1996,vylosovanie!$N$75:$Q$191,4,0))</f>
        <v>GALČÍKOVÁ Sára</v>
      </c>
      <c r="J1997" s="488"/>
      <c r="K1997" s="488"/>
      <c r="L1997" s="488"/>
      <c r="M1997" s="263"/>
      <c r="N1997" s="490"/>
      <c r="O1997" s="490"/>
      <c r="P1997" s="490"/>
      <c r="Q1997" s="490"/>
      <c r="R1997" s="490"/>
      <c r="S1997" s="492"/>
      <c r="T1997" s="492"/>
      <c r="U1997" s="263"/>
      <c r="V1997" s="493"/>
      <c r="W1997" s="267"/>
      <c r="X1997" s="263"/>
      <c r="AZ1997" s="269" t="s">
        <v>40</v>
      </c>
      <c r="BA1997" s="269">
        <v>5</v>
      </c>
    </row>
    <row r="1998" spans="1:53" ht="39.950000000000003" customHeight="1">
      <c r="C1998" s="223"/>
      <c r="D1998" s="223"/>
      <c r="E1998" s="264" t="s">
        <v>66</v>
      </c>
      <c r="F1998" s="265" t="s">
        <v>316</v>
      </c>
      <c r="G1998" s="263"/>
      <c r="H1998" s="263"/>
      <c r="I1998" s="263"/>
      <c r="J1998" s="263"/>
      <c r="K1998" s="263"/>
      <c r="L1998" s="263"/>
      <c r="M1998" s="263"/>
      <c r="N1998" s="263"/>
      <c r="O1998" s="263"/>
      <c r="P1998" s="263"/>
      <c r="Q1998" s="263"/>
      <c r="R1998" s="263"/>
      <c r="S1998" s="263"/>
      <c r="T1998" s="263"/>
      <c r="U1998" s="263"/>
      <c r="V1998" s="263"/>
      <c r="W1998" s="267"/>
      <c r="X1998" s="263"/>
      <c r="AZ1998" s="269" t="s">
        <v>41</v>
      </c>
      <c r="BA1998" s="269">
        <v>6</v>
      </c>
    </row>
    <row r="1999" spans="1:53" ht="39.950000000000003" customHeight="1">
      <c r="C1999" s="223"/>
      <c r="D1999" s="223"/>
      <c r="E1999" s="271"/>
      <c r="F1999" s="272"/>
      <c r="G1999" s="263"/>
      <c r="H1999" s="263"/>
      <c r="I1999" s="263" t="s">
        <v>32</v>
      </c>
      <c r="J1999" s="263"/>
      <c r="K1999" s="263"/>
      <c r="L1999" s="263"/>
      <c r="M1999" s="263"/>
      <c r="N1999" s="273"/>
      <c r="O1999" s="266"/>
      <c r="P1999" s="266" t="s">
        <v>34</v>
      </c>
      <c r="Q1999" s="266"/>
      <c r="R1999" s="266"/>
      <c r="S1999" s="266"/>
      <c r="T1999" s="266"/>
      <c r="U1999" s="263"/>
      <c r="V1999" s="263"/>
      <c r="W1999" s="267"/>
      <c r="X1999" s="263"/>
      <c r="AZ1999" s="269" t="s">
        <v>42</v>
      </c>
      <c r="BA1999" s="269">
        <v>7</v>
      </c>
    </row>
    <row r="2000" spans="1:53" ht="39.950000000000003" customHeight="1">
      <c r="E2000" s="264" t="s">
        <v>26</v>
      </c>
      <c r="F2000" s="265" t="s">
        <v>128</v>
      </c>
      <c r="G2000" s="263"/>
      <c r="H2000" s="263"/>
      <c r="I2000" s="486"/>
      <c r="J2000" s="486"/>
      <c r="K2000" s="486"/>
      <c r="L2000" s="486"/>
      <c r="M2000" s="263"/>
      <c r="N2000" s="483" t="str">
        <f>IF(V1993&gt;V1996,I1993,IF(V1996&gt;V1993,I1996,""))</f>
        <v>PETRÍK Filip</v>
      </c>
      <c r="O2000" s="494"/>
      <c r="P2000" s="494"/>
      <c r="Q2000" s="494"/>
      <c r="R2000" s="494"/>
      <c r="S2000" s="495"/>
      <c r="T2000" s="263"/>
      <c r="U2000" s="263"/>
      <c r="V2000" s="263"/>
      <c r="W2000" s="267"/>
      <c r="X2000" s="263"/>
      <c r="AZ2000" s="269" t="s">
        <v>43</v>
      </c>
      <c r="BA2000" s="269">
        <v>8</v>
      </c>
    </row>
    <row r="2001" spans="1:53" ht="39.950000000000003" customHeight="1">
      <c r="E2001" s="271"/>
      <c r="F2001" s="272"/>
      <c r="G2001" s="263"/>
      <c r="H2001" s="263"/>
      <c r="I2001" s="486"/>
      <c r="J2001" s="486"/>
      <c r="K2001" s="486"/>
      <c r="L2001" s="486"/>
      <c r="M2001" s="263"/>
      <c r="N2001" s="483" t="str">
        <f>IF(V1993&gt;V1996,I1994,IF(V1996&gt;V1993,I1997,""))</f>
        <v>PAPCUNOVÁ Viktória</v>
      </c>
      <c r="O2001" s="494"/>
      <c r="P2001" s="494"/>
      <c r="Q2001" s="494"/>
      <c r="R2001" s="494"/>
      <c r="S2001" s="495"/>
      <c r="T2001" s="263"/>
      <c r="U2001" s="263"/>
      <c r="V2001" s="263"/>
      <c r="W2001" s="267"/>
      <c r="X2001" s="263"/>
    </row>
    <row r="2002" spans="1:53" ht="39.950000000000003" customHeight="1">
      <c r="E2002" s="264" t="s">
        <v>27</v>
      </c>
      <c r="F2002" s="274" t="s">
        <v>370</v>
      </c>
      <c r="G2002" s="263"/>
      <c r="H2002" s="263"/>
      <c r="I2002" s="263"/>
      <c r="J2002" s="263"/>
      <c r="K2002" s="263"/>
      <c r="L2002" s="263"/>
      <c r="M2002" s="263"/>
      <c r="N2002" s="263"/>
      <c r="O2002" s="263"/>
      <c r="P2002" s="263"/>
      <c r="Q2002" s="263"/>
      <c r="R2002" s="263"/>
      <c r="S2002" s="263"/>
      <c r="T2002" s="263"/>
      <c r="U2002" s="263"/>
      <c r="V2002" s="263"/>
      <c r="W2002" s="267"/>
      <c r="X2002" s="263"/>
    </row>
    <row r="2003" spans="1:53" ht="39.950000000000003" customHeight="1">
      <c r="E2003" s="271"/>
      <c r="F2003" s="272"/>
      <c r="G2003" s="263"/>
      <c r="H2003" s="263" t="s">
        <v>33</v>
      </c>
      <c r="I2003" s="263"/>
      <c r="J2003" s="263"/>
      <c r="K2003" s="263"/>
      <c r="L2003" s="263"/>
      <c r="M2003" s="263"/>
      <c r="N2003" s="263"/>
      <c r="O2003" s="263"/>
      <c r="P2003" s="263"/>
      <c r="Q2003" s="263"/>
      <c r="R2003" s="263"/>
      <c r="S2003" s="263"/>
      <c r="T2003" s="263"/>
      <c r="U2003" s="263"/>
      <c r="V2003" s="263"/>
      <c r="W2003" s="267"/>
      <c r="X2003" s="263"/>
    </row>
    <row r="2004" spans="1:53" ht="39.950000000000003" customHeight="1">
      <c r="E2004" s="271"/>
      <c r="F2004" s="272"/>
      <c r="G2004" s="263"/>
      <c r="H2004" s="263"/>
      <c r="I2004" s="263"/>
      <c r="J2004" s="263"/>
      <c r="K2004" s="263"/>
      <c r="L2004" s="263"/>
      <c r="M2004" s="263"/>
      <c r="N2004" s="263"/>
      <c r="O2004" s="263"/>
      <c r="P2004" s="263"/>
      <c r="Q2004" s="263"/>
      <c r="R2004" s="263"/>
      <c r="S2004" s="263"/>
      <c r="T2004" s="263"/>
      <c r="U2004" s="263"/>
      <c r="V2004" s="263"/>
      <c r="W2004" s="267"/>
      <c r="X2004" s="263"/>
    </row>
    <row r="2005" spans="1:53" ht="39.950000000000003" customHeight="1">
      <c r="E2005" s="271"/>
      <c r="F2005" s="272"/>
      <c r="G2005" s="263"/>
      <c r="H2005" s="263"/>
      <c r="I2005" s="496" t="str">
        <f>I1993</f>
        <v>PETRÍK Filip</v>
      </c>
      <c r="J2005" s="496"/>
      <c r="K2005" s="496"/>
      <c r="L2005" s="496"/>
      <c r="M2005" s="263"/>
      <c r="N2005" s="263"/>
      <c r="P2005" s="496" t="str">
        <f>I1996</f>
        <v>MAKÚCH Damian</v>
      </c>
      <c r="Q2005" s="496"/>
      <c r="R2005" s="496"/>
      <c r="S2005" s="496"/>
      <c r="T2005" s="497"/>
      <c r="U2005" s="497"/>
      <c r="V2005" s="263"/>
      <c r="W2005" s="267"/>
      <c r="X2005" s="263"/>
    </row>
    <row r="2006" spans="1:53" ht="39.950000000000003" customHeight="1">
      <c r="E2006" s="271"/>
      <c r="F2006" s="272"/>
      <c r="G2006" s="263"/>
      <c r="H2006" s="263"/>
      <c r="I2006" s="496" t="str">
        <f>I1994</f>
        <v>PAPCUNOVÁ Viktória</v>
      </c>
      <c r="J2006" s="496"/>
      <c r="K2006" s="496"/>
      <c r="L2006" s="496"/>
      <c r="M2006" s="263"/>
      <c r="N2006" s="263"/>
      <c r="O2006" s="263"/>
      <c r="P2006" s="496" t="str">
        <f>I1997</f>
        <v>GALČÍKOVÁ Sára</v>
      </c>
      <c r="Q2006" s="496"/>
      <c r="R2006" s="496"/>
      <c r="S2006" s="496"/>
      <c r="T2006" s="497"/>
      <c r="U2006" s="497"/>
      <c r="V2006" s="263"/>
      <c r="W2006" s="267"/>
      <c r="X2006" s="263"/>
    </row>
    <row r="2007" spans="1:53" ht="69.95" customHeight="1">
      <c r="E2007" s="264"/>
      <c r="F2007" s="265"/>
      <c r="G2007" s="263"/>
      <c r="H2007" s="275" t="s">
        <v>36</v>
      </c>
      <c r="I2007" s="483"/>
      <c r="J2007" s="484"/>
      <c r="K2007" s="484"/>
      <c r="L2007" s="485"/>
      <c r="M2007" s="263"/>
      <c r="N2007" s="263"/>
      <c r="O2007" s="275" t="s">
        <v>36</v>
      </c>
      <c r="P2007" s="486"/>
      <c r="Q2007" s="486"/>
      <c r="R2007" s="486"/>
      <c r="S2007" s="486"/>
      <c r="T2007" s="486"/>
      <c r="U2007" s="486"/>
      <c r="V2007" s="263"/>
      <c r="W2007" s="267"/>
      <c r="X2007" s="263"/>
    </row>
    <row r="2008" spans="1:53" ht="69.95" customHeight="1">
      <c r="E2008" s="264"/>
      <c r="F2008" s="265"/>
      <c r="G2008" s="263"/>
      <c r="H2008" s="275" t="s">
        <v>37</v>
      </c>
      <c r="I2008" s="486"/>
      <c r="J2008" s="486"/>
      <c r="K2008" s="486"/>
      <c r="L2008" s="486"/>
      <c r="M2008" s="263"/>
      <c r="N2008" s="263"/>
      <c r="O2008" s="275" t="s">
        <v>37</v>
      </c>
      <c r="P2008" s="486"/>
      <c r="Q2008" s="486"/>
      <c r="R2008" s="486"/>
      <c r="S2008" s="486"/>
      <c r="T2008" s="486"/>
      <c r="U2008" s="486"/>
      <c r="V2008" s="263"/>
      <c r="W2008" s="267"/>
      <c r="X2008" s="263"/>
    </row>
    <row r="2009" spans="1:53" ht="69.95" customHeight="1">
      <c r="E2009" s="264"/>
      <c r="F2009" s="265"/>
      <c r="G2009" s="263"/>
      <c r="H2009" s="275" t="s">
        <v>37</v>
      </c>
      <c r="I2009" s="486"/>
      <c r="J2009" s="486"/>
      <c r="K2009" s="486"/>
      <c r="L2009" s="486"/>
      <c r="M2009" s="263"/>
      <c r="N2009" s="263"/>
      <c r="O2009" s="275" t="s">
        <v>37</v>
      </c>
      <c r="P2009" s="486"/>
      <c r="Q2009" s="486"/>
      <c r="R2009" s="486"/>
      <c r="S2009" s="486"/>
      <c r="T2009" s="486"/>
      <c r="U2009" s="486"/>
      <c r="V2009" s="263"/>
      <c r="W2009" s="267"/>
      <c r="X2009" s="263"/>
    </row>
    <row r="2010" spans="1:53" ht="39.950000000000003" customHeight="1" thickBot="1">
      <c r="E2010" s="276"/>
      <c r="F2010" s="277"/>
      <c r="G2010" s="278"/>
      <c r="H2010" s="278"/>
      <c r="I2010" s="278"/>
      <c r="J2010" s="278"/>
      <c r="K2010" s="278"/>
      <c r="L2010" s="278"/>
      <c r="M2010" s="278"/>
      <c r="N2010" s="278"/>
      <c r="O2010" s="278"/>
      <c r="P2010" s="278"/>
      <c r="Q2010" s="278"/>
      <c r="R2010" s="278"/>
      <c r="S2010" s="278"/>
      <c r="T2010" s="279"/>
      <c r="U2010" s="279"/>
      <c r="V2010" s="279"/>
      <c r="W2010" s="280"/>
      <c r="X2010" s="263"/>
    </row>
    <row r="2011" spans="1:53" ht="62.25" thickBot="1"/>
    <row r="2012" spans="1:53" ht="39.950000000000003" customHeight="1">
      <c r="A2012" s="252" t="str">
        <f>CONCATENATE(F2019,F2021,F2023)</f>
        <v>MIXP24</v>
      </c>
      <c r="C2012" s="223"/>
      <c r="D2012" s="223"/>
      <c r="E2012" s="259" t="s">
        <v>70</v>
      </c>
      <c r="F2012" s="260">
        <f>VLOOKUP(CONCATENATE(A2012,1),'zoznam zapasov'!$A$6:$K$160,3,0)</f>
        <v>100</v>
      </c>
      <c r="G2012" s="261"/>
      <c r="H2012" s="322" t="s">
        <v>501</v>
      </c>
      <c r="I2012" s="261"/>
      <c r="J2012" s="261"/>
      <c r="K2012" s="261"/>
      <c r="L2012" s="261"/>
      <c r="M2012" s="261"/>
      <c r="N2012" s="261"/>
      <c r="O2012" s="261"/>
      <c r="P2012" s="261"/>
      <c r="Q2012" s="261"/>
      <c r="R2012" s="261"/>
      <c r="S2012" s="261"/>
      <c r="T2012" s="261"/>
      <c r="U2012" s="261"/>
      <c r="V2012" s="261" t="s">
        <v>30</v>
      </c>
      <c r="W2012" s="262"/>
      <c r="X2012" s="263"/>
      <c r="Y2012" s="253" t="str">
        <f>A2014</f>
        <v>MIXP241</v>
      </c>
      <c r="Z2012" s="258" t="str">
        <f>CONCATENATE(V2014,":",V2017)</f>
        <v>0:3</v>
      </c>
      <c r="AA2012" s="255" t="str">
        <f>IF(V2014&gt;V2017,B2014,IF(V2017&gt;V2014,B2017,""))</f>
        <v>DIKO / PEKOVÁ</v>
      </c>
      <c r="AB2012" s="255" t="str">
        <f>IF(V2014&gt;V2017,AV2012,IF(V2017&gt;V2014,AV2013,""))</f>
        <v xml:space="preserve">3:0 ( 11,5,2,,,, ) </v>
      </c>
      <c r="AC2012" s="255" t="str">
        <f>CONCATENATE("Tbl.: ",F2014,"   H: ",F2017,"   D: ",F2016)</f>
        <v>Tbl.: 8   H: 14.55   D: So</v>
      </c>
      <c r="AE2012" s="253" t="s">
        <v>11</v>
      </c>
      <c r="AV2012" s="256" t="str">
        <f>CONCATENATE(V2014,":",V2017, " ( ",AN2014,",",AO2014,",",AP2014,",",AQ2014,",",AR2014,",",AS2014,",",AT2014," ) ")</f>
        <v xml:space="preserve">0:3 ( -11,-5,-2,,,, ) </v>
      </c>
    </row>
    <row r="2013" spans="1:53" ht="39.950000000000003" customHeight="1">
      <c r="C2013" s="223"/>
      <c r="D2013" s="223"/>
      <c r="E2013" s="264"/>
      <c r="F2013" s="265"/>
      <c r="G2013" s="321" t="s">
        <v>500</v>
      </c>
      <c r="H2013" s="323" t="s">
        <v>502</v>
      </c>
      <c r="I2013" s="263"/>
      <c r="J2013" s="263"/>
      <c r="K2013" s="263"/>
      <c r="L2013" s="263"/>
      <c r="M2013" s="263"/>
      <c r="N2013" s="266">
        <v>1</v>
      </c>
      <c r="O2013" s="266">
        <v>2</v>
      </c>
      <c r="P2013" s="266">
        <v>3</v>
      </c>
      <c r="Q2013" s="266">
        <v>4</v>
      </c>
      <c r="R2013" s="266">
        <v>5</v>
      </c>
      <c r="S2013" s="266">
        <v>6</v>
      </c>
      <c r="T2013" s="266">
        <v>7</v>
      </c>
      <c r="U2013" s="263"/>
      <c r="V2013" s="266" t="s">
        <v>31</v>
      </c>
      <c r="W2013" s="267"/>
      <c r="X2013" s="263"/>
      <c r="AE2013" s="253" t="s">
        <v>68</v>
      </c>
      <c r="AV2013" s="256" t="str">
        <f>CONCATENATE(V2017,":",V2014, " ( ",AN2015,",",AO2015,",",AP2015,",",AQ2015,",",AR2015,",",AS2015,",",AT2015," ) ")</f>
        <v xml:space="preserve">3:0 ( 11,5,2,,,, ) </v>
      </c>
    </row>
    <row r="2014" spans="1:53" ht="39.950000000000003" customHeight="1">
      <c r="A2014" s="252" t="str">
        <f>CONCATENATE(A2012,1)</f>
        <v>MIXP241</v>
      </c>
      <c r="B2014" s="252" t="str">
        <f>VLOOKUP(A2014,'KO KODY SPOLU'!$A$3:$B$189,2,0)</f>
        <v>MIKLUŠČÁK / LACENOVÁ</v>
      </c>
      <c r="C2014" s="223"/>
      <c r="D2014" s="223"/>
      <c r="E2014" s="264" t="s">
        <v>29</v>
      </c>
      <c r="F2014" s="265">
        <f>VLOOKUP(CONCATENATE(A2012,1),'zoznam zapasov'!$A$6:$K$160,11,0)</f>
        <v>8</v>
      </c>
      <c r="G2014" s="508"/>
      <c r="H2014" s="319"/>
      <c r="I2014" s="487" t="str">
        <f>IF(ISERROR(VLOOKUP(B2014,vylosovanie!$N$75:$Q$191,3,0))=TRUE," ",VLOOKUP(B2014,vylosovanie!$N$75:$Q$191,3,0))</f>
        <v>MIKLUŠČÁK Benjamín</v>
      </c>
      <c r="J2014" s="488"/>
      <c r="K2014" s="488"/>
      <c r="L2014" s="488"/>
      <c r="M2014" s="263"/>
      <c r="N2014" s="489">
        <v>11</v>
      </c>
      <c r="O2014" s="489">
        <v>5</v>
      </c>
      <c r="P2014" s="489">
        <v>2</v>
      </c>
      <c r="Q2014" s="489"/>
      <c r="R2014" s="489"/>
      <c r="S2014" s="491"/>
      <c r="T2014" s="491"/>
      <c r="U2014" s="263"/>
      <c r="V2014" s="493">
        <f>IF(SUM(AF2014:AL2015)=0,"",SUM(AF2014:AL2014))</f>
        <v>0</v>
      </c>
      <c r="W2014" s="267"/>
      <c r="X2014" s="263"/>
      <c r="AE2014" s="253" t="str">
        <f>VLOOKUP(I2014,vylosovanie!$F$8:$L$190,7,0)</f>
        <v>CH13</v>
      </c>
      <c r="AF2014" s="268">
        <f>IF(N2014&gt;N2017,1,0)</f>
        <v>0</v>
      </c>
      <c r="AG2014" s="268">
        <f t="shared" ref="AG2014" si="1700">IF(O2014&gt;O2017,1,0)</f>
        <v>0</v>
      </c>
      <c r="AH2014" s="268">
        <f t="shared" ref="AH2014" si="1701">IF(P2014&gt;P2017,1,0)</f>
        <v>0</v>
      </c>
      <c r="AI2014" s="268">
        <f t="shared" ref="AI2014" si="1702">IF(Q2014&gt;Q2017,1,0)</f>
        <v>0</v>
      </c>
      <c r="AJ2014" s="268">
        <f t="shared" ref="AJ2014" si="1703">IF(R2014&gt;R2017,1,0)</f>
        <v>0</v>
      </c>
      <c r="AK2014" s="268">
        <f t="shared" ref="AK2014" si="1704">IF(S2014&gt;S2017,1,0)</f>
        <v>0</v>
      </c>
      <c r="AL2014" s="268">
        <f t="shared" ref="AL2014" si="1705">IF(T2014&gt;T2017,1,0)</f>
        <v>0</v>
      </c>
      <c r="AN2014" s="268">
        <f t="shared" ref="AN2014" si="1706">IF(ISBLANK(N2014)=TRUE,"",IF(AF2014=1,N2017,-N2014))</f>
        <v>-11</v>
      </c>
      <c r="AO2014" s="268">
        <f t="shared" ref="AO2014" si="1707">IF(ISBLANK(O2014)=TRUE,"",IF(AG2014=1,O2017,-O2014))</f>
        <v>-5</v>
      </c>
      <c r="AP2014" s="268">
        <f t="shared" ref="AP2014" si="1708">IF(ISBLANK(P2014)=TRUE,"",IF(AH2014=1,P2017,-P2014))</f>
        <v>-2</v>
      </c>
      <c r="AQ2014" s="268" t="str">
        <f t="shared" ref="AQ2014" si="1709">IF(ISBLANK(Q2014)=TRUE,"",IF(AI2014=1,Q2017,-Q2014))</f>
        <v/>
      </c>
      <c r="AR2014" s="268" t="str">
        <f t="shared" ref="AR2014" si="1710">IF(ISBLANK(R2014)=TRUE,"",IF(AJ2014=1,R2017,-R2014))</f>
        <v/>
      </c>
      <c r="AS2014" s="268" t="str">
        <f t="shared" ref="AS2014" si="1711">IF(ISBLANK(S2014)=TRUE,"",IF(AK2014=1,S2017,-S2014))</f>
        <v/>
      </c>
      <c r="AT2014" s="268" t="str">
        <f t="shared" ref="AT2014" si="1712">IF(ISBLANK(T2014)=TRUE,"",IF(AL2014=1,T2017,-T2014))</f>
        <v/>
      </c>
      <c r="AZ2014" s="269" t="s">
        <v>12</v>
      </c>
      <c r="BA2014" s="269">
        <v>1</v>
      </c>
    </row>
    <row r="2015" spans="1:53" ht="39.950000000000003" customHeight="1">
      <c r="C2015" s="223"/>
      <c r="D2015" s="223"/>
      <c r="E2015" s="264"/>
      <c r="F2015" s="265"/>
      <c r="G2015" s="509"/>
      <c r="H2015" s="319"/>
      <c r="I2015" s="487" t="str">
        <f>IF(ISERROR(VLOOKUP(B2014,vylosovanie!$N$75:$Q$191,3,0))=TRUE," ",VLOOKUP(B2014,vylosovanie!$N$75:$Q$191,4,0))</f>
        <v>LACENOVÁ Renáta</v>
      </c>
      <c r="J2015" s="488"/>
      <c r="K2015" s="488"/>
      <c r="L2015" s="488"/>
      <c r="M2015" s="263"/>
      <c r="N2015" s="490"/>
      <c r="O2015" s="490"/>
      <c r="P2015" s="490"/>
      <c r="Q2015" s="490"/>
      <c r="R2015" s="490"/>
      <c r="S2015" s="492"/>
      <c r="T2015" s="492"/>
      <c r="U2015" s="263"/>
      <c r="V2015" s="493"/>
      <c r="W2015" s="267"/>
      <c r="X2015" s="263"/>
      <c r="AE2015" s="253" t="str">
        <f>VLOOKUP(I2017,vylosovanie!$F$8:$L$190,7,0)</f>
        <v>CH11</v>
      </c>
      <c r="AF2015" s="268">
        <f>IF(N2017&gt;N2014,1,0)</f>
        <v>1</v>
      </c>
      <c r="AG2015" s="268">
        <f t="shared" ref="AG2015" si="1713">IF(O2017&gt;O2014,1,0)</f>
        <v>1</v>
      </c>
      <c r="AH2015" s="268">
        <f t="shared" ref="AH2015" si="1714">IF(P2017&gt;P2014,1,0)</f>
        <v>1</v>
      </c>
      <c r="AI2015" s="268">
        <f t="shared" ref="AI2015" si="1715">IF(Q2017&gt;Q2014,1,0)</f>
        <v>0</v>
      </c>
      <c r="AJ2015" s="268">
        <f t="shared" ref="AJ2015" si="1716">IF(R2017&gt;R2014,1,0)</f>
        <v>0</v>
      </c>
      <c r="AK2015" s="268">
        <f t="shared" ref="AK2015" si="1717">IF(S2017&gt;S2014,1,0)</f>
        <v>0</v>
      </c>
      <c r="AL2015" s="268">
        <f t="shared" ref="AL2015" si="1718">IF(T2017&gt;T2014,1,0)</f>
        <v>0</v>
      </c>
      <c r="AN2015" s="268">
        <f t="shared" ref="AN2015" si="1719">IF(ISBLANK(N2017)=TRUE,"",IF(AF2015=1,N2014,-N2017))</f>
        <v>11</v>
      </c>
      <c r="AO2015" s="268">
        <f t="shared" ref="AO2015" si="1720">IF(ISBLANK(O2017)=TRUE,"",IF(AG2015=1,O2014,-O2017))</f>
        <v>5</v>
      </c>
      <c r="AP2015" s="268">
        <f t="shared" ref="AP2015" si="1721">IF(ISBLANK(P2017)=TRUE,"",IF(AH2015=1,P2014,-P2017))</f>
        <v>2</v>
      </c>
      <c r="AQ2015" s="268" t="str">
        <f t="shared" ref="AQ2015" si="1722">IF(ISBLANK(Q2017)=TRUE,"",IF(AI2015=1,Q2014,-Q2017))</f>
        <v/>
      </c>
      <c r="AR2015" s="268" t="str">
        <f t="shared" ref="AR2015" si="1723">IF(ISBLANK(R2017)=TRUE,"",IF(AJ2015=1,R2014,-R2017))</f>
        <v/>
      </c>
      <c r="AS2015" s="268" t="str">
        <f t="shared" ref="AS2015" si="1724">IF(ISBLANK(S2017)=TRUE,"",IF(AK2015=1,S2014,-S2017))</f>
        <v/>
      </c>
      <c r="AT2015" s="268" t="str">
        <f t="shared" ref="AT2015" si="1725">IF(ISBLANK(T2017)=TRUE,"",IF(AL2015=1,T2014,-T2017))</f>
        <v/>
      </c>
      <c r="AZ2015" s="269" t="s">
        <v>18</v>
      </c>
      <c r="BA2015" s="269">
        <v>2</v>
      </c>
    </row>
    <row r="2016" spans="1:53" ht="39.950000000000003" customHeight="1">
      <c r="C2016" s="223"/>
      <c r="D2016" s="223"/>
      <c r="E2016" s="264" t="s">
        <v>35</v>
      </c>
      <c r="F2016" s="265" t="str">
        <f>VLOOKUP(CONCATENATE(A2012,1),'zoznam zapasov'!$A$6:$K$160,9,0)</f>
        <v>So</v>
      </c>
      <c r="G2016" s="263"/>
      <c r="H2016" s="263"/>
      <c r="I2016" s="263"/>
      <c r="J2016" s="263"/>
      <c r="K2016" s="263"/>
      <c r="L2016" s="263"/>
      <c r="M2016" s="263"/>
      <c r="N2016" s="263"/>
      <c r="O2016" s="263"/>
      <c r="P2016" s="263"/>
      <c r="Q2016" s="263"/>
      <c r="R2016" s="263"/>
      <c r="S2016" s="263"/>
      <c r="T2016" s="263"/>
      <c r="U2016" s="263"/>
      <c r="V2016" s="263"/>
      <c r="W2016" s="267"/>
      <c r="X2016" s="263"/>
      <c r="AZ2016" s="269" t="s">
        <v>38</v>
      </c>
      <c r="BA2016" s="269">
        <v>3</v>
      </c>
    </row>
    <row r="2017" spans="1:53" ht="39.950000000000003" customHeight="1">
      <c r="A2017" s="252" t="str">
        <f>CONCATENATE(A2012,2)</f>
        <v>MIXP242</v>
      </c>
      <c r="B2017" s="252" t="str">
        <f>VLOOKUP(A2017,'KO KODY SPOLU'!$A$3:$B$189,2,0)</f>
        <v>DIKO / PEKOVÁ</v>
      </c>
      <c r="C2017" s="223"/>
      <c r="D2017" s="223"/>
      <c r="E2017" s="264" t="s">
        <v>28</v>
      </c>
      <c r="F2017" s="270" t="str">
        <f>VLOOKUP(CONCATENATE(A2012,1),'zoznam zapasov'!$A$6:$K$160,10,0)</f>
        <v>14.55</v>
      </c>
      <c r="G2017" s="508"/>
      <c r="H2017" s="319"/>
      <c r="I2017" s="487" t="str">
        <f>IF(ISERROR(VLOOKUP(B2017,vylosovanie!$N$75:$Q$191,3,0))=TRUE," ",VLOOKUP(B2017,vylosovanie!$N$75:$Q$191,3,0))</f>
        <v>DIKO Dalibor</v>
      </c>
      <c r="J2017" s="488"/>
      <c r="K2017" s="488"/>
      <c r="L2017" s="488"/>
      <c r="M2017" s="263"/>
      <c r="N2017" s="489">
        <v>13</v>
      </c>
      <c r="O2017" s="489">
        <v>11</v>
      </c>
      <c r="P2017" s="489">
        <v>11</v>
      </c>
      <c r="Q2017" s="489"/>
      <c r="R2017" s="489"/>
      <c r="S2017" s="491"/>
      <c r="T2017" s="491"/>
      <c r="U2017" s="263"/>
      <c r="V2017" s="493">
        <f>IF(SUM(AF2014:AL2015)=0,"",SUM(AF2015:AL2015))</f>
        <v>3</v>
      </c>
      <c r="W2017" s="267"/>
      <c r="X2017" s="263"/>
      <c r="AZ2017" s="269" t="s">
        <v>39</v>
      </c>
      <c r="BA2017" s="269">
        <v>4</v>
      </c>
    </row>
    <row r="2018" spans="1:53" ht="39.950000000000003" customHeight="1">
      <c r="C2018" s="223"/>
      <c r="D2018" s="223"/>
      <c r="E2018" s="271"/>
      <c r="F2018" s="272"/>
      <c r="G2018" s="509"/>
      <c r="H2018" s="319"/>
      <c r="I2018" s="487" t="str">
        <f>IF(ISERROR(VLOOKUP(B2017,vylosovanie!$N$75:$Q$191,3,0))=TRUE," ",VLOOKUP(B2017,vylosovanie!$N$75:$Q$191,4,0))</f>
        <v>PEKOVÁ Zuzana</v>
      </c>
      <c r="J2018" s="488"/>
      <c r="K2018" s="488"/>
      <c r="L2018" s="488"/>
      <c r="M2018" s="263"/>
      <c r="N2018" s="490"/>
      <c r="O2018" s="490"/>
      <c r="P2018" s="490"/>
      <c r="Q2018" s="490"/>
      <c r="R2018" s="490"/>
      <c r="S2018" s="492"/>
      <c r="T2018" s="492"/>
      <c r="U2018" s="263"/>
      <c r="V2018" s="493"/>
      <c r="W2018" s="267"/>
      <c r="X2018" s="263"/>
      <c r="AZ2018" s="269" t="s">
        <v>40</v>
      </c>
      <c r="BA2018" s="269">
        <v>5</v>
      </c>
    </row>
    <row r="2019" spans="1:53" ht="39.950000000000003" customHeight="1">
      <c r="C2019" s="223"/>
      <c r="D2019" s="223"/>
      <c r="E2019" s="264" t="s">
        <v>66</v>
      </c>
      <c r="F2019" s="265" t="s">
        <v>316</v>
      </c>
      <c r="G2019" s="263"/>
      <c r="H2019" s="263"/>
      <c r="I2019" s="263"/>
      <c r="J2019" s="263"/>
      <c r="K2019" s="263"/>
      <c r="L2019" s="263"/>
      <c r="M2019" s="263"/>
      <c r="N2019" s="263"/>
      <c r="O2019" s="263"/>
      <c r="P2019" s="263"/>
      <c r="Q2019" s="263"/>
      <c r="R2019" s="263"/>
      <c r="S2019" s="263"/>
      <c r="T2019" s="263"/>
      <c r="U2019" s="263"/>
      <c r="V2019" s="263"/>
      <c r="W2019" s="267"/>
      <c r="X2019" s="263"/>
      <c r="AZ2019" s="269" t="s">
        <v>41</v>
      </c>
      <c r="BA2019" s="269">
        <v>6</v>
      </c>
    </row>
    <row r="2020" spans="1:53" ht="39.950000000000003" customHeight="1">
      <c r="C2020" s="223"/>
      <c r="D2020" s="223"/>
      <c r="E2020" s="271"/>
      <c r="F2020" s="272"/>
      <c r="G2020" s="263"/>
      <c r="H2020" s="263"/>
      <c r="I2020" s="263" t="s">
        <v>32</v>
      </c>
      <c r="J2020" s="263"/>
      <c r="K2020" s="263"/>
      <c r="L2020" s="263"/>
      <c r="M2020" s="263"/>
      <c r="N2020" s="273"/>
      <c r="O2020" s="266"/>
      <c r="P2020" s="266" t="s">
        <v>34</v>
      </c>
      <c r="Q2020" s="266"/>
      <c r="R2020" s="266"/>
      <c r="S2020" s="266"/>
      <c r="T2020" s="266"/>
      <c r="U2020" s="263"/>
      <c r="V2020" s="263"/>
      <c r="W2020" s="267"/>
      <c r="X2020" s="263"/>
      <c r="AZ2020" s="269" t="s">
        <v>42</v>
      </c>
      <c r="BA2020" s="269">
        <v>7</v>
      </c>
    </row>
    <row r="2021" spans="1:53" ht="39.950000000000003" customHeight="1">
      <c r="E2021" s="264" t="s">
        <v>26</v>
      </c>
      <c r="F2021" s="265" t="s">
        <v>128</v>
      </c>
      <c r="G2021" s="263"/>
      <c r="H2021" s="263"/>
      <c r="I2021" s="486"/>
      <c r="J2021" s="486"/>
      <c r="K2021" s="486"/>
      <c r="L2021" s="486"/>
      <c r="M2021" s="263"/>
      <c r="N2021" s="483" t="str">
        <f>IF(V2014&gt;V2017,I2014,IF(V2017&gt;V2014,I2017,""))</f>
        <v>DIKO Dalibor</v>
      </c>
      <c r="O2021" s="494"/>
      <c r="P2021" s="494"/>
      <c r="Q2021" s="494"/>
      <c r="R2021" s="494"/>
      <c r="S2021" s="495"/>
      <c r="T2021" s="263"/>
      <c r="U2021" s="263"/>
      <c r="V2021" s="263"/>
      <c r="W2021" s="267"/>
      <c r="X2021" s="263"/>
      <c r="AZ2021" s="269" t="s">
        <v>43</v>
      </c>
      <c r="BA2021" s="269">
        <v>8</v>
      </c>
    </row>
    <row r="2022" spans="1:53" ht="39.950000000000003" customHeight="1">
      <c r="E2022" s="271"/>
      <c r="F2022" s="272"/>
      <c r="G2022" s="263"/>
      <c r="H2022" s="263"/>
      <c r="I2022" s="486"/>
      <c r="J2022" s="486"/>
      <c r="K2022" s="486"/>
      <c r="L2022" s="486"/>
      <c r="M2022" s="263"/>
      <c r="N2022" s="483" t="str">
        <f>IF(V2014&gt;V2017,I2015,IF(V2017&gt;V2014,I2018,""))</f>
        <v>PEKOVÁ Zuzana</v>
      </c>
      <c r="O2022" s="494"/>
      <c r="P2022" s="494"/>
      <c r="Q2022" s="494"/>
      <c r="R2022" s="494"/>
      <c r="S2022" s="495"/>
      <c r="T2022" s="263"/>
      <c r="U2022" s="263"/>
      <c r="V2022" s="263"/>
      <c r="W2022" s="267"/>
      <c r="X2022" s="263"/>
    </row>
    <row r="2023" spans="1:53" ht="39.950000000000003" customHeight="1">
      <c r="E2023" s="264" t="s">
        <v>27</v>
      </c>
      <c r="F2023" s="274" t="s">
        <v>371</v>
      </c>
      <c r="G2023" s="263"/>
      <c r="H2023" s="263"/>
      <c r="I2023" s="263"/>
      <c r="J2023" s="263"/>
      <c r="K2023" s="263"/>
      <c r="L2023" s="263"/>
      <c r="M2023" s="263"/>
      <c r="N2023" s="263"/>
      <c r="O2023" s="263"/>
      <c r="P2023" s="263"/>
      <c r="Q2023" s="263"/>
      <c r="R2023" s="263"/>
      <c r="S2023" s="263"/>
      <c r="T2023" s="263"/>
      <c r="U2023" s="263"/>
      <c r="V2023" s="263"/>
      <c r="W2023" s="267"/>
      <c r="X2023" s="263"/>
    </row>
    <row r="2024" spans="1:53" ht="39.950000000000003" customHeight="1">
      <c r="E2024" s="271"/>
      <c r="F2024" s="272"/>
      <c r="G2024" s="263"/>
      <c r="H2024" s="263" t="s">
        <v>33</v>
      </c>
      <c r="I2024" s="263"/>
      <c r="J2024" s="263"/>
      <c r="K2024" s="263"/>
      <c r="L2024" s="263"/>
      <c r="M2024" s="263"/>
      <c r="N2024" s="263"/>
      <c r="O2024" s="263"/>
      <c r="P2024" s="263"/>
      <c r="Q2024" s="263"/>
      <c r="R2024" s="263"/>
      <c r="S2024" s="263"/>
      <c r="T2024" s="263"/>
      <c r="U2024" s="263"/>
      <c r="V2024" s="263"/>
      <c r="W2024" s="267"/>
      <c r="X2024" s="263"/>
    </row>
    <row r="2025" spans="1:53" ht="39.950000000000003" customHeight="1">
      <c r="E2025" s="271"/>
      <c r="F2025" s="272"/>
      <c r="G2025" s="263"/>
      <c r="H2025" s="263"/>
      <c r="I2025" s="263"/>
      <c r="J2025" s="263"/>
      <c r="K2025" s="263"/>
      <c r="L2025" s="263"/>
      <c r="M2025" s="263"/>
      <c r="N2025" s="263"/>
      <c r="O2025" s="263"/>
      <c r="P2025" s="263"/>
      <c r="Q2025" s="263"/>
      <c r="R2025" s="263"/>
      <c r="S2025" s="263"/>
      <c r="T2025" s="263"/>
      <c r="U2025" s="263"/>
      <c r="V2025" s="263"/>
      <c r="W2025" s="267"/>
      <c r="X2025" s="263"/>
    </row>
    <row r="2026" spans="1:53" ht="39.950000000000003" customHeight="1">
      <c r="E2026" s="271"/>
      <c r="F2026" s="272"/>
      <c r="G2026" s="263"/>
      <c r="H2026" s="263"/>
      <c r="I2026" s="496" t="str">
        <f>I2014</f>
        <v>MIKLUŠČÁK Benjamín</v>
      </c>
      <c r="J2026" s="496"/>
      <c r="K2026" s="496"/>
      <c r="L2026" s="496"/>
      <c r="M2026" s="263"/>
      <c r="N2026" s="263"/>
      <c r="P2026" s="496" t="str">
        <f>I2017</f>
        <v>DIKO Dalibor</v>
      </c>
      <c r="Q2026" s="496"/>
      <c r="R2026" s="496"/>
      <c r="S2026" s="496"/>
      <c r="T2026" s="497"/>
      <c r="U2026" s="497"/>
      <c r="V2026" s="263"/>
      <c r="W2026" s="267"/>
      <c r="X2026" s="263"/>
    </row>
    <row r="2027" spans="1:53" ht="39.950000000000003" customHeight="1">
      <c r="E2027" s="271"/>
      <c r="F2027" s="272"/>
      <c r="G2027" s="263"/>
      <c r="H2027" s="263"/>
      <c r="I2027" s="496" t="str">
        <f>I2015</f>
        <v>LACENOVÁ Renáta</v>
      </c>
      <c r="J2027" s="496"/>
      <c r="K2027" s="496"/>
      <c r="L2027" s="496"/>
      <c r="M2027" s="263"/>
      <c r="N2027" s="263"/>
      <c r="O2027" s="263"/>
      <c r="P2027" s="496" t="str">
        <f>I2018</f>
        <v>PEKOVÁ Zuzana</v>
      </c>
      <c r="Q2027" s="496"/>
      <c r="R2027" s="496"/>
      <c r="S2027" s="496"/>
      <c r="T2027" s="497"/>
      <c r="U2027" s="497"/>
      <c r="V2027" s="263"/>
      <c r="W2027" s="267"/>
      <c r="X2027" s="263"/>
    </row>
    <row r="2028" spans="1:53" ht="69.95" customHeight="1">
      <c r="E2028" s="264"/>
      <c r="F2028" s="265"/>
      <c r="G2028" s="263"/>
      <c r="H2028" s="275" t="s">
        <v>36</v>
      </c>
      <c r="I2028" s="483"/>
      <c r="J2028" s="484"/>
      <c r="K2028" s="484"/>
      <c r="L2028" s="485"/>
      <c r="M2028" s="263"/>
      <c r="N2028" s="263"/>
      <c r="O2028" s="275" t="s">
        <v>36</v>
      </c>
      <c r="P2028" s="486"/>
      <c r="Q2028" s="486"/>
      <c r="R2028" s="486"/>
      <c r="S2028" s="486"/>
      <c r="T2028" s="486"/>
      <c r="U2028" s="486"/>
      <c r="V2028" s="263"/>
      <c r="W2028" s="267"/>
      <c r="X2028" s="263"/>
    </row>
    <row r="2029" spans="1:53" ht="69.95" customHeight="1">
      <c r="E2029" s="264"/>
      <c r="F2029" s="265"/>
      <c r="G2029" s="263"/>
      <c r="H2029" s="275" t="s">
        <v>37</v>
      </c>
      <c r="I2029" s="486"/>
      <c r="J2029" s="486"/>
      <c r="K2029" s="486"/>
      <c r="L2029" s="486"/>
      <c r="M2029" s="263"/>
      <c r="N2029" s="263"/>
      <c r="O2029" s="275" t="s">
        <v>37</v>
      </c>
      <c r="P2029" s="486"/>
      <c r="Q2029" s="486"/>
      <c r="R2029" s="486"/>
      <c r="S2029" s="486"/>
      <c r="T2029" s="486"/>
      <c r="U2029" s="486"/>
      <c r="V2029" s="263"/>
      <c r="W2029" s="267"/>
      <c r="X2029" s="263"/>
    </row>
    <row r="2030" spans="1:53" ht="69.95" customHeight="1">
      <c r="E2030" s="264"/>
      <c r="F2030" s="265"/>
      <c r="G2030" s="263"/>
      <c r="H2030" s="275" t="s">
        <v>37</v>
      </c>
      <c r="I2030" s="486"/>
      <c r="J2030" s="486"/>
      <c r="K2030" s="486"/>
      <c r="L2030" s="486"/>
      <c r="M2030" s="263"/>
      <c r="N2030" s="263"/>
      <c r="O2030" s="275" t="s">
        <v>37</v>
      </c>
      <c r="P2030" s="486"/>
      <c r="Q2030" s="486"/>
      <c r="R2030" s="486"/>
      <c r="S2030" s="486"/>
      <c r="T2030" s="486"/>
      <c r="U2030" s="486"/>
      <c r="V2030" s="263"/>
      <c r="W2030" s="267"/>
      <c r="X2030" s="263"/>
    </row>
    <row r="2031" spans="1:53" ht="39.950000000000003" customHeight="1" thickBot="1">
      <c r="E2031" s="276"/>
      <c r="F2031" s="277"/>
      <c r="G2031" s="278"/>
      <c r="H2031" s="278"/>
      <c r="I2031" s="278"/>
      <c r="J2031" s="278"/>
      <c r="K2031" s="278"/>
      <c r="L2031" s="278"/>
      <c r="M2031" s="278"/>
      <c r="N2031" s="278"/>
      <c r="O2031" s="278"/>
      <c r="P2031" s="278"/>
      <c r="Q2031" s="278"/>
      <c r="R2031" s="278"/>
      <c r="S2031" s="278"/>
      <c r="T2031" s="279"/>
      <c r="U2031" s="279"/>
      <c r="V2031" s="279"/>
      <c r="W2031" s="280"/>
      <c r="X2031" s="263"/>
    </row>
    <row r="2032" spans="1:53" ht="62.25" thickBot="1"/>
    <row r="2033" spans="1:53" ht="39.950000000000003" customHeight="1">
      <c r="A2033" s="252" t="str">
        <f>CONCATENATE(F2040,F2042,F2044)</f>
        <v>DP1</v>
      </c>
      <c r="E2033" s="259" t="s">
        <v>70</v>
      </c>
      <c r="F2033" s="260">
        <f>VLOOKUP(CONCATENATE(A2033,1),'zoznam zapasov'!$A$6:$K$160,3,0)</f>
        <v>101</v>
      </c>
      <c r="G2033" s="261"/>
      <c r="H2033" s="322" t="s">
        <v>501</v>
      </c>
      <c r="I2033" s="261"/>
      <c r="J2033" s="261"/>
      <c r="K2033" s="261"/>
      <c r="L2033" s="261"/>
      <c r="M2033" s="261"/>
      <c r="N2033" s="261"/>
      <c r="O2033" s="261"/>
      <c r="P2033" s="261"/>
      <c r="Q2033" s="261"/>
      <c r="R2033" s="261"/>
      <c r="S2033" s="261"/>
      <c r="T2033" s="261"/>
      <c r="U2033" s="261"/>
      <c r="V2033" s="261" t="s">
        <v>30</v>
      </c>
      <c r="W2033" s="262"/>
      <c r="X2033" s="263"/>
      <c r="Y2033" s="253" t="str">
        <f>A2035</f>
        <v>DP11</v>
      </c>
      <c r="Z2033" s="258" t="str">
        <f>CONCATENATE(V2035,":",V2038)</f>
        <v>3:1</v>
      </c>
      <c r="AA2033" s="255" t="str">
        <f>N2042</f>
        <v>LABOŠOVÁ Ema</v>
      </c>
      <c r="AB2033" s="255" t="str">
        <f>IF(V2035&gt;V2038,AV2033,IF(V2038&gt;V2035,AV2034,""))</f>
        <v xml:space="preserve">3:1 ( -9,4,7,1,,, ) </v>
      </c>
      <c r="AC2033" s="255" t="str">
        <f>CONCATENATE("Tbl.: ",F2035,"   H: ",F2038,"   D: ",F2037)</f>
        <v>Tbl.: 1   H: 15.30   D: So</v>
      </c>
      <c r="AE2033" s="253" t="s">
        <v>11</v>
      </c>
      <c r="AV2033" s="256" t="str">
        <f>CONCATENATE(V2035,":",V2038, " ( ",AN2035,",",AO2035,",",AP2035,",",AQ2035,",",AR2035,",",AS2035,",",AT2035," ) ")</f>
        <v xml:space="preserve">3:1 ( -9,4,7,1,,, ) </v>
      </c>
    </row>
    <row r="2034" spans="1:53" ht="39.950000000000003" customHeight="1">
      <c r="E2034" s="264"/>
      <c r="F2034" s="265"/>
      <c r="G2034" s="321" t="s">
        <v>500</v>
      </c>
      <c r="H2034" s="323" t="s">
        <v>502</v>
      </c>
      <c r="I2034" s="263"/>
      <c r="J2034" s="263"/>
      <c r="K2034" s="263"/>
      <c r="L2034" s="263"/>
      <c r="M2034" s="263"/>
      <c r="N2034" s="266">
        <v>1</v>
      </c>
      <c r="O2034" s="266">
        <v>2</v>
      </c>
      <c r="P2034" s="266">
        <v>3</v>
      </c>
      <c r="Q2034" s="266">
        <v>4</v>
      </c>
      <c r="R2034" s="266">
        <v>5</v>
      </c>
      <c r="S2034" s="266">
        <v>6</v>
      </c>
      <c r="T2034" s="266">
        <v>7</v>
      </c>
      <c r="U2034" s="263"/>
      <c r="V2034" s="266" t="s">
        <v>31</v>
      </c>
      <c r="W2034" s="267"/>
      <c r="X2034" s="263"/>
      <c r="AE2034" s="253" t="s">
        <v>68</v>
      </c>
      <c r="AV2034" s="256" t="str">
        <f>CONCATENATE(V2038,":",V2035, " ( ",AN2036,",",AO2036,",",AP2036,",",AQ2036,",",AR2036,",",AS2036,",",AT2036," ) ")</f>
        <v xml:space="preserve">1:3 ( 9,-4,-7,-1,,, ) </v>
      </c>
    </row>
    <row r="2035" spans="1:53" ht="39.950000000000003" customHeight="1">
      <c r="A2035" s="252" t="str">
        <f>CONCATENATE(A2033,1)</f>
        <v>DP11</v>
      </c>
      <c r="E2035" s="264" t="s">
        <v>29</v>
      </c>
      <c r="F2035" s="265">
        <f>VLOOKUP(CONCATENATE(A2033,1),'zoznam zapasov'!$A$6:$K$160,11,0)</f>
        <v>1</v>
      </c>
      <c r="G2035" s="508"/>
      <c r="H2035" s="495"/>
      <c r="I2035" s="487" t="str">
        <f>IF(ISERROR(VLOOKUP(A2035,'KO KODY SPOLU'!$A$3:$B$189,2,0))=TRUE,"",VLOOKUP(A2035,'KO KODY SPOLU'!$A$3:$B$189,2,0))</f>
        <v>LABOŠOVÁ Ema</v>
      </c>
      <c r="J2035" s="487"/>
      <c r="K2035" s="487"/>
      <c r="L2035" s="487"/>
      <c r="M2035" s="263"/>
      <c r="N2035" s="489">
        <v>9</v>
      </c>
      <c r="O2035" s="489">
        <v>11</v>
      </c>
      <c r="P2035" s="489">
        <v>11</v>
      </c>
      <c r="Q2035" s="489">
        <v>11</v>
      </c>
      <c r="R2035" s="489"/>
      <c r="S2035" s="489"/>
      <c r="T2035" s="489"/>
      <c r="U2035" s="263"/>
      <c r="V2035" s="493">
        <f>IF(SUM(AF2035:AL2036)=0,"",SUM(AF2035:AL2035))</f>
        <v>3</v>
      </c>
      <c r="W2035" s="267"/>
      <c r="X2035" s="263"/>
      <c r="AE2035" s="253" t="str">
        <f>VLOOKUP(I2035,vylosovanie!$F$8:$L$190,7,0)</f>
        <v>D11</v>
      </c>
      <c r="AF2035" s="268">
        <f>IF(N2035&gt;N2038,1,0)</f>
        <v>0</v>
      </c>
      <c r="AG2035" s="268">
        <f t="shared" ref="AG2035" si="1726">IF(O2035&gt;O2038,1,0)</f>
        <v>1</v>
      </c>
      <c r="AH2035" s="268">
        <f t="shared" ref="AH2035" si="1727">IF(P2035&gt;P2038,1,0)</f>
        <v>1</v>
      </c>
      <c r="AI2035" s="268">
        <f t="shared" ref="AI2035" si="1728">IF(Q2035&gt;Q2038,1,0)</f>
        <v>1</v>
      </c>
      <c r="AJ2035" s="268">
        <f t="shared" ref="AJ2035" si="1729">IF(R2035&gt;R2038,1,0)</f>
        <v>0</v>
      </c>
      <c r="AK2035" s="268">
        <f t="shared" ref="AK2035" si="1730">IF(S2035&gt;S2038,1,0)</f>
        <v>0</v>
      </c>
      <c r="AL2035" s="268">
        <f t="shared" ref="AL2035" si="1731">IF(T2035&gt;T2038,1,0)</f>
        <v>0</v>
      </c>
      <c r="AN2035" s="268">
        <f t="shared" ref="AN2035" si="1732">IF(ISBLANK(N2035)=TRUE,"",IF(AF2035=1,N2038,-N2035))</f>
        <v>-9</v>
      </c>
      <c r="AO2035" s="268">
        <f t="shared" ref="AO2035" si="1733">IF(ISBLANK(O2035)=TRUE,"",IF(AG2035=1,O2038,-O2035))</f>
        <v>4</v>
      </c>
      <c r="AP2035" s="268">
        <f t="shared" ref="AP2035" si="1734">IF(ISBLANK(P2035)=TRUE,"",IF(AH2035=1,P2038,-P2035))</f>
        <v>7</v>
      </c>
      <c r="AQ2035" s="268">
        <f t="shared" ref="AQ2035" si="1735">IF(ISBLANK(Q2035)=TRUE,"",IF(AI2035=1,Q2038,-Q2035))</f>
        <v>1</v>
      </c>
      <c r="AR2035" s="268" t="str">
        <f t="shared" ref="AR2035" si="1736">IF(ISBLANK(R2035)=TRUE,"",IF(AJ2035=1,R2038,-R2035))</f>
        <v/>
      </c>
      <c r="AS2035" s="268" t="str">
        <f t="shared" ref="AS2035" si="1737">IF(ISBLANK(S2035)=TRUE,"",IF(AK2035=1,S2038,-S2035))</f>
        <v/>
      </c>
      <c r="AT2035" s="268" t="str">
        <f t="shared" ref="AT2035" si="1738">IF(ISBLANK(T2035)=TRUE,"",IF(AL2035=1,T2038,-T2035))</f>
        <v/>
      </c>
      <c r="AZ2035" s="269" t="s">
        <v>12</v>
      </c>
      <c r="BA2035" s="269">
        <v>1</v>
      </c>
    </row>
    <row r="2036" spans="1:53" ht="39.950000000000003" customHeight="1">
      <c r="E2036" s="264"/>
      <c r="F2036" s="265"/>
      <c r="G2036" s="509"/>
      <c r="H2036" s="495"/>
      <c r="I2036" s="487"/>
      <c r="J2036" s="487"/>
      <c r="K2036" s="487"/>
      <c r="L2036" s="487"/>
      <c r="M2036" s="263"/>
      <c r="N2036" s="490"/>
      <c r="O2036" s="490"/>
      <c r="P2036" s="490"/>
      <c r="Q2036" s="490"/>
      <c r="R2036" s="490"/>
      <c r="S2036" s="490"/>
      <c r="T2036" s="490"/>
      <c r="U2036" s="263"/>
      <c r="V2036" s="493"/>
      <c r="W2036" s="267"/>
      <c r="X2036" s="263"/>
      <c r="AE2036" s="253" t="str">
        <f>VLOOKUP(I2038,vylosovanie!$F$8:$L$190,7,0)</f>
        <v>D22</v>
      </c>
      <c r="AF2036" s="268">
        <f>IF(N2038&gt;N2035,1,0)</f>
        <v>1</v>
      </c>
      <c r="AG2036" s="268">
        <f t="shared" ref="AG2036" si="1739">IF(O2038&gt;O2035,1,0)</f>
        <v>0</v>
      </c>
      <c r="AH2036" s="268">
        <f t="shared" ref="AH2036" si="1740">IF(P2038&gt;P2035,1,0)</f>
        <v>0</v>
      </c>
      <c r="AI2036" s="268">
        <f t="shared" ref="AI2036" si="1741">IF(Q2038&gt;Q2035,1,0)</f>
        <v>0</v>
      </c>
      <c r="AJ2036" s="268">
        <f t="shared" ref="AJ2036" si="1742">IF(R2038&gt;R2035,1,0)</f>
        <v>0</v>
      </c>
      <c r="AK2036" s="268">
        <f t="shared" ref="AK2036" si="1743">IF(S2038&gt;S2035,1,0)</f>
        <v>0</v>
      </c>
      <c r="AL2036" s="268">
        <f t="shared" ref="AL2036" si="1744">IF(T2038&gt;T2035,1,0)</f>
        <v>0</v>
      </c>
      <c r="AN2036" s="268">
        <f t="shared" ref="AN2036" si="1745">IF(ISBLANK(N2038)=TRUE,"",IF(AF2036=1,N2035,-N2038))</f>
        <v>9</v>
      </c>
      <c r="AO2036" s="268">
        <f t="shared" ref="AO2036" si="1746">IF(ISBLANK(O2038)=TRUE,"",IF(AG2036=1,O2035,-O2038))</f>
        <v>-4</v>
      </c>
      <c r="AP2036" s="268">
        <f t="shared" ref="AP2036" si="1747">IF(ISBLANK(P2038)=TRUE,"",IF(AH2036=1,P2035,-P2038))</f>
        <v>-7</v>
      </c>
      <c r="AQ2036" s="268">
        <f t="shared" ref="AQ2036" si="1748">IF(ISBLANK(Q2038)=TRUE,"",IF(AI2036=1,Q2035,-Q2038))</f>
        <v>-1</v>
      </c>
      <c r="AR2036" s="268" t="str">
        <f t="shared" ref="AR2036" si="1749">IF(ISBLANK(R2038)=TRUE,"",IF(AJ2036=1,R2035,-R2038))</f>
        <v/>
      </c>
      <c r="AS2036" s="268" t="str">
        <f t="shared" ref="AS2036" si="1750">IF(ISBLANK(S2038)=TRUE,"",IF(AK2036=1,S2035,-S2038))</f>
        <v/>
      </c>
      <c r="AT2036" s="268" t="str">
        <f t="shared" ref="AT2036" si="1751">IF(ISBLANK(T2038)=TRUE,"",IF(AL2036=1,T2035,-T2038))</f>
        <v/>
      </c>
      <c r="AZ2036" s="269" t="s">
        <v>18</v>
      </c>
      <c r="BA2036" s="269">
        <v>2</v>
      </c>
    </row>
    <row r="2037" spans="1:53" ht="39.950000000000003" customHeight="1">
      <c r="E2037" s="264" t="s">
        <v>35</v>
      </c>
      <c r="F2037" s="265" t="str">
        <f>VLOOKUP(CONCATENATE(A2033,1),'zoznam zapasov'!$A$6:$K$160,9,0)</f>
        <v>So</v>
      </c>
      <c r="G2037" s="263"/>
      <c r="H2037" s="263"/>
      <c r="I2037" s="263"/>
      <c r="J2037" s="263"/>
      <c r="K2037" s="263"/>
      <c r="L2037" s="263"/>
      <c r="M2037" s="263"/>
      <c r="N2037" s="263"/>
      <c r="O2037" s="263"/>
      <c r="P2037" s="263"/>
      <c r="Q2037" s="263"/>
      <c r="R2037" s="263"/>
      <c r="S2037" s="263"/>
      <c r="T2037" s="263"/>
      <c r="U2037" s="263"/>
      <c r="V2037" s="263"/>
      <c r="W2037" s="267"/>
      <c r="X2037" s="263"/>
      <c r="AZ2037" s="269" t="s">
        <v>38</v>
      </c>
      <c r="BA2037" s="269">
        <v>3</v>
      </c>
    </row>
    <row r="2038" spans="1:53" ht="39.950000000000003" customHeight="1">
      <c r="A2038" s="252" t="str">
        <f>CONCATENATE(A2033,2)</f>
        <v>DP12</v>
      </c>
      <c r="E2038" s="264" t="s">
        <v>28</v>
      </c>
      <c r="F2038" s="270" t="str">
        <f>VLOOKUP(CONCATENATE(A2033,1),'zoznam zapasov'!$A$6:$K$160,10,0)</f>
        <v>15.30</v>
      </c>
      <c r="G2038" s="508"/>
      <c r="H2038" s="486"/>
      <c r="I2038" s="487" t="str">
        <f>IF(ISERROR(VLOOKUP(A2038,'KO KODY SPOLU'!$A$3:$B$189,2,0))=TRUE,"",VLOOKUP(A2038,'KO KODY SPOLU'!$A$3:$B$189,2,0))</f>
        <v>MIKULOVÁ Terézia</v>
      </c>
      <c r="J2038" s="487"/>
      <c r="K2038" s="487"/>
      <c r="L2038" s="487"/>
      <c r="M2038" s="263"/>
      <c r="N2038" s="489">
        <v>11</v>
      </c>
      <c r="O2038" s="489">
        <v>4</v>
      </c>
      <c r="P2038" s="489">
        <v>7</v>
      </c>
      <c r="Q2038" s="489">
        <v>1</v>
      </c>
      <c r="R2038" s="489"/>
      <c r="S2038" s="489"/>
      <c r="T2038" s="489"/>
      <c r="U2038" s="263"/>
      <c r="V2038" s="493">
        <f>IF(SUM(AF2035:AL2036)=0,"",SUM(AF2036:AL2036))</f>
        <v>1</v>
      </c>
      <c r="W2038" s="267"/>
      <c r="X2038" s="263"/>
      <c r="AZ2038" s="269" t="s">
        <v>39</v>
      </c>
      <c r="BA2038" s="269">
        <v>4</v>
      </c>
    </row>
    <row r="2039" spans="1:53" ht="39.950000000000003" customHeight="1">
      <c r="E2039" s="271"/>
      <c r="F2039" s="272"/>
      <c r="G2039" s="509"/>
      <c r="H2039" s="486"/>
      <c r="I2039" s="487"/>
      <c r="J2039" s="487"/>
      <c r="K2039" s="487"/>
      <c r="L2039" s="487"/>
      <c r="M2039" s="263"/>
      <c r="N2039" s="490"/>
      <c r="O2039" s="490"/>
      <c r="P2039" s="490"/>
      <c r="Q2039" s="490"/>
      <c r="R2039" s="490"/>
      <c r="S2039" s="490"/>
      <c r="T2039" s="490"/>
      <c r="U2039" s="263"/>
      <c r="V2039" s="493"/>
      <c r="W2039" s="267"/>
      <c r="X2039" s="263"/>
      <c r="AZ2039" s="269" t="s">
        <v>40</v>
      </c>
      <c r="BA2039" s="269">
        <v>5</v>
      </c>
    </row>
    <row r="2040" spans="1:53" ht="39.950000000000003" customHeight="1">
      <c r="E2040" s="264" t="s">
        <v>66</v>
      </c>
      <c r="F2040" s="265" t="s">
        <v>39</v>
      </c>
      <c r="G2040" s="263"/>
      <c r="H2040" s="263"/>
      <c r="I2040" s="263"/>
      <c r="J2040" s="263"/>
      <c r="K2040" s="263"/>
      <c r="L2040" s="263"/>
      <c r="M2040" s="263"/>
      <c r="N2040" s="263"/>
      <c r="O2040" s="263"/>
      <c r="P2040" s="263"/>
      <c r="Q2040" s="263"/>
      <c r="R2040" s="263"/>
      <c r="S2040" s="263"/>
      <c r="T2040" s="263"/>
      <c r="U2040" s="263"/>
      <c r="V2040" s="263"/>
      <c r="W2040" s="267"/>
      <c r="X2040" s="263"/>
      <c r="AZ2040" s="269" t="s">
        <v>41</v>
      </c>
      <c r="BA2040" s="269">
        <v>6</v>
      </c>
    </row>
    <row r="2041" spans="1:53" ht="39.950000000000003" customHeight="1">
      <c r="E2041" s="271"/>
      <c r="F2041" s="272"/>
      <c r="G2041" s="263"/>
      <c r="H2041" s="263"/>
      <c r="I2041" s="263" t="s">
        <v>32</v>
      </c>
      <c r="J2041" s="263"/>
      <c r="K2041" s="263"/>
      <c r="L2041" s="263"/>
      <c r="M2041" s="263"/>
      <c r="N2041" s="273"/>
      <c r="O2041" s="266"/>
      <c r="P2041" s="266" t="s">
        <v>34</v>
      </c>
      <c r="Q2041" s="266"/>
      <c r="R2041" s="266"/>
      <c r="S2041" s="266"/>
      <c r="T2041" s="266"/>
      <c r="U2041" s="263"/>
      <c r="V2041" s="263"/>
      <c r="W2041" s="267"/>
      <c r="X2041" s="263"/>
      <c r="AZ2041" s="269" t="s">
        <v>42</v>
      </c>
      <c r="BA2041" s="269">
        <v>7</v>
      </c>
    </row>
    <row r="2042" spans="1:53" ht="39.950000000000003" customHeight="1">
      <c r="E2042" s="264" t="s">
        <v>26</v>
      </c>
      <c r="F2042" s="265" t="s">
        <v>128</v>
      </c>
      <c r="G2042" s="263"/>
      <c r="H2042" s="263"/>
      <c r="I2042" s="486"/>
      <c r="J2042" s="486"/>
      <c r="K2042" s="486"/>
      <c r="L2042" s="486"/>
      <c r="M2042" s="263"/>
      <c r="N2042" s="486" t="str">
        <f>IF(V2035&gt;V2038,I2035,IF(V2038&gt;V2035,I2038,""))</f>
        <v>LABOŠOVÁ Ema</v>
      </c>
      <c r="O2042" s="486"/>
      <c r="P2042" s="486"/>
      <c r="Q2042" s="486"/>
      <c r="R2042" s="486"/>
      <c r="S2042" s="486"/>
      <c r="T2042" s="263"/>
      <c r="U2042" s="263"/>
      <c r="V2042" s="263"/>
      <c r="W2042" s="267"/>
      <c r="X2042" s="263"/>
      <c r="AZ2042" s="269" t="s">
        <v>43</v>
      </c>
      <c r="BA2042" s="269">
        <v>8</v>
      </c>
    </row>
    <row r="2043" spans="1:53" ht="39.950000000000003" customHeight="1">
      <c r="E2043" s="271"/>
      <c r="F2043" s="272"/>
      <c r="G2043" s="263"/>
      <c r="H2043" s="263"/>
      <c r="I2043" s="486"/>
      <c r="J2043" s="486"/>
      <c r="K2043" s="486"/>
      <c r="L2043" s="486"/>
      <c r="M2043" s="263"/>
      <c r="N2043" s="486"/>
      <c r="O2043" s="486"/>
      <c r="P2043" s="486"/>
      <c r="Q2043" s="486"/>
      <c r="R2043" s="486"/>
      <c r="S2043" s="486"/>
      <c r="T2043" s="263"/>
      <c r="U2043" s="263"/>
      <c r="V2043" s="263"/>
      <c r="W2043" s="267"/>
      <c r="X2043" s="263"/>
    </row>
    <row r="2044" spans="1:53" ht="39.950000000000003" customHeight="1">
      <c r="E2044" s="264" t="s">
        <v>27</v>
      </c>
      <c r="F2044" s="274" t="s">
        <v>129</v>
      </c>
      <c r="G2044" s="263"/>
      <c r="H2044" s="263"/>
      <c r="I2044" s="263"/>
      <c r="J2044" s="263"/>
      <c r="K2044" s="263"/>
      <c r="L2044" s="263"/>
      <c r="M2044" s="263"/>
      <c r="N2044" s="263"/>
      <c r="O2044" s="263"/>
      <c r="P2044" s="263"/>
      <c r="Q2044" s="263"/>
      <c r="R2044" s="263"/>
      <c r="S2044" s="263"/>
      <c r="T2044" s="263"/>
      <c r="U2044" s="263"/>
      <c r="V2044" s="263"/>
      <c r="W2044" s="267"/>
      <c r="X2044" s="263"/>
    </row>
    <row r="2045" spans="1:53" ht="39.950000000000003" customHeight="1">
      <c r="E2045" s="271"/>
      <c r="F2045" s="272"/>
      <c r="G2045" s="263"/>
      <c r="H2045" s="263" t="s">
        <v>33</v>
      </c>
      <c r="I2045" s="263"/>
      <c r="J2045" s="263"/>
      <c r="K2045" s="263"/>
      <c r="L2045" s="263"/>
      <c r="M2045" s="263"/>
      <c r="N2045" s="263"/>
      <c r="O2045" s="263"/>
      <c r="P2045" s="263"/>
      <c r="Q2045" s="263"/>
      <c r="R2045" s="263"/>
      <c r="S2045" s="263"/>
      <c r="T2045" s="263"/>
      <c r="U2045" s="263"/>
      <c r="V2045" s="263"/>
      <c r="W2045" s="267"/>
      <c r="X2045" s="263"/>
    </row>
    <row r="2046" spans="1:53" ht="39.950000000000003" customHeight="1">
      <c r="E2046" s="271"/>
      <c r="F2046" s="272"/>
      <c r="G2046" s="263"/>
      <c r="H2046" s="263"/>
      <c r="I2046" s="263"/>
      <c r="J2046" s="263"/>
      <c r="K2046" s="263"/>
      <c r="L2046" s="263"/>
      <c r="M2046" s="263"/>
      <c r="N2046" s="263"/>
      <c r="O2046" s="263"/>
      <c r="P2046" s="263"/>
      <c r="Q2046" s="263"/>
      <c r="R2046" s="263"/>
      <c r="S2046" s="263"/>
      <c r="T2046" s="263"/>
      <c r="U2046" s="263"/>
      <c r="V2046" s="263"/>
      <c r="W2046" s="267"/>
      <c r="X2046" s="263"/>
    </row>
    <row r="2047" spans="1:53" ht="39.950000000000003" customHeight="1">
      <c r="E2047" s="271"/>
      <c r="F2047" s="272"/>
      <c r="G2047" s="263"/>
      <c r="H2047" s="263"/>
      <c r="I2047" s="496" t="str">
        <f>I2035</f>
        <v>LABOŠOVÁ Ema</v>
      </c>
      <c r="J2047" s="496"/>
      <c r="K2047" s="496"/>
      <c r="L2047" s="496"/>
      <c r="M2047" s="263"/>
      <c r="N2047" s="263"/>
      <c r="O2047" s="263"/>
      <c r="P2047" s="496" t="str">
        <f>I2038</f>
        <v>MIKULOVÁ Terézia</v>
      </c>
      <c r="Q2047" s="496"/>
      <c r="R2047" s="496"/>
      <c r="S2047" s="496"/>
      <c r="T2047" s="497"/>
      <c r="U2047" s="497"/>
      <c r="V2047" s="263"/>
      <c r="W2047" s="267"/>
      <c r="X2047" s="263"/>
    </row>
    <row r="2048" spans="1:53" ht="69.95" customHeight="1">
      <c r="E2048" s="264"/>
      <c r="F2048" s="265"/>
      <c r="G2048" s="263"/>
      <c r="H2048" s="275" t="s">
        <v>36</v>
      </c>
      <c r="I2048" s="483"/>
      <c r="J2048" s="494"/>
      <c r="K2048" s="494"/>
      <c r="L2048" s="495"/>
      <c r="M2048" s="263"/>
      <c r="N2048" s="263"/>
      <c r="O2048" s="275" t="s">
        <v>36</v>
      </c>
      <c r="P2048" s="486"/>
      <c r="Q2048" s="486"/>
      <c r="R2048" s="486"/>
      <c r="S2048" s="486"/>
      <c r="T2048" s="486"/>
      <c r="U2048" s="486"/>
      <c r="V2048" s="263"/>
      <c r="W2048" s="267"/>
      <c r="X2048" s="263"/>
    </row>
    <row r="2049" spans="1:53" ht="69.95" customHeight="1">
      <c r="E2049" s="264"/>
      <c r="F2049" s="265"/>
      <c r="G2049" s="263"/>
      <c r="H2049" s="275" t="s">
        <v>37</v>
      </c>
      <c r="I2049" s="486"/>
      <c r="J2049" s="486"/>
      <c r="K2049" s="486"/>
      <c r="L2049" s="486"/>
      <c r="M2049" s="263"/>
      <c r="N2049" s="263"/>
      <c r="O2049" s="275" t="s">
        <v>37</v>
      </c>
      <c r="P2049" s="486"/>
      <c r="Q2049" s="486"/>
      <c r="R2049" s="486"/>
      <c r="S2049" s="486"/>
      <c r="T2049" s="486"/>
      <c r="U2049" s="486"/>
      <c r="V2049" s="263"/>
      <c r="W2049" s="267"/>
      <c r="X2049" s="263"/>
    </row>
    <row r="2050" spans="1:53" ht="69.95" customHeight="1">
      <c r="E2050" s="264"/>
      <c r="F2050" s="265"/>
      <c r="G2050" s="263"/>
      <c r="H2050" s="275" t="s">
        <v>37</v>
      </c>
      <c r="I2050" s="486"/>
      <c r="J2050" s="486"/>
      <c r="K2050" s="486"/>
      <c r="L2050" s="486"/>
      <c r="M2050" s="263"/>
      <c r="N2050" s="263"/>
      <c r="O2050" s="275" t="s">
        <v>37</v>
      </c>
      <c r="P2050" s="486"/>
      <c r="Q2050" s="486"/>
      <c r="R2050" s="486"/>
      <c r="S2050" s="486"/>
      <c r="T2050" s="486"/>
      <c r="U2050" s="486"/>
      <c r="V2050" s="263"/>
      <c r="W2050" s="267"/>
      <c r="X2050" s="263"/>
    </row>
    <row r="2051" spans="1:53" ht="39.950000000000003" customHeight="1" thickBot="1">
      <c r="E2051" s="276"/>
      <c r="F2051" s="277"/>
      <c r="G2051" s="278"/>
      <c r="H2051" s="278"/>
      <c r="I2051" s="278"/>
      <c r="J2051" s="278"/>
      <c r="K2051" s="278"/>
      <c r="L2051" s="278"/>
      <c r="M2051" s="278"/>
      <c r="N2051" s="278"/>
      <c r="O2051" s="278"/>
      <c r="P2051" s="278"/>
      <c r="Q2051" s="278"/>
      <c r="R2051" s="278"/>
      <c r="S2051" s="278"/>
      <c r="T2051" s="279"/>
      <c r="U2051" s="279"/>
      <c r="V2051" s="279"/>
      <c r="W2051" s="280"/>
      <c r="X2051" s="263"/>
    </row>
    <row r="2052" spans="1:53" ht="62.25" thickBot="1"/>
    <row r="2053" spans="1:53" ht="39.950000000000003" customHeight="1">
      <c r="A2053" s="252" t="str">
        <f>CONCATENATE(F2060,F2062,F2064)</f>
        <v>DP2</v>
      </c>
      <c r="E2053" s="259" t="s">
        <v>70</v>
      </c>
      <c r="F2053" s="260">
        <f>VLOOKUP(CONCATENATE(A2053,1),'zoznam zapasov'!$A$6:$K$160,3,0)</f>
        <v>102</v>
      </c>
      <c r="G2053" s="261"/>
      <c r="H2053" s="322" t="s">
        <v>501</v>
      </c>
      <c r="I2053" s="261"/>
      <c r="J2053" s="261"/>
      <c r="K2053" s="261"/>
      <c r="L2053" s="261"/>
      <c r="M2053" s="261"/>
      <c r="N2053" s="261"/>
      <c r="O2053" s="261"/>
      <c r="P2053" s="261"/>
      <c r="Q2053" s="261"/>
      <c r="R2053" s="261"/>
      <c r="S2053" s="261"/>
      <c r="T2053" s="261"/>
      <c r="U2053" s="261"/>
      <c r="V2053" s="261" t="s">
        <v>30</v>
      </c>
      <c r="W2053" s="262"/>
      <c r="X2053" s="263"/>
      <c r="Y2053" s="253" t="str">
        <f>A2055</f>
        <v>DP21</v>
      </c>
      <c r="Z2053" s="258" t="str">
        <f>CONCATENATE(V2055,":",V2058)</f>
        <v>1:3</v>
      </c>
      <c r="AA2053" s="255" t="str">
        <f>N2062</f>
        <v>TEREZKOVÁ Jana</v>
      </c>
      <c r="AB2053" s="255" t="str">
        <f>IF(V2055&gt;V2058,AV2053,IF(V2058&gt;V2055,AV2054,""))</f>
        <v xml:space="preserve">3:1 ( 4,-11,5,8,,, ) </v>
      </c>
      <c r="AC2053" s="255" t="str">
        <f>CONCATENATE("Tbl.: ",F2055,"   H: ",F2058,"   D: ",F2057)</f>
        <v>Tbl.: 2   H: 15.30   D: So</v>
      </c>
      <c r="AE2053" s="253" t="s">
        <v>11</v>
      </c>
      <c r="AV2053" s="256" t="str">
        <f>CONCATENATE(V2055,":",V2058, " ( ",AN2055,",",AO2055,",",AP2055,",",AQ2055,",",AR2055,",",AS2055,",",AT2055," ) ")</f>
        <v xml:space="preserve">1:3 ( -4,11,-5,-8,,, ) </v>
      </c>
    </row>
    <row r="2054" spans="1:53" ht="39.950000000000003" customHeight="1">
      <c r="E2054" s="264"/>
      <c r="F2054" s="265"/>
      <c r="G2054" s="321" t="s">
        <v>500</v>
      </c>
      <c r="H2054" s="323" t="s">
        <v>502</v>
      </c>
      <c r="I2054" s="263"/>
      <c r="J2054" s="263"/>
      <c r="K2054" s="263"/>
      <c r="L2054" s="263"/>
      <c r="M2054" s="263"/>
      <c r="N2054" s="266">
        <v>1</v>
      </c>
      <c r="O2054" s="266">
        <v>2</v>
      </c>
      <c r="P2054" s="266">
        <v>3</v>
      </c>
      <c r="Q2054" s="266">
        <v>4</v>
      </c>
      <c r="R2054" s="266">
        <v>5</v>
      </c>
      <c r="S2054" s="266">
        <v>6</v>
      </c>
      <c r="T2054" s="266">
        <v>7</v>
      </c>
      <c r="U2054" s="263"/>
      <c r="V2054" s="266" t="s">
        <v>31</v>
      </c>
      <c r="W2054" s="267"/>
      <c r="X2054" s="263"/>
      <c r="AE2054" s="253" t="s">
        <v>68</v>
      </c>
      <c r="AV2054" s="256" t="str">
        <f>CONCATENATE(V2058,":",V2055, " ( ",AN2056,",",AO2056,",",AP2056,",",AQ2056,",",AR2056,",",AS2056,",",AT2056," ) ")</f>
        <v xml:space="preserve">3:1 ( 4,-11,5,8,,, ) </v>
      </c>
    </row>
    <row r="2055" spans="1:53" ht="39.950000000000003" customHeight="1">
      <c r="A2055" s="252" t="str">
        <f>CONCATENATE(A2053,1)</f>
        <v>DP21</v>
      </c>
      <c r="E2055" s="264" t="s">
        <v>29</v>
      </c>
      <c r="F2055" s="265">
        <f>VLOOKUP(CONCATENATE(A2053,1),'zoznam zapasov'!$A$6:$K$160,11,0)</f>
        <v>2</v>
      </c>
      <c r="G2055" s="508"/>
      <c r="H2055" s="495"/>
      <c r="I2055" s="487" t="str">
        <f>IF(ISERROR(VLOOKUP(A2055,'KO KODY SPOLU'!$A$3:$B$189,2,0))=TRUE,"",VLOOKUP(A2055,'KO KODY SPOLU'!$A$3:$B$189,2,0))</f>
        <v>DZUROVÁ Lenka</v>
      </c>
      <c r="J2055" s="487"/>
      <c r="K2055" s="487"/>
      <c r="L2055" s="487"/>
      <c r="M2055" s="263"/>
      <c r="N2055" s="489">
        <v>4</v>
      </c>
      <c r="O2055" s="489">
        <v>13</v>
      </c>
      <c r="P2055" s="489">
        <v>5</v>
      </c>
      <c r="Q2055" s="489">
        <v>8</v>
      </c>
      <c r="R2055" s="489"/>
      <c r="S2055" s="489"/>
      <c r="T2055" s="489"/>
      <c r="U2055" s="263"/>
      <c r="V2055" s="493">
        <f>IF(SUM(AF2055:AL2056)=0,"",SUM(AF2055:AL2055))</f>
        <v>1</v>
      </c>
      <c r="W2055" s="267"/>
      <c r="X2055" s="263"/>
      <c r="AE2055" s="253" t="str">
        <f>VLOOKUP(I2055,vylosovanie!$F$8:$L$190,7,0)</f>
        <v>D32</v>
      </c>
      <c r="AF2055" s="268">
        <f>IF(N2055&gt;N2058,1,0)</f>
        <v>0</v>
      </c>
      <c r="AG2055" s="268">
        <f t="shared" ref="AG2055" si="1752">IF(O2055&gt;O2058,1,0)</f>
        <v>1</v>
      </c>
      <c r="AH2055" s="268">
        <f t="shared" ref="AH2055" si="1753">IF(P2055&gt;P2058,1,0)</f>
        <v>0</v>
      </c>
      <c r="AI2055" s="268">
        <f t="shared" ref="AI2055" si="1754">IF(Q2055&gt;Q2058,1,0)</f>
        <v>0</v>
      </c>
      <c r="AJ2055" s="268">
        <f t="shared" ref="AJ2055" si="1755">IF(R2055&gt;R2058,1,0)</f>
        <v>0</v>
      </c>
      <c r="AK2055" s="268">
        <f t="shared" ref="AK2055" si="1756">IF(S2055&gt;S2058,1,0)</f>
        <v>0</v>
      </c>
      <c r="AL2055" s="268">
        <f t="shared" ref="AL2055" si="1757">IF(T2055&gt;T2058,1,0)</f>
        <v>0</v>
      </c>
      <c r="AN2055" s="268">
        <f t="shared" ref="AN2055" si="1758">IF(ISBLANK(N2055)=TRUE,"",IF(AF2055=1,N2058,-N2055))</f>
        <v>-4</v>
      </c>
      <c r="AO2055" s="268">
        <f t="shared" ref="AO2055" si="1759">IF(ISBLANK(O2055)=TRUE,"",IF(AG2055=1,O2058,-O2055))</f>
        <v>11</v>
      </c>
      <c r="AP2055" s="268">
        <f t="shared" ref="AP2055" si="1760">IF(ISBLANK(P2055)=TRUE,"",IF(AH2055=1,P2058,-P2055))</f>
        <v>-5</v>
      </c>
      <c r="AQ2055" s="268">
        <f t="shared" ref="AQ2055" si="1761">IF(ISBLANK(Q2055)=TRUE,"",IF(AI2055=1,Q2058,-Q2055))</f>
        <v>-8</v>
      </c>
      <c r="AR2055" s="268" t="str">
        <f t="shared" ref="AR2055" si="1762">IF(ISBLANK(R2055)=TRUE,"",IF(AJ2055=1,R2058,-R2055))</f>
        <v/>
      </c>
      <c r="AS2055" s="268" t="str">
        <f t="shared" ref="AS2055" si="1763">IF(ISBLANK(S2055)=TRUE,"",IF(AK2055=1,S2058,-S2055))</f>
        <v/>
      </c>
      <c r="AT2055" s="268" t="str">
        <f t="shared" ref="AT2055" si="1764">IF(ISBLANK(T2055)=TRUE,"",IF(AL2055=1,T2058,-T2055))</f>
        <v/>
      </c>
      <c r="AZ2055" s="269" t="s">
        <v>12</v>
      </c>
      <c r="BA2055" s="269">
        <v>1</v>
      </c>
    </row>
    <row r="2056" spans="1:53" ht="39.950000000000003" customHeight="1">
      <c r="E2056" s="264"/>
      <c r="F2056" s="265"/>
      <c r="G2056" s="509"/>
      <c r="H2056" s="495"/>
      <c r="I2056" s="487"/>
      <c r="J2056" s="487"/>
      <c r="K2056" s="487"/>
      <c r="L2056" s="487"/>
      <c r="M2056" s="263"/>
      <c r="N2056" s="490"/>
      <c r="O2056" s="490"/>
      <c r="P2056" s="490"/>
      <c r="Q2056" s="490"/>
      <c r="R2056" s="490"/>
      <c r="S2056" s="490"/>
      <c r="T2056" s="490"/>
      <c r="U2056" s="263"/>
      <c r="V2056" s="493"/>
      <c r="W2056" s="267"/>
      <c r="X2056" s="263"/>
      <c r="AE2056" s="253" t="str">
        <f>VLOOKUP(I2058,vylosovanie!$F$8:$L$190,7,0)</f>
        <v>D81</v>
      </c>
      <c r="AF2056" s="268">
        <f>IF(N2058&gt;N2055,1,0)</f>
        <v>1</v>
      </c>
      <c r="AG2056" s="268">
        <f t="shared" ref="AG2056" si="1765">IF(O2058&gt;O2055,1,0)</f>
        <v>0</v>
      </c>
      <c r="AH2056" s="268">
        <f t="shared" ref="AH2056" si="1766">IF(P2058&gt;P2055,1,0)</f>
        <v>1</v>
      </c>
      <c r="AI2056" s="268">
        <f t="shared" ref="AI2056" si="1767">IF(Q2058&gt;Q2055,1,0)</f>
        <v>1</v>
      </c>
      <c r="AJ2056" s="268">
        <f t="shared" ref="AJ2056" si="1768">IF(R2058&gt;R2055,1,0)</f>
        <v>0</v>
      </c>
      <c r="AK2056" s="268">
        <f t="shared" ref="AK2056" si="1769">IF(S2058&gt;S2055,1,0)</f>
        <v>0</v>
      </c>
      <c r="AL2056" s="268">
        <f t="shared" ref="AL2056" si="1770">IF(T2058&gt;T2055,1,0)</f>
        <v>0</v>
      </c>
      <c r="AN2056" s="268">
        <f t="shared" ref="AN2056" si="1771">IF(ISBLANK(N2058)=TRUE,"",IF(AF2056=1,N2055,-N2058))</f>
        <v>4</v>
      </c>
      <c r="AO2056" s="268">
        <f t="shared" ref="AO2056" si="1772">IF(ISBLANK(O2058)=TRUE,"",IF(AG2056=1,O2055,-O2058))</f>
        <v>-11</v>
      </c>
      <c r="AP2056" s="268">
        <f t="shared" ref="AP2056" si="1773">IF(ISBLANK(P2058)=TRUE,"",IF(AH2056=1,P2055,-P2058))</f>
        <v>5</v>
      </c>
      <c r="AQ2056" s="268">
        <f t="shared" ref="AQ2056" si="1774">IF(ISBLANK(Q2058)=TRUE,"",IF(AI2056=1,Q2055,-Q2058))</f>
        <v>8</v>
      </c>
      <c r="AR2056" s="268" t="str">
        <f t="shared" ref="AR2056" si="1775">IF(ISBLANK(R2058)=TRUE,"",IF(AJ2056=1,R2055,-R2058))</f>
        <v/>
      </c>
      <c r="AS2056" s="268" t="str">
        <f t="shared" ref="AS2056" si="1776">IF(ISBLANK(S2058)=TRUE,"",IF(AK2056=1,S2055,-S2058))</f>
        <v/>
      </c>
      <c r="AT2056" s="268" t="str">
        <f t="shared" ref="AT2056" si="1777">IF(ISBLANK(T2058)=TRUE,"",IF(AL2056=1,T2055,-T2058))</f>
        <v/>
      </c>
      <c r="AZ2056" s="269" t="s">
        <v>18</v>
      </c>
      <c r="BA2056" s="269">
        <v>2</v>
      </c>
    </row>
    <row r="2057" spans="1:53" ht="39.950000000000003" customHeight="1">
      <c r="E2057" s="264" t="s">
        <v>35</v>
      </c>
      <c r="F2057" s="265" t="str">
        <f>VLOOKUP(CONCATENATE(A2053,1),'zoznam zapasov'!$A$6:$K$160,9,0)</f>
        <v>So</v>
      </c>
      <c r="G2057" s="263"/>
      <c r="H2057" s="263"/>
      <c r="I2057" s="263"/>
      <c r="J2057" s="263"/>
      <c r="K2057" s="263"/>
      <c r="L2057" s="263"/>
      <c r="M2057" s="263"/>
      <c r="N2057" s="263"/>
      <c r="O2057" s="263"/>
      <c r="P2057" s="263"/>
      <c r="Q2057" s="263"/>
      <c r="R2057" s="263"/>
      <c r="S2057" s="263"/>
      <c r="T2057" s="263"/>
      <c r="U2057" s="263"/>
      <c r="V2057" s="263"/>
      <c r="W2057" s="267"/>
      <c r="X2057" s="263"/>
      <c r="AZ2057" s="269" t="s">
        <v>38</v>
      </c>
      <c r="BA2057" s="269">
        <v>3</v>
      </c>
    </row>
    <row r="2058" spans="1:53" ht="39.950000000000003" customHeight="1">
      <c r="A2058" s="252" t="str">
        <f>CONCATENATE(A2053,2)</f>
        <v>DP22</v>
      </c>
      <c r="E2058" s="264" t="s">
        <v>28</v>
      </c>
      <c r="F2058" s="270" t="str">
        <f>VLOOKUP(CONCATENATE(A2053,1),'zoznam zapasov'!$A$6:$K$160,10,0)</f>
        <v>15.30</v>
      </c>
      <c r="G2058" s="508"/>
      <c r="H2058" s="486"/>
      <c r="I2058" s="487" t="str">
        <f>IF(ISERROR(VLOOKUP(A2058,'KO KODY SPOLU'!$A$3:$B$189,2,0))=TRUE,"",VLOOKUP(A2058,'KO KODY SPOLU'!$A$3:$B$189,2,0))</f>
        <v>TEREZKOVÁ Jana</v>
      </c>
      <c r="J2058" s="487"/>
      <c r="K2058" s="487"/>
      <c r="L2058" s="487"/>
      <c r="M2058" s="263"/>
      <c r="N2058" s="489">
        <v>11</v>
      </c>
      <c r="O2058" s="489">
        <v>11</v>
      </c>
      <c r="P2058" s="489">
        <v>11</v>
      </c>
      <c r="Q2058" s="489">
        <v>11</v>
      </c>
      <c r="R2058" s="489"/>
      <c r="S2058" s="489"/>
      <c r="T2058" s="489"/>
      <c r="U2058" s="263"/>
      <c r="V2058" s="493">
        <f>IF(SUM(AF2055:AL2056)=0,"",SUM(AF2056:AL2056))</f>
        <v>3</v>
      </c>
      <c r="W2058" s="267"/>
      <c r="X2058" s="263"/>
      <c r="AZ2058" s="269" t="s">
        <v>39</v>
      </c>
      <c r="BA2058" s="269">
        <v>4</v>
      </c>
    </row>
    <row r="2059" spans="1:53" ht="39.950000000000003" customHeight="1">
      <c r="E2059" s="271"/>
      <c r="F2059" s="272"/>
      <c r="G2059" s="509"/>
      <c r="H2059" s="486"/>
      <c r="I2059" s="487"/>
      <c r="J2059" s="487"/>
      <c r="K2059" s="487"/>
      <c r="L2059" s="487"/>
      <c r="M2059" s="263"/>
      <c r="N2059" s="490"/>
      <c r="O2059" s="490"/>
      <c r="P2059" s="490"/>
      <c r="Q2059" s="490"/>
      <c r="R2059" s="490"/>
      <c r="S2059" s="490"/>
      <c r="T2059" s="490"/>
      <c r="U2059" s="263"/>
      <c r="V2059" s="493"/>
      <c r="W2059" s="267"/>
      <c r="X2059" s="263"/>
      <c r="AZ2059" s="269" t="s">
        <v>40</v>
      </c>
      <c r="BA2059" s="269">
        <v>5</v>
      </c>
    </row>
    <row r="2060" spans="1:53" ht="39.950000000000003" customHeight="1">
      <c r="E2060" s="264" t="s">
        <v>66</v>
      </c>
      <c r="F2060" s="265" t="s">
        <v>39</v>
      </c>
      <c r="G2060" s="263"/>
      <c r="H2060" s="263"/>
      <c r="I2060" s="263"/>
      <c r="J2060" s="263"/>
      <c r="K2060" s="263"/>
      <c r="L2060" s="263"/>
      <c r="M2060" s="263"/>
      <c r="N2060" s="263"/>
      <c r="O2060" s="263"/>
      <c r="P2060" s="263"/>
      <c r="Q2060" s="263"/>
      <c r="R2060" s="263"/>
      <c r="S2060" s="263"/>
      <c r="T2060" s="263"/>
      <c r="U2060" s="263"/>
      <c r="V2060" s="263"/>
      <c r="W2060" s="267"/>
      <c r="X2060" s="263"/>
      <c r="AZ2060" s="269" t="s">
        <v>41</v>
      </c>
      <c r="BA2060" s="269">
        <v>6</v>
      </c>
    </row>
    <row r="2061" spans="1:53" ht="39.950000000000003" customHeight="1">
      <c r="E2061" s="271"/>
      <c r="F2061" s="272"/>
      <c r="G2061" s="263"/>
      <c r="H2061" s="263"/>
      <c r="I2061" s="263" t="s">
        <v>32</v>
      </c>
      <c r="J2061" s="263"/>
      <c r="K2061" s="263"/>
      <c r="L2061" s="263"/>
      <c r="M2061" s="263"/>
      <c r="N2061" s="273"/>
      <c r="O2061" s="266"/>
      <c r="P2061" s="266" t="s">
        <v>34</v>
      </c>
      <c r="Q2061" s="266"/>
      <c r="R2061" s="266"/>
      <c r="S2061" s="266"/>
      <c r="T2061" s="266"/>
      <c r="U2061" s="263"/>
      <c r="V2061" s="263"/>
      <c r="W2061" s="267"/>
      <c r="X2061" s="263"/>
      <c r="AZ2061" s="269" t="s">
        <v>42</v>
      </c>
      <c r="BA2061" s="269">
        <v>7</v>
      </c>
    </row>
    <row r="2062" spans="1:53" ht="39.950000000000003" customHeight="1">
      <c r="E2062" s="264" t="s">
        <v>26</v>
      </c>
      <c r="F2062" s="265" t="s">
        <v>128</v>
      </c>
      <c r="G2062" s="263"/>
      <c r="H2062" s="263"/>
      <c r="I2062" s="486"/>
      <c r="J2062" s="486"/>
      <c r="K2062" s="486"/>
      <c r="L2062" s="486"/>
      <c r="M2062" s="263"/>
      <c r="N2062" s="486" t="str">
        <f>IF(V2055&gt;V2058,I2055,IF(V2058&gt;V2055,I2058,""))</f>
        <v>TEREZKOVÁ Jana</v>
      </c>
      <c r="O2062" s="486"/>
      <c r="P2062" s="486"/>
      <c r="Q2062" s="486"/>
      <c r="R2062" s="486"/>
      <c r="S2062" s="486"/>
      <c r="T2062" s="263"/>
      <c r="U2062" s="263"/>
      <c r="V2062" s="263"/>
      <c r="W2062" s="267"/>
      <c r="X2062" s="263"/>
      <c r="AZ2062" s="269" t="s">
        <v>43</v>
      </c>
      <c r="BA2062" s="269">
        <v>8</v>
      </c>
    </row>
    <row r="2063" spans="1:53" ht="39.950000000000003" customHeight="1">
      <c r="E2063" s="271"/>
      <c r="F2063" s="272"/>
      <c r="G2063" s="263"/>
      <c r="H2063" s="263"/>
      <c r="I2063" s="486"/>
      <c r="J2063" s="486"/>
      <c r="K2063" s="486"/>
      <c r="L2063" s="486"/>
      <c r="M2063" s="263"/>
      <c r="N2063" s="486"/>
      <c r="O2063" s="486"/>
      <c r="P2063" s="486"/>
      <c r="Q2063" s="486"/>
      <c r="R2063" s="486"/>
      <c r="S2063" s="486"/>
      <c r="T2063" s="263"/>
      <c r="U2063" s="263"/>
      <c r="V2063" s="263"/>
      <c r="W2063" s="267"/>
      <c r="X2063" s="263"/>
    </row>
    <row r="2064" spans="1:53" ht="39.950000000000003" customHeight="1">
      <c r="E2064" s="264" t="s">
        <v>27</v>
      </c>
      <c r="F2064" s="274" t="s">
        <v>162</v>
      </c>
      <c r="G2064" s="263"/>
      <c r="H2064" s="263"/>
      <c r="I2064" s="263"/>
      <c r="J2064" s="263"/>
      <c r="K2064" s="263"/>
      <c r="L2064" s="263"/>
      <c r="M2064" s="263"/>
      <c r="N2064" s="263"/>
      <c r="O2064" s="263"/>
      <c r="P2064" s="263"/>
      <c r="Q2064" s="263"/>
      <c r="R2064" s="263"/>
      <c r="S2064" s="263"/>
      <c r="T2064" s="263"/>
      <c r="U2064" s="263"/>
      <c r="V2064" s="263"/>
      <c r="W2064" s="267"/>
      <c r="X2064" s="263"/>
    </row>
    <row r="2065" spans="1:53" ht="39.950000000000003" customHeight="1">
      <c r="E2065" s="271"/>
      <c r="F2065" s="272"/>
      <c r="G2065" s="263"/>
      <c r="H2065" s="263" t="s">
        <v>33</v>
      </c>
      <c r="I2065" s="263"/>
      <c r="J2065" s="263"/>
      <c r="K2065" s="263"/>
      <c r="L2065" s="263"/>
      <c r="M2065" s="263"/>
      <c r="N2065" s="263"/>
      <c r="O2065" s="263"/>
      <c r="P2065" s="263"/>
      <c r="Q2065" s="263"/>
      <c r="R2065" s="263"/>
      <c r="S2065" s="263"/>
      <c r="T2065" s="263"/>
      <c r="U2065" s="263"/>
      <c r="V2065" s="263"/>
      <c r="W2065" s="267"/>
      <c r="X2065" s="263"/>
    </row>
    <row r="2066" spans="1:53" ht="39.950000000000003" customHeight="1">
      <c r="E2066" s="271"/>
      <c r="F2066" s="272"/>
      <c r="G2066" s="263"/>
      <c r="H2066" s="263"/>
      <c r="I2066" s="263"/>
      <c r="J2066" s="263"/>
      <c r="K2066" s="263"/>
      <c r="L2066" s="263"/>
      <c r="M2066" s="263"/>
      <c r="N2066" s="263"/>
      <c r="O2066" s="263"/>
      <c r="P2066" s="263"/>
      <c r="Q2066" s="263"/>
      <c r="R2066" s="263"/>
      <c r="S2066" s="263"/>
      <c r="T2066" s="263"/>
      <c r="U2066" s="263"/>
      <c r="V2066" s="263"/>
      <c r="W2066" s="267"/>
      <c r="X2066" s="263"/>
    </row>
    <row r="2067" spans="1:53" ht="39.950000000000003" customHeight="1">
      <c r="E2067" s="271"/>
      <c r="F2067" s="272"/>
      <c r="G2067" s="263"/>
      <c r="H2067" s="263"/>
      <c r="I2067" s="496" t="str">
        <f>I2055</f>
        <v>DZUROVÁ Lenka</v>
      </c>
      <c r="J2067" s="496"/>
      <c r="K2067" s="496"/>
      <c r="L2067" s="496"/>
      <c r="M2067" s="263"/>
      <c r="N2067" s="263"/>
      <c r="O2067" s="263"/>
      <c r="P2067" s="496" t="str">
        <f>I2058</f>
        <v>TEREZKOVÁ Jana</v>
      </c>
      <c r="Q2067" s="496"/>
      <c r="R2067" s="496"/>
      <c r="S2067" s="496"/>
      <c r="T2067" s="497"/>
      <c r="U2067" s="497"/>
      <c r="V2067" s="263"/>
      <c r="W2067" s="267"/>
      <c r="X2067" s="263"/>
    </row>
    <row r="2068" spans="1:53" ht="69.95" customHeight="1">
      <c r="E2068" s="264"/>
      <c r="F2068" s="265"/>
      <c r="G2068" s="263"/>
      <c r="H2068" s="275" t="s">
        <v>36</v>
      </c>
      <c r="I2068" s="483"/>
      <c r="J2068" s="494"/>
      <c r="K2068" s="494"/>
      <c r="L2068" s="495"/>
      <c r="M2068" s="263"/>
      <c r="N2068" s="263"/>
      <c r="O2068" s="275" t="s">
        <v>36</v>
      </c>
      <c r="P2068" s="486"/>
      <c r="Q2068" s="486"/>
      <c r="R2068" s="486"/>
      <c r="S2068" s="486"/>
      <c r="T2068" s="486"/>
      <c r="U2068" s="486"/>
      <c r="V2068" s="263"/>
      <c r="W2068" s="267"/>
      <c r="X2068" s="263"/>
    </row>
    <row r="2069" spans="1:53" ht="69.95" customHeight="1">
      <c r="E2069" s="264"/>
      <c r="F2069" s="265"/>
      <c r="G2069" s="263"/>
      <c r="H2069" s="275" t="s">
        <v>37</v>
      </c>
      <c r="I2069" s="486"/>
      <c r="J2069" s="486"/>
      <c r="K2069" s="486"/>
      <c r="L2069" s="486"/>
      <c r="M2069" s="263"/>
      <c r="N2069" s="263"/>
      <c r="O2069" s="275" t="s">
        <v>37</v>
      </c>
      <c r="P2069" s="486"/>
      <c r="Q2069" s="486"/>
      <c r="R2069" s="486"/>
      <c r="S2069" s="486"/>
      <c r="T2069" s="486"/>
      <c r="U2069" s="486"/>
      <c r="V2069" s="263"/>
      <c r="W2069" s="267"/>
      <c r="X2069" s="263"/>
    </row>
    <row r="2070" spans="1:53" ht="69.95" customHeight="1">
      <c r="E2070" s="264"/>
      <c r="F2070" s="265"/>
      <c r="G2070" s="263"/>
      <c r="H2070" s="275" t="s">
        <v>37</v>
      </c>
      <c r="I2070" s="486"/>
      <c r="J2070" s="486"/>
      <c r="K2070" s="486"/>
      <c r="L2070" s="486"/>
      <c r="M2070" s="263"/>
      <c r="N2070" s="263"/>
      <c r="O2070" s="275" t="s">
        <v>37</v>
      </c>
      <c r="P2070" s="486"/>
      <c r="Q2070" s="486"/>
      <c r="R2070" s="486"/>
      <c r="S2070" s="486"/>
      <c r="T2070" s="486"/>
      <c r="U2070" s="486"/>
      <c r="V2070" s="263"/>
      <c r="W2070" s="267"/>
      <c r="X2070" s="263"/>
    </row>
    <row r="2071" spans="1:53" ht="39.950000000000003" customHeight="1" thickBot="1">
      <c r="E2071" s="276"/>
      <c r="F2071" s="277"/>
      <c r="G2071" s="278"/>
      <c r="H2071" s="278"/>
      <c r="I2071" s="278"/>
      <c r="J2071" s="278"/>
      <c r="K2071" s="278"/>
      <c r="L2071" s="278"/>
      <c r="M2071" s="278"/>
      <c r="N2071" s="278"/>
      <c r="O2071" s="278"/>
      <c r="P2071" s="278"/>
      <c r="Q2071" s="278"/>
      <c r="R2071" s="278"/>
      <c r="S2071" s="278"/>
      <c r="T2071" s="279"/>
      <c r="U2071" s="279"/>
      <c r="V2071" s="279"/>
      <c r="W2071" s="280"/>
      <c r="X2071" s="263"/>
    </row>
    <row r="2072" spans="1:53" ht="62.25" thickBot="1"/>
    <row r="2073" spans="1:53" ht="39.950000000000003" customHeight="1">
      <c r="A2073" s="252" t="str">
        <f>CONCATENATE(F2080,F2082,F2084)</f>
        <v>DP3</v>
      </c>
      <c r="E2073" s="259" t="s">
        <v>70</v>
      </c>
      <c r="F2073" s="260">
        <f>VLOOKUP(CONCATENATE(A2073,1),'zoznam zapasov'!$A$6:$K$160,3,0)</f>
        <v>103</v>
      </c>
      <c r="G2073" s="261"/>
      <c r="H2073" s="322" t="s">
        <v>501</v>
      </c>
      <c r="I2073" s="261"/>
      <c r="J2073" s="261"/>
      <c r="K2073" s="261"/>
      <c r="L2073" s="261"/>
      <c r="M2073" s="261"/>
      <c r="N2073" s="261"/>
      <c r="O2073" s="261"/>
      <c r="P2073" s="261"/>
      <c r="Q2073" s="261"/>
      <c r="R2073" s="261"/>
      <c r="S2073" s="261"/>
      <c r="T2073" s="261"/>
      <c r="U2073" s="261"/>
      <c r="V2073" s="261" t="s">
        <v>30</v>
      </c>
      <c r="W2073" s="262"/>
      <c r="X2073" s="263"/>
      <c r="Y2073" s="253" t="str">
        <f>A2075</f>
        <v>DP31</v>
      </c>
      <c r="Z2073" s="258" t="str">
        <f>CONCATENATE(V2075,":",V2078)</f>
        <v>3:2</v>
      </c>
      <c r="AA2073" s="255" t="str">
        <f>N2082</f>
        <v>MAJERSKÁ Alena</v>
      </c>
      <c r="AB2073" s="255" t="str">
        <f>IF(V2075&gt;V2078,AV2073,IF(V2078&gt;V2075,AV2074,""))</f>
        <v xml:space="preserve">3:2 ( 9,7,-9,-6,6,, ) </v>
      </c>
      <c r="AC2073" s="255" t="str">
        <f>CONCATENATE("Tbl.: ",F2075,"   H: ",F2078,"   D: ",F2077)</f>
        <v>Tbl.: 3   H: 15.30   D: So</v>
      </c>
      <c r="AE2073" s="253" t="s">
        <v>11</v>
      </c>
      <c r="AV2073" s="256" t="str">
        <f>CONCATENATE(V2075,":",V2078, " ( ",AN2075,",",AO2075,",",AP2075,",",AQ2075,",",AR2075,",",AS2075,",",AT2075," ) ")</f>
        <v xml:space="preserve">3:2 ( 9,7,-9,-6,6,, ) </v>
      </c>
    </row>
    <row r="2074" spans="1:53" ht="39.950000000000003" customHeight="1">
      <c r="E2074" s="264"/>
      <c r="F2074" s="265"/>
      <c r="G2074" s="321" t="s">
        <v>500</v>
      </c>
      <c r="H2074" s="323" t="s">
        <v>502</v>
      </c>
      <c r="I2074" s="263"/>
      <c r="J2074" s="263"/>
      <c r="K2074" s="263"/>
      <c r="L2074" s="263"/>
      <c r="M2074" s="263"/>
      <c r="N2074" s="266">
        <v>1</v>
      </c>
      <c r="O2074" s="266">
        <v>2</v>
      </c>
      <c r="P2074" s="266">
        <v>3</v>
      </c>
      <c r="Q2074" s="266">
        <v>4</v>
      </c>
      <c r="R2074" s="266">
        <v>5</v>
      </c>
      <c r="S2074" s="266">
        <v>6</v>
      </c>
      <c r="T2074" s="266">
        <v>7</v>
      </c>
      <c r="U2074" s="263"/>
      <c r="V2074" s="266" t="s">
        <v>31</v>
      </c>
      <c r="W2074" s="267"/>
      <c r="X2074" s="263"/>
      <c r="AE2074" s="253" t="s">
        <v>68</v>
      </c>
      <c r="AV2074" s="256" t="str">
        <f>CONCATENATE(V2078,":",V2075, " ( ",AN2076,",",AO2076,",",AP2076,",",AQ2076,",",AR2076,",",AS2076,",",AT2076," ) ")</f>
        <v xml:space="preserve">2:3 ( -9,-7,9,6,-6,, ) </v>
      </c>
    </row>
    <row r="2075" spans="1:53" ht="39.950000000000003" customHeight="1">
      <c r="A2075" s="252" t="str">
        <f>CONCATENATE(A2073,1)</f>
        <v>DP31</v>
      </c>
      <c r="E2075" s="264" t="s">
        <v>29</v>
      </c>
      <c r="F2075" s="265">
        <f>VLOOKUP(CONCATENATE(A2073,1),'zoznam zapasov'!$A$6:$K$160,11,0)</f>
        <v>3</v>
      </c>
      <c r="G2075" s="508"/>
      <c r="H2075" s="495"/>
      <c r="I2075" s="487" t="str">
        <f>IF(ISERROR(VLOOKUP(A2075,'KO KODY SPOLU'!$A$3:$B$189,2,0))=TRUE,"",VLOOKUP(A2075,'KO KODY SPOLU'!$A$3:$B$189,2,0))</f>
        <v>MAJERSKÁ Alena</v>
      </c>
      <c r="J2075" s="487"/>
      <c r="K2075" s="487"/>
      <c r="L2075" s="487"/>
      <c r="M2075" s="263"/>
      <c r="N2075" s="489">
        <v>11</v>
      </c>
      <c r="O2075" s="489">
        <v>11</v>
      </c>
      <c r="P2075" s="489">
        <v>9</v>
      </c>
      <c r="Q2075" s="489">
        <v>6</v>
      </c>
      <c r="R2075" s="489">
        <v>11</v>
      </c>
      <c r="S2075" s="489"/>
      <c r="T2075" s="489"/>
      <c r="U2075" s="263"/>
      <c r="V2075" s="493">
        <f>IF(SUM(AF2075:AL2076)=0,"",SUM(AF2075:AL2075))</f>
        <v>3</v>
      </c>
      <c r="W2075" s="267"/>
      <c r="X2075" s="263"/>
      <c r="AE2075" s="253" t="str">
        <f>VLOOKUP(I2075,vylosovanie!$F$8:$L$190,7,0)</f>
        <v>D71</v>
      </c>
      <c r="AF2075" s="268">
        <f>IF(N2075&gt;N2078,1,0)</f>
        <v>1</v>
      </c>
      <c r="AG2075" s="268">
        <f t="shared" ref="AG2075" si="1778">IF(O2075&gt;O2078,1,0)</f>
        <v>1</v>
      </c>
      <c r="AH2075" s="268">
        <f t="shared" ref="AH2075" si="1779">IF(P2075&gt;P2078,1,0)</f>
        <v>0</v>
      </c>
      <c r="AI2075" s="268">
        <f t="shared" ref="AI2075" si="1780">IF(Q2075&gt;Q2078,1,0)</f>
        <v>0</v>
      </c>
      <c r="AJ2075" s="268">
        <f t="shared" ref="AJ2075" si="1781">IF(R2075&gt;R2078,1,0)</f>
        <v>1</v>
      </c>
      <c r="AK2075" s="268">
        <f t="shared" ref="AK2075" si="1782">IF(S2075&gt;S2078,1,0)</f>
        <v>0</v>
      </c>
      <c r="AL2075" s="268">
        <f t="shared" ref="AL2075" si="1783">IF(T2075&gt;T2078,1,0)</f>
        <v>0</v>
      </c>
      <c r="AN2075" s="268">
        <f t="shared" ref="AN2075" si="1784">IF(ISBLANK(N2075)=TRUE,"",IF(AF2075=1,N2078,-N2075))</f>
        <v>9</v>
      </c>
      <c r="AO2075" s="268">
        <f t="shared" ref="AO2075" si="1785">IF(ISBLANK(O2075)=TRUE,"",IF(AG2075=1,O2078,-O2075))</f>
        <v>7</v>
      </c>
      <c r="AP2075" s="268">
        <f t="shared" ref="AP2075" si="1786">IF(ISBLANK(P2075)=TRUE,"",IF(AH2075=1,P2078,-P2075))</f>
        <v>-9</v>
      </c>
      <c r="AQ2075" s="268">
        <f t="shared" ref="AQ2075" si="1787">IF(ISBLANK(Q2075)=TRUE,"",IF(AI2075=1,Q2078,-Q2075))</f>
        <v>-6</v>
      </c>
      <c r="AR2075" s="268">
        <f t="shared" ref="AR2075" si="1788">IF(ISBLANK(R2075)=TRUE,"",IF(AJ2075=1,R2078,-R2075))</f>
        <v>6</v>
      </c>
      <c r="AS2075" s="268" t="str">
        <f t="shared" ref="AS2075" si="1789">IF(ISBLANK(S2075)=TRUE,"",IF(AK2075=1,S2078,-S2075))</f>
        <v/>
      </c>
      <c r="AT2075" s="268" t="str">
        <f t="shared" ref="AT2075" si="1790">IF(ISBLANK(T2075)=TRUE,"",IF(AL2075=1,T2078,-T2075))</f>
        <v/>
      </c>
      <c r="AZ2075" s="269" t="s">
        <v>12</v>
      </c>
      <c r="BA2075" s="269">
        <v>1</v>
      </c>
    </row>
    <row r="2076" spans="1:53" ht="39.950000000000003" customHeight="1">
      <c r="E2076" s="264"/>
      <c r="F2076" s="265"/>
      <c r="G2076" s="509"/>
      <c r="H2076" s="495"/>
      <c r="I2076" s="487"/>
      <c r="J2076" s="487"/>
      <c r="K2076" s="487"/>
      <c r="L2076" s="487"/>
      <c r="M2076" s="263"/>
      <c r="N2076" s="490"/>
      <c r="O2076" s="490"/>
      <c r="P2076" s="490"/>
      <c r="Q2076" s="490"/>
      <c r="R2076" s="490"/>
      <c r="S2076" s="490"/>
      <c r="T2076" s="490"/>
      <c r="U2076" s="263"/>
      <c r="V2076" s="493"/>
      <c r="W2076" s="267"/>
      <c r="X2076" s="263"/>
      <c r="AE2076" s="253" t="str">
        <f>VLOOKUP(I2078,vylosovanie!$F$8:$L$190,7,0)</f>
        <v>D62</v>
      </c>
      <c r="AF2076" s="268">
        <f>IF(N2078&gt;N2075,1,0)</f>
        <v>0</v>
      </c>
      <c r="AG2076" s="268">
        <f t="shared" ref="AG2076" si="1791">IF(O2078&gt;O2075,1,0)</f>
        <v>0</v>
      </c>
      <c r="AH2076" s="268">
        <f t="shared" ref="AH2076" si="1792">IF(P2078&gt;P2075,1,0)</f>
        <v>1</v>
      </c>
      <c r="AI2076" s="268">
        <f t="shared" ref="AI2076" si="1793">IF(Q2078&gt;Q2075,1,0)</f>
        <v>1</v>
      </c>
      <c r="AJ2076" s="268">
        <f t="shared" ref="AJ2076" si="1794">IF(R2078&gt;R2075,1,0)</f>
        <v>0</v>
      </c>
      <c r="AK2076" s="268">
        <f t="shared" ref="AK2076" si="1795">IF(S2078&gt;S2075,1,0)</f>
        <v>0</v>
      </c>
      <c r="AL2076" s="268">
        <f t="shared" ref="AL2076" si="1796">IF(T2078&gt;T2075,1,0)</f>
        <v>0</v>
      </c>
      <c r="AN2076" s="268">
        <f t="shared" ref="AN2076" si="1797">IF(ISBLANK(N2078)=TRUE,"",IF(AF2076=1,N2075,-N2078))</f>
        <v>-9</v>
      </c>
      <c r="AO2076" s="268">
        <f t="shared" ref="AO2076" si="1798">IF(ISBLANK(O2078)=TRUE,"",IF(AG2076=1,O2075,-O2078))</f>
        <v>-7</v>
      </c>
      <c r="AP2076" s="268">
        <f t="shared" ref="AP2076" si="1799">IF(ISBLANK(P2078)=TRUE,"",IF(AH2076=1,P2075,-P2078))</f>
        <v>9</v>
      </c>
      <c r="AQ2076" s="268">
        <f t="shared" ref="AQ2076" si="1800">IF(ISBLANK(Q2078)=TRUE,"",IF(AI2076=1,Q2075,-Q2078))</f>
        <v>6</v>
      </c>
      <c r="AR2076" s="268">
        <f t="shared" ref="AR2076" si="1801">IF(ISBLANK(R2078)=TRUE,"",IF(AJ2076=1,R2075,-R2078))</f>
        <v>-6</v>
      </c>
      <c r="AS2076" s="268" t="str">
        <f t="shared" ref="AS2076" si="1802">IF(ISBLANK(S2078)=TRUE,"",IF(AK2076=1,S2075,-S2078))</f>
        <v/>
      </c>
      <c r="AT2076" s="268" t="str">
        <f t="shared" ref="AT2076" si="1803">IF(ISBLANK(T2078)=TRUE,"",IF(AL2076=1,T2075,-T2078))</f>
        <v/>
      </c>
      <c r="AZ2076" s="269" t="s">
        <v>18</v>
      </c>
      <c r="BA2076" s="269">
        <v>2</v>
      </c>
    </row>
    <row r="2077" spans="1:53" ht="39.950000000000003" customHeight="1">
      <c r="E2077" s="264" t="s">
        <v>35</v>
      </c>
      <c r="F2077" s="265" t="str">
        <f>VLOOKUP(CONCATENATE(A2073,1),'zoznam zapasov'!$A$6:$K$160,9,0)</f>
        <v>So</v>
      </c>
      <c r="G2077" s="263"/>
      <c r="H2077" s="263"/>
      <c r="I2077" s="263"/>
      <c r="J2077" s="263"/>
      <c r="K2077" s="263"/>
      <c r="L2077" s="263"/>
      <c r="M2077" s="263"/>
      <c r="N2077" s="263"/>
      <c r="O2077" s="263"/>
      <c r="P2077" s="263"/>
      <c r="Q2077" s="263"/>
      <c r="R2077" s="263"/>
      <c r="S2077" s="263"/>
      <c r="T2077" s="263"/>
      <c r="U2077" s="263"/>
      <c r="V2077" s="263"/>
      <c r="W2077" s="267"/>
      <c r="X2077" s="263"/>
      <c r="AZ2077" s="269" t="s">
        <v>38</v>
      </c>
      <c r="BA2077" s="269">
        <v>3</v>
      </c>
    </row>
    <row r="2078" spans="1:53" ht="39.950000000000003" customHeight="1">
      <c r="A2078" s="252" t="str">
        <f>CONCATENATE(A2073,2)</f>
        <v>DP32</v>
      </c>
      <c r="E2078" s="264" t="s">
        <v>28</v>
      </c>
      <c r="F2078" s="270" t="str">
        <f>VLOOKUP(CONCATENATE(A2073,1),'zoznam zapasov'!$A$6:$K$160,10,0)</f>
        <v>15.30</v>
      </c>
      <c r="G2078" s="508"/>
      <c r="H2078" s="486"/>
      <c r="I2078" s="487" t="str">
        <f>IF(ISERROR(VLOOKUP(A2078,'KO KODY SPOLU'!$A$3:$B$189,2,0))=TRUE,"",VLOOKUP(A2078,'KO KODY SPOLU'!$A$3:$B$189,2,0))</f>
        <v>PAPCUNOVÁ Viktória</v>
      </c>
      <c r="J2078" s="487"/>
      <c r="K2078" s="487"/>
      <c r="L2078" s="487"/>
      <c r="M2078" s="263"/>
      <c r="N2078" s="489">
        <v>9</v>
      </c>
      <c r="O2078" s="489">
        <v>7</v>
      </c>
      <c r="P2078" s="489">
        <v>11</v>
      </c>
      <c r="Q2078" s="489">
        <v>11</v>
      </c>
      <c r="R2078" s="489">
        <v>6</v>
      </c>
      <c r="S2078" s="489"/>
      <c r="T2078" s="489"/>
      <c r="U2078" s="263"/>
      <c r="V2078" s="493">
        <f>IF(SUM(AF2075:AL2076)=0,"",SUM(AF2076:AL2076))</f>
        <v>2</v>
      </c>
      <c r="W2078" s="267"/>
      <c r="X2078" s="263"/>
      <c r="AZ2078" s="269" t="s">
        <v>39</v>
      </c>
      <c r="BA2078" s="269">
        <v>4</v>
      </c>
    </row>
    <row r="2079" spans="1:53" ht="39.950000000000003" customHeight="1">
      <c r="E2079" s="271"/>
      <c r="F2079" s="272"/>
      <c r="G2079" s="509"/>
      <c r="H2079" s="486"/>
      <c r="I2079" s="487"/>
      <c r="J2079" s="487"/>
      <c r="K2079" s="487"/>
      <c r="L2079" s="487"/>
      <c r="M2079" s="263"/>
      <c r="N2079" s="490"/>
      <c r="O2079" s="490"/>
      <c r="P2079" s="490"/>
      <c r="Q2079" s="490"/>
      <c r="R2079" s="490"/>
      <c r="S2079" s="490"/>
      <c r="T2079" s="490"/>
      <c r="U2079" s="263"/>
      <c r="V2079" s="493"/>
      <c r="W2079" s="267"/>
      <c r="X2079" s="263"/>
      <c r="AZ2079" s="269" t="s">
        <v>40</v>
      </c>
      <c r="BA2079" s="269">
        <v>5</v>
      </c>
    </row>
    <row r="2080" spans="1:53" ht="39.950000000000003" customHeight="1">
      <c r="E2080" s="264" t="s">
        <v>66</v>
      </c>
      <c r="F2080" s="265" t="s">
        <v>39</v>
      </c>
      <c r="G2080" s="263"/>
      <c r="H2080" s="263"/>
      <c r="I2080" s="263"/>
      <c r="J2080" s="263"/>
      <c r="K2080" s="263"/>
      <c r="L2080" s="263"/>
      <c r="M2080" s="263"/>
      <c r="N2080" s="263"/>
      <c r="O2080" s="263"/>
      <c r="P2080" s="263"/>
      <c r="Q2080" s="263"/>
      <c r="R2080" s="263"/>
      <c r="S2080" s="263"/>
      <c r="T2080" s="263"/>
      <c r="U2080" s="263"/>
      <c r="V2080" s="263"/>
      <c r="W2080" s="267"/>
      <c r="X2080" s="263"/>
      <c r="AZ2080" s="269" t="s">
        <v>41</v>
      </c>
      <c r="BA2080" s="269">
        <v>6</v>
      </c>
    </row>
    <row r="2081" spans="1:53" ht="39.950000000000003" customHeight="1">
      <c r="E2081" s="271"/>
      <c r="F2081" s="272"/>
      <c r="G2081" s="263"/>
      <c r="H2081" s="263"/>
      <c r="I2081" s="263" t="s">
        <v>32</v>
      </c>
      <c r="J2081" s="263"/>
      <c r="K2081" s="263"/>
      <c r="L2081" s="263"/>
      <c r="M2081" s="263"/>
      <c r="N2081" s="273"/>
      <c r="O2081" s="266"/>
      <c r="P2081" s="266" t="s">
        <v>34</v>
      </c>
      <c r="Q2081" s="266"/>
      <c r="R2081" s="266"/>
      <c r="S2081" s="266"/>
      <c r="T2081" s="266"/>
      <c r="U2081" s="263"/>
      <c r="V2081" s="263"/>
      <c r="W2081" s="267"/>
      <c r="X2081" s="263"/>
      <c r="AZ2081" s="269" t="s">
        <v>42</v>
      </c>
      <c r="BA2081" s="269">
        <v>7</v>
      </c>
    </row>
    <row r="2082" spans="1:53" ht="39.950000000000003" customHeight="1">
      <c r="E2082" s="264" t="s">
        <v>26</v>
      </c>
      <c r="F2082" s="265" t="s">
        <v>128</v>
      </c>
      <c r="G2082" s="263"/>
      <c r="H2082" s="263"/>
      <c r="I2082" s="486"/>
      <c r="J2082" s="486"/>
      <c r="K2082" s="486"/>
      <c r="L2082" s="486"/>
      <c r="M2082" s="263"/>
      <c r="N2082" s="486" t="str">
        <f>IF(V2075&gt;V2078,I2075,IF(V2078&gt;V2075,I2078,""))</f>
        <v>MAJERSKÁ Alena</v>
      </c>
      <c r="O2082" s="486"/>
      <c r="P2082" s="486"/>
      <c r="Q2082" s="486"/>
      <c r="R2082" s="486"/>
      <c r="S2082" s="486"/>
      <c r="T2082" s="263"/>
      <c r="U2082" s="263"/>
      <c r="V2082" s="263"/>
      <c r="W2082" s="267"/>
      <c r="X2082" s="263"/>
      <c r="AZ2082" s="269" t="s">
        <v>43</v>
      </c>
      <c r="BA2082" s="269">
        <v>8</v>
      </c>
    </row>
    <row r="2083" spans="1:53" ht="39.950000000000003" customHeight="1">
      <c r="E2083" s="271"/>
      <c r="F2083" s="272"/>
      <c r="G2083" s="263"/>
      <c r="H2083" s="263"/>
      <c r="I2083" s="486"/>
      <c r="J2083" s="486"/>
      <c r="K2083" s="486"/>
      <c r="L2083" s="486"/>
      <c r="M2083" s="263"/>
      <c r="N2083" s="486"/>
      <c r="O2083" s="486"/>
      <c r="P2083" s="486"/>
      <c r="Q2083" s="486"/>
      <c r="R2083" s="486"/>
      <c r="S2083" s="486"/>
      <c r="T2083" s="263"/>
      <c r="U2083" s="263"/>
      <c r="V2083" s="263"/>
      <c r="W2083" s="267"/>
      <c r="X2083" s="263"/>
    </row>
    <row r="2084" spans="1:53" ht="39.950000000000003" customHeight="1">
      <c r="E2084" s="264" t="s">
        <v>27</v>
      </c>
      <c r="F2084" s="274" t="s">
        <v>163</v>
      </c>
      <c r="G2084" s="263"/>
      <c r="H2084" s="263"/>
      <c r="I2084" s="263"/>
      <c r="J2084" s="263"/>
      <c r="K2084" s="263"/>
      <c r="L2084" s="263"/>
      <c r="M2084" s="263"/>
      <c r="N2084" s="263"/>
      <c r="O2084" s="263"/>
      <c r="P2084" s="263"/>
      <c r="Q2084" s="263"/>
      <c r="R2084" s="263"/>
      <c r="S2084" s="263"/>
      <c r="T2084" s="263"/>
      <c r="U2084" s="263"/>
      <c r="V2084" s="263"/>
      <c r="W2084" s="267"/>
      <c r="X2084" s="263"/>
    </row>
    <row r="2085" spans="1:53" ht="39.950000000000003" customHeight="1">
      <c r="E2085" s="271"/>
      <c r="F2085" s="272"/>
      <c r="G2085" s="263"/>
      <c r="H2085" s="263" t="s">
        <v>33</v>
      </c>
      <c r="I2085" s="263"/>
      <c r="J2085" s="263"/>
      <c r="K2085" s="263"/>
      <c r="L2085" s="263"/>
      <c r="M2085" s="263"/>
      <c r="N2085" s="263"/>
      <c r="O2085" s="263"/>
      <c r="P2085" s="263"/>
      <c r="Q2085" s="263"/>
      <c r="R2085" s="263"/>
      <c r="S2085" s="263"/>
      <c r="T2085" s="263"/>
      <c r="U2085" s="263"/>
      <c r="V2085" s="263"/>
      <c r="W2085" s="267"/>
      <c r="X2085" s="263"/>
    </row>
    <row r="2086" spans="1:53" ht="39.950000000000003" customHeight="1">
      <c r="E2086" s="271"/>
      <c r="F2086" s="272"/>
      <c r="G2086" s="263"/>
      <c r="H2086" s="263"/>
      <c r="I2086" s="263"/>
      <c r="J2086" s="263"/>
      <c r="K2086" s="263"/>
      <c r="L2086" s="263"/>
      <c r="M2086" s="263"/>
      <c r="N2086" s="263"/>
      <c r="O2086" s="263"/>
      <c r="P2086" s="263"/>
      <c r="Q2086" s="263"/>
      <c r="R2086" s="263"/>
      <c r="S2086" s="263"/>
      <c r="T2086" s="263"/>
      <c r="U2086" s="263"/>
      <c r="V2086" s="263"/>
      <c r="W2086" s="267"/>
      <c r="X2086" s="263"/>
    </row>
    <row r="2087" spans="1:53" ht="39.950000000000003" customHeight="1">
      <c r="E2087" s="271"/>
      <c r="F2087" s="272"/>
      <c r="G2087" s="263"/>
      <c r="H2087" s="263"/>
      <c r="I2087" s="496" t="str">
        <f>I2075</f>
        <v>MAJERSKÁ Alena</v>
      </c>
      <c r="J2087" s="496"/>
      <c r="K2087" s="496"/>
      <c r="L2087" s="496"/>
      <c r="M2087" s="263"/>
      <c r="N2087" s="263"/>
      <c r="O2087" s="263"/>
      <c r="P2087" s="496" t="str">
        <f>I2078</f>
        <v>PAPCUNOVÁ Viktória</v>
      </c>
      <c r="Q2087" s="496"/>
      <c r="R2087" s="496"/>
      <c r="S2087" s="496"/>
      <c r="T2087" s="497"/>
      <c r="U2087" s="497"/>
      <c r="V2087" s="263"/>
      <c r="W2087" s="267"/>
      <c r="X2087" s="263"/>
    </row>
    <row r="2088" spans="1:53" ht="69.95" customHeight="1">
      <c r="E2088" s="264"/>
      <c r="F2088" s="265"/>
      <c r="G2088" s="263"/>
      <c r="H2088" s="275" t="s">
        <v>36</v>
      </c>
      <c r="I2088" s="483"/>
      <c r="J2088" s="494"/>
      <c r="K2088" s="494"/>
      <c r="L2088" s="495"/>
      <c r="M2088" s="263"/>
      <c r="N2088" s="263"/>
      <c r="O2088" s="275" t="s">
        <v>36</v>
      </c>
      <c r="P2088" s="486"/>
      <c r="Q2088" s="486"/>
      <c r="R2088" s="486"/>
      <c r="S2088" s="486"/>
      <c r="T2088" s="486"/>
      <c r="U2088" s="486"/>
      <c r="V2088" s="263"/>
      <c r="W2088" s="267"/>
      <c r="X2088" s="263"/>
    </row>
    <row r="2089" spans="1:53" ht="69.95" customHeight="1">
      <c r="E2089" s="264"/>
      <c r="F2089" s="265"/>
      <c r="G2089" s="263"/>
      <c r="H2089" s="275" t="s">
        <v>37</v>
      </c>
      <c r="I2089" s="486"/>
      <c r="J2089" s="486"/>
      <c r="K2089" s="486"/>
      <c r="L2089" s="486"/>
      <c r="M2089" s="263"/>
      <c r="N2089" s="263"/>
      <c r="O2089" s="275" t="s">
        <v>37</v>
      </c>
      <c r="P2089" s="486"/>
      <c r="Q2089" s="486"/>
      <c r="R2089" s="486"/>
      <c r="S2089" s="486"/>
      <c r="T2089" s="486"/>
      <c r="U2089" s="486"/>
      <c r="V2089" s="263"/>
      <c r="W2089" s="267"/>
      <c r="X2089" s="263"/>
    </row>
    <row r="2090" spans="1:53" ht="69.95" customHeight="1">
      <c r="E2090" s="264"/>
      <c r="F2090" s="265"/>
      <c r="G2090" s="263"/>
      <c r="H2090" s="275" t="s">
        <v>37</v>
      </c>
      <c r="I2090" s="486"/>
      <c r="J2090" s="486"/>
      <c r="K2090" s="486"/>
      <c r="L2090" s="486"/>
      <c r="M2090" s="263"/>
      <c r="N2090" s="263"/>
      <c r="O2090" s="275" t="s">
        <v>37</v>
      </c>
      <c r="P2090" s="486"/>
      <c r="Q2090" s="486"/>
      <c r="R2090" s="486"/>
      <c r="S2090" s="486"/>
      <c r="T2090" s="486"/>
      <c r="U2090" s="486"/>
      <c r="V2090" s="263"/>
      <c r="W2090" s="267"/>
      <c r="X2090" s="263"/>
    </row>
    <row r="2091" spans="1:53" ht="39.950000000000003" customHeight="1" thickBot="1">
      <c r="E2091" s="276"/>
      <c r="F2091" s="277"/>
      <c r="G2091" s="278"/>
      <c r="H2091" s="278"/>
      <c r="I2091" s="278"/>
      <c r="J2091" s="278"/>
      <c r="K2091" s="278"/>
      <c r="L2091" s="278"/>
      <c r="M2091" s="278"/>
      <c r="N2091" s="278"/>
      <c r="O2091" s="278"/>
      <c r="P2091" s="278"/>
      <c r="Q2091" s="278"/>
      <c r="R2091" s="278"/>
      <c r="S2091" s="278"/>
      <c r="T2091" s="279"/>
      <c r="U2091" s="279"/>
      <c r="V2091" s="279"/>
      <c r="W2091" s="280"/>
      <c r="X2091" s="263"/>
    </row>
    <row r="2092" spans="1:53" ht="62.25" thickBot="1"/>
    <row r="2093" spans="1:53" ht="39.950000000000003" customHeight="1">
      <c r="A2093" s="252" t="str">
        <f>CONCATENATE(F2100,F2102,F2104)</f>
        <v>DP4</v>
      </c>
      <c r="E2093" s="259" t="s">
        <v>70</v>
      </c>
      <c r="F2093" s="260">
        <f>VLOOKUP(CONCATENATE(A2093,1),'zoznam zapasov'!$A$6:$K$160,3,0)</f>
        <v>104</v>
      </c>
      <c r="G2093" s="261"/>
      <c r="H2093" s="322" t="s">
        <v>501</v>
      </c>
      <c r="I2093" s="261"/>
      <c r="J2093" s="261"/>
      <c r="K2093" s="261"/>
      <c r="L2093" s="261"/>
      <c r="M2093" s="261"/>
      <c r="N2093" s="261"/>
      <c r="O2093" s="261"/>
      <c r="P2093" s="261"/>
      <c r="Q2093" s="261"/>
      <c r="R2093" s="261"/>
      <c r="S2093" s="261"/>
      <c r="T2093" s="261"/>
      <c r="U2093" s="261"/>
      <c r="V2093" s="261" t="s">
        <v>30</v>
      </c>
      <c r="W2093" s="262"/>
      <c r="X2093" s="263"/>
      <c r="Y2093" s="253" t="str">
        <f>A2095</f>
        <v>DP41</v>
      </c>
      <c r="Z2093" s="258" t="str">
        <f>CONCATENATE(V2095,":",V2098)</f>
        <v>3:1</v>
      </c>
      <c r="AA2093" s="255" t="str">
        <f>N2102</f>
        <v>SLOBODNÍKOVÁ Hana</v>
      </c>
      <c r="AB2093" s="255" t="str">
        <f>IF(V2095&gt;V2098,AV2093,IF(V2098&gt;V2095,AV2094,""))</f>
        <v xml:space="preserve">3:1 ( 11,-7,9,8,,, ) </v>
      </c>
      <c r="AC2093" s="255" t="str">
        <f>CONCATENATE("Tbl.: ",F2095,"   H: ",F2098,"   D: ",F2097)</f>
        <v>Tbl.: 4   H: 15.30   D: So</v>
      </c>
      <c r="AE2093" s="253" t="s">
        <v>11</v>
      </c>
      <c r="AV2093" s="256" t="str">
        <f>CONCATENATE(V2095,":",V2098, " ( ",AN2095,",",AO2095,",",AP2095,",",AQ2095,",",AR2095,",",AS2095,",",AT2095," ) ")</f>
        <v xml:space="preserve">3:1 ( 11,-7,9,8,,, ) </v>
      </c>
    </row>
    <row r="2094" spans="1:53" ht="39.950000000000003" customHeight="1">
      <c r="E2094" s="264"/>
      <c r="F2094" s="265"/>
      <c r="G2094" s="321" t="s">
        <v>500</v>
      </c>
      <c r="H2094" s="323" t="s">
        <v>502</v>
      </c>
      <c r="I2094" s="263"/>
      <c r="J2094" s="263"/>
      <c r="K2094" s="263"/>
      <c r="L2094" s="263"/>
      <c r="M2094" s="263"/>
      <c r="N2094" s="266">
        <v>1</v>
      </c>
      <c r="O2094" s="266">
        <v>2</v>
      </c>
      <c r="P2094" s="266">
        <v>3</v>
      </c>
      <c r="Q2094" s="266">
        <v>4</v>
      </c>
      <c r="R2094" s="266">
        <v>5</v>
      </c>
      <c r="S2094" s="266">
        <v>6</v>
      </c>
      <c r="T2094" s="266">
        <v>7</v>
      </c>
      <c r="U2094" s="263"/>
      <c r="V2094" s="266" t="s">
        <v>31</v>
      </c>
      <c r="W2094" s="267"/>
      <c r="X2094" s="263"/>
      <c r="AE2094" s="253" t="s">
        <v>68</v>
      </c>
      <c r="AV2094" s="256" t="str">
        <f>CONCATENATE(V2098,":",V2095, " ( ",AN2096,",",AO2096,",",AP2096,",",AQ2096,",",AR2096,",",AS2096,",",AT2096," ) ")</f>
        <v xml:space="preserve">1:3 ( -11,7,-9,-8,,, ) </v>
      </c>
    </row>
    <row r="2095" spans="1:53" ht="39.950000000000003" customHeight="1">
      <c r="A2095" s="252" t="str">
        <f>CONCATENATE(A2093,1)</f>
        <v>DP41</v>
      </c>
      <c r="E2095" s="264" t="s">
        <v>29</v>
      </c>
      <c r="F2095" s="265">
        <f>VLOOKUP(CONCATENATE(A2093,1),'zoznam zapasov'!$A$6:$K$160,11,0)</f>
        <v>4</v>
      </c>
      <c r="G2095" s="508"/>
      <c r="H2095" s="495"/>
      <c r="I2095" s="487" t="str">
        <f>IF(ISERROR(VLOOKUP(A2095,'KO KODY SPOLU'!$A$3:$B$189,2,0))=TRUE,"",VLOOKUP(A2095,'KO KODY SPOLU'!$A$3:$B$189,2,0))</f>
        <v>SLOBODNÍKOVÁ Hana</v>
      </c>
      <c r="J2095" s="487"/>
      <c r="K2095" s="487"/>
      <c r="L2095" s="487"/>
      <c r="M2095" s="263"/>
      <c r="N2095" s="489">
        <v>13</v>
      </c>
      <c r="O2095" s="489">
        <v>7</v>
      </c>
      <c r="P2095" s="489">
        <v>11</v>
      </c>
      <c r="Q2095" s="489">
        <v>11</v>
      </c>
      <c r="R2095" s="489"/>
      <c r="S2095" s="489"/>
      <c r="T2095" s="489"/>
      <c r="U2095" s="263"/>
      <c r="V2095" s="493">
        <f>IF(SUM(AF2095:AL2096)=0,"",SUM(AF2095:AL2095))</f>
        <v>3</v>
      </c>
      <c r="W2095" s="267"/>
      <c r="X2095" s="263"/>
      <c r="AE2095" s="253" t="str">
        <f>VLOOKUP(I2095,vylosovanie!$F$8:$L$190,7,0)</f>
        <v>D52</v>
      </c>
      <c r="AF2095" s="268">
        <f>IF(N2095&gt;N2098,1,0)</f>
        <v>1</v>
      </c>
      <c r="AG2095" s="268">
        <f t="shared" ref="AG2095" si="1804">IF(O2095&gt;O2098,1,0)</f>
        <v>0</v>
      </c>
      <c r="AH2095" s="268">
        <f t="shared" ref="AH2095" si="1805">IF(P2095&gt;P2098,1,0)</f>
        <v>1</v>
      </c>
      <c r="AI2095" s="268">
        <f t="shared" ref="AI2095" si="1806">IF(Q2095&gt;Q2098,1,0)</f>
        <v>1</v>
      </c>
      <c r="AJ2095" s="268">
        <f t="shared" ref="AJ2095" si="1807">IF(R2095&gt;R2098,1,0)</f>
        <v>0</v>
      </c>
      <c r="AK2095" s="268">
        <f t="shared" ref="AK2095" si="1808">IF(S2095&gt;S2098,1,0)</f>
        <v>0</v>
      </c>
      <c r="AL2095" s="268">
        <f t="shared" ref="AL2095" si="1809">IF(T2095&gt;T2098,1,0)</f>
        <v>0</v>
      </c>
      <c r="AN2095" s="268">
        <f t="shared" ref="AN2095" si="1810">IF(ISBLANK(N2095)=TRUE,"",IF(AF2095=1,N2098,-N2095))</f>
        <v>11</v>
      </c>
      <c r="AO2095" s="268">
        <f t="shared" ref="AO2095" si="1811">IF(ISBLANK(O2095)=TRUE,"",IF(AG2095=1,O2098,-O2095))</f>
        <v>-7</v>
      </c>
      <c r="AP2095" s="268">
        <f t="shared" ref="AP2095" si="1812">IF(ISBLANK(P2095)=TRUE,"",IF(AH2095=1,P2098,-P2095))</f>
        <v>9</v>
      </c>
      <c r="AQ2095" s="268">
        <f t="shared" ref="AQ2095" si="1813">IF(ISBLANK(Q2095)=TRUE,"",IF(AI2095=1,Q2098,-Q2095))</f>
        <v>8</v>
      </c>
      <c r="AR2095" s="268" t="str">
        <f t="shared" ref="AR2095" si="1814">IF(ISBLANK(R2095)=TRUE,"",IF(AJ2095=1,R2098,-R2095))</f>
        <v/>
      </c>
      <c r="AS2095" s="268" t="str">
        <f t="shared" ref="AS2095" si="1815">IF(ISBLANK(S2095)=TRUE,"",IF(AK2095=1,S2098,-S2095))</f>
        <v/>
      </c>
      <c r="AT2095" s="268" t="str">
        <f t="shared" ref="AT2095" si="1816">IF(ISBLANK(T2095)=TRUE,"",IF(AL2095=1,T2098,-T2095))</f>
        <v/>
      </c>
      <c r="AZ2095" s="269" t="s">
        <v>12</v>
      </c>
      <c r="BA2095" s="269">
        <v>1</v>
      </c>
    </row>
    <row r="2096" spans="1:53" ht="39.950000000000003" customHeight="1">
      <c r="E2096" s="264"/>
      <c r="F2096" s="265"/>
      <c r="G2096" s="509"/>
      <c r="H2096" s="495"/>
      <c r="I2096" s="487"/>
      <c r="J2096" s="487"/>
      <c r="K2096" s="487"/>
      <c r="L2096" s="487"/>
      <c r="M2096" s="263"/>
      <c r="N2096" s="490"/>
      <c r="O2096" s="490"/>
      <c r="P2096" s="490"/>
      <c r="Q2096" s="490"/>
      <c r="R2096" s="490"/>
      <c r="S2096" s="490"/>
      <c r="T2096" s="490"/>
      <c r="U2096" s="263"/>
      <c r="V2096" s="493"/>
      <c r="W2096" s="267"/>
      <c r="X2096" s="263"/>
      <c r="AE2096" s="253" t="str">
        <f>VLOOKUP(I2098,vylosovanie!$F$8:$L$190,7,0)</f>
        <v>D41</v>
      </c>
      <c r="AF2096" s="268">
        <f>IF(N2098&gt;N2095,1,0)</f>
        <v>0</v>
      </c>
      <c r="AG2096" s="268">
        <f t="shared" ref="AG2096" si="1817">IF(O2098&gt;O2095,1,0)</f>
        <v>1</v>
      </c>
      <c r="AH2096" s="268">
        <f t="shared" ref="AH2096" si="1818">IF(P2098&gt;P2095,1,0)</f>
        <v>0</v>
      </c>
      <c r="AI2096" s="268">
        <f t="shared" ref="AI2096" si="1819">IF(Q2098&gt;Q2095,1,0)</f>
        <v>0</v>
      </c>
      <c r="AJ2096" s="268">
        <f t="shared" ref="AJ2096" si="1820">IF(R2098&gt;R2095,1,0)</f>
        <v>0</v>
      </c>
      <c r="AK2096" s="268">
        <f t="shared" ref="AK2096" si="1821">IF(S2098&gt;S2095,1,0)</f>
        <v>0</v>
      </c>
      <c r="AL2096" s="268">
        <f t="shared" ref="AL2096" si="1822">IF(T2098&gt;T2095,1,0)</f>
        <v>0</v>
      </c>
      <c r="AN2096" s="268">
        <f t="shared" ref="AN2096" si="1823">IF(ISBLANK(N2098)=TRUE,"",IF(AF2096=1,N2095,-N2098))</f>
        <v>-11</v>
      </c>
      <c r="AO2096" s="268">
        <f t="shared" ref="AO2096" si="1824">IF(ISBLANK(O2098)=TRUE,"",IF(AG2096=1,O2095,-O2098))</f>
        <v>7</v>
      </c>
      <c r="AP2096" s="268">
        <f t="shared" ref="AP2096" si="1825">IF(ISBLANK(P2098)=TRUE,"",IF(AH2096=1,P2095,-P2098))</f>
        <v>-9</v>
      </c>
      <c r="AQ2096" s="268">
        <f t="shared" ref="AQ2096" si="1826">IF(ISBLANK(Q2098)=TRUE,"",IF(AI2096=1,Q2095,-Q2098))</f>
        <v>-8</v>
      </c>
      <c r="AR2096" s="268" t="str">
        <f t="shared" ref="AR2096" si="1827">IF(ISBLANK(R2098)=TRUE,"",IF(AJ2096=1,R2095,-R2098))</f>
        <v/>
      </c>
      <c r="AS2096" s="268" t="str">
        <f t="shared" ref="AS2096" si="1828">IF(ISBLANK(S2098)=TRUE,"",IF(AK2096=1,S2095,-S2098))</f>
        <v/>
      </c>
      <c r="AT2096" s="268" t="str">
        <f t="shared" ref="AT2096" si="1829">IF(ISBLANK(T2098)=TRUE,"",IF(AL2096=1,T2095,-T2098))</f>
        <v/>
      </c>
      <c r="AZ2096" s="269" t="s">
        <v>18</v>
      </c>
      <c r="BA2096" s="269">
        <v>2</v>
      </c>
    </row>
    <row r="2097" spans="1:53" ht="39.950000000000003" customHeight="1">
      <c r="E2097" s="264" t="s">
        <v>35</v>
      </c>
      <c r="F2097" s="265" t="str">
        <f>VLOOKUP(CONCATENATE(A2093,1),'zoznam zapasov'!$A$6:$K$160,9,0)</f>
        <v>So</v>
      </c>
      <c r="G2097" s="263"/>
      <c r="H2097" s="263"/>
      <c r="I2097" s="263"/>
      <c r="J2097" s="263"/>
      <c r="K2097" s="263"/>
      <c r="L2097" s="263"/>
      <c r="M2097" s="263"/>
      <c r="N2097" s="263"/>
      <c r="O2097" s="263"/>
      <c r="P2097" s="263"/>
      <c r="Q2097" s="263"/>
      <c r="R2097" s="263"/>
      <c r="S2097" s="263"/>
      <c r="T2097" s="263"/>
      <c r="U2097" s="263"/>
      <c r="V2097" s="263"/>
      <c r="W2097" s="267"/>
      <c r="X2097" s="263"/>
      <c r="AZ2097" s="269" t="s">
        <v>38</v>
      </c>
      <c r="BA2097" s="269">
        <v>3</v>
      </c>
    </row>
    <row r="2098" spans="1:53" ht="39.950000000000003" customHeight="1">
      <c r="A2098" s="252" t="str">
        <f>CONCATENATE(A2093,2)</f>
        <v>DP42</v>
      </c>
      <c r="E2098" s="264" t="s">
        <v>28</v>
      </c>
      <c r="F2098" s="270" t="str">
        <f>VLOOKUP(CONCATENATE(A2093,1),'zoznam zapasov'!$A$6:$K$160,10,0)</f>
        <v>15.30</v>
      </c>
      <c r="G2098" s="508"/>
      <c r="H2098" s="486"/>
      <c r="I2098" s="487" t="str">
        <f>IF(ISERROR(VLOOKUP(A2098,'KO KODY SPOLU'!$A$3:$B$189,2,0))=TRUE,"",VLOOKUP(A2098,'KO KODY SPOLU'!$A$3:$B$189,2,0))</f>
        <v>DZELINSKA Júlia</v>
      </c>
      <c r="J2098" s="487"/>
      <c r="K2098" s="487"/>
      <c r="L2098" s="487"/>
      <c r="M2098" s="263"/>
      <c r="N2098" s="489">
        <v>11</v>
      </c>
      <c r="O2098" s="489">
        <v>11</v>
      </c>
      <c r="P2098" s="489">
        <v>9</v>
      </c>
      <c r="Q2098" s="489">
        <v>8</v>
      </c>
      <c r="R2098" s="489"/>
      <c r="S2098" s="489"/>
      <c r="T2098" s="489"/>
      <c r="U2098" s="263"/>
      <c r="V2098" s="493">
        <f>IF(SUM(AF2095:AL2096)=0,"",SUM(AF2096:AL2096))</f>
        <v>1</v>
      </c>
      <c r="W2098" s="267"/>
      <c r="X2098" s="263"/>
      <c r="AZ2098" s="269" t="s">
        <v>39</v>
      </c>
      <c r="BA2098" s="269">
        <v>4</v>
      </c>
    </row>
    <row r="2099" spans="1:53" ht="39.950000000000003" customHeight="1">
      <c r="E2099" s="271"/>
      <c r="F2099" s="272"/>
      <c r="G2099" s="509"/>
      <c r="H2099" s="486"/>
      <c r="I2099" s="487"/>
      <c r="J2099" s="487"/>
      <c r="K2099" s="487"/>
      <c r="L2099" s="487"/>
      <c r="M2099" s="263"/>
      <c r="N2099" s="490"/>
      <c r="O2099" s="490"/>
      <c r="P2099" s="490"/>
      <c r="Q2099" s="490"/>
      <c r="R2099" s="490"/>
      <c r="S2099" s="490"/>
      <c r="T2099" s="490"/>
      <c r="U2099" s="263"/>
      <c r="V2099" s="493"/>
      <c r="W2099" s="267"/>
      <c r="X2099" s="263"/>
      <c r="AZ2099" s="269" t="s">
        <v>40</v>
      </c>
      <c r="BA2099" s="269">
        <v>5</v>
      </c>
    </row>
    <row r="2100" spans="1:53" ht="39.950000000000003" customHeight="1">
      <c r="E2100" s="264" t="s">
        <v>66</v>
      </c>
      <c r="F2100" s="265" t="s">
        <v>39</v>
      </c>
      <c r="G2100" s="263"/>
      <c r="H2100" s="263"/>
      <c r="I2100" s="263"/>
      <c r="J2100" s="263"/>
      <c r="K2100" s="263"/>
      <c r="L2100" s="263"/>
      <c r="M2100" s="263"/>
      <c r="N2100" s="263"/>
      <c r="O2100" s="263"/>
      <c r="P2100" s="263"/>
      <c r="Q2100" s="263"/>
      <c r="R2100" s="263"/>
      <c r="S2100" s="263"/>
      <c r="T2100" s="263"/>
      <c r="U2100" s="263"/>
      <c r="V2100" s="263"/>
      <c r="W2100" s="267"/>
      <c r="X2100" s="263"/>
      <c r="AZ2100" s="269" t="s">
        <v>41</v>
      </c>
      <c r="BA2100" s="269">
        <v>6</v>
      </c>
    </row>
    <row r="2101" spans="1:53" ht="39.950000000000003" customHeight="1">
      <c r="E2101" s="271"/>
      <c r="F2101" s="272"/>
      <c r="G2101" s="263"/>
      <c r="H2101" s="263"/>
      <c r="I2101" s="263" t="s">
        <v>32</v>
      </c>
      <c r="J2101" s="263"/>
      <c r="K2101" s="263"/>
      <c r="L2101" s="263"/>
      <c r="M2101" s="263"/>
      <c r="N2101" s="273"/>
      <c r="O2101" s="266"/>
      <c r="P2101" s="266" t="s">
        <v>34</v>
      </c>
      <c r="Q2101" s="266"/>
      <c r="R2101" s="266"/>
      <c r="S2101" s="266"/>
      <c r="T2101" s="266"/>
      <c r="U2101" s="263"/>
      <c r="V2101" s="263"/>
      <c r="W2101" s="267"/>
      <c r="X2101" s="263"/>
      <c r="AZ2101" s="269" t="s">
        <v>42</v>
      </c>
      <c r="BA2101" s="269">
        <v>7</v>
      </c>
    </row>
    <row r="2102" spans="1:53" ht="39.950000000000003" customHeight="1">
      <c r="E2102" s="264" t="s">
        <v>26</v>
      </c>
      <c r="F2102" s="265" t="s">
        <v>128</v>
      </c>
      <c r="G2102" s="263"/>
      <c r="H2102" s="263"/>
      <c r="I2102" s="486"/>
      <c r="J2102" s="486"/>
      <c r="K2102" s="486"/>
      <c r="L2102" s="486"/>
      <c r="M2102" s="263"/>
      <c r="N2102" s="486" t="str">
        <f>IF(V2095&gt;V2098,I2095,IF(V2098&gt;V2095,I2098,""))</f>
        <v>SLOBODNÍKOVÁ Hana</v>
      </c>
      <c r="O2102" s="486"/>
      <c r="P2102" s="486"/>
      <c r="Q2102" s="486"/>
      <c r="R2102" s="486"/>
      <c r="S2102" s="486"/>
      <c r="T2102" s="263"/>
      <c r="U2102" s="263"/>
      <c r="V2102" s="263"/>
      <c r="W2102" s="267"/>
      <c r="X2102" s="263"/>
      <c r="AZ2102" s="269" t="s">
        <v>43</v>
      </c>
      <c r="BA2102" s="269">
        <v>8</v>
      </c>
    </row>
    <row r="2103" spans="1:53" ht="39.950000000000003" customHeight="1">
      <c r="E2103" s="271"/>
      <c r="F2103" s="272"/>
      <c r="G2103" s="263"/>
      <c r="H2103" s="263"/>
      <c r="I2103" s="486"/>
      <c r="J2103" s="486"/>
      <c r="K2103" s="486"/>
      <c r="L2103" s="486"/>
      <c r="M2103" s="263"/>
      <c r="N2103" s="486"/>
      <c r="O2103" s="486"/>
      <c r="P2103" s="486"/>
      <c r="Q2103" s="486"/>
      <c r="R2103" s="486"/>
      <c r="S2103" s="486"/>
      <c r="T2103" s="263"/>
      <c r="U2103" s="263"/>
      <c r="V2103" s="263"/>
      <c r="W2103" s="267"/>
      <c r="X2103" s="263"/>
    </row>
    <row r="2104" spans="1:53" ht="39.950000000000003" customHeight="1">
      <c r="E2104" s="264" t="s">
        <v>27</v>
      </c>
      <c r="F2104" s="274" t="s">
        <v>164</v>
      </c>
      <c r="G2104" s="263"/>
      <c r="H2104" s="263"/>
      <c r="I2104" s="263"/>
      <c r="J2104" s="263"/>
      <c r="K2104" s="263"/>
      <c r="L2104" s="263"/>
      <c r="M2104" s="263"/>
      <c r="N2104" s="263"/>
      <c r="O2104" s="263"/>
      <c r="P2104" s="263"/>
      <c r="Q2104" s="263"/>
      <c r="R2104" s="263"/>
      <c r="S2104" s="263"/>
      <c r="T2104" s="263"/>
      <c r="U2104" s="263"/>
      <c r="V2104" s="263"/>
      <c r="W2104" s="267"/>
      <c r="X2104" s="263"/>
    </row>
    <row r="2105" spans="1:53" ht="39.950000000000003" customHeight="1">
      <c r="E2105" s="271"/>
      <c r="F2105" s="272"/>
      <c r="G2105" s="263"/>
      <c r="H2105" s="263" t="s">
        <v>33</v>
      </c>
      <c r="I2105" s="263"/>
      <c r="J2105" s="263"/>
      <c r="K2105" s="263"/>
      <c r="L2105" s="263"/>
      <c r="M2105" s="263"/>
      <c r="N2105" s="263"/>
      <c r="O2105" s="263"/>
      <c r="P2105" s="263"/>
      <c r="Q2105" s="263"/>
      <c r="R2105" s="263"/>
      <c r="S2105" s="263"/>
      <c r="T2105" s="263"/>
      <c r="U2105" s="263"/>
      <c r="V2105" s="263"/>
      <c r="W2105" s="267"/>
      <c r="X2105" s="263"/>
    </row>
    <row r="2106" spans="1:53" ht="39.950000000000003" customHeight="1">
      <c r="E2106" s="271"/>
      <c r="F2106" s="272"/>
      <c r="G2106" s="263"/>
      <c r="H2106" s="263"/>
      <c r="I2106" s="263"/>
      <c r="J2106" s="263"/>
      <c r="K2106" s="263"/>
      <c r="L2106" s="263"/>
      <c r="M2106" s="263"/>
      <c r="N2106" s="263"/>
      <c r="O2106" s="263"/>
      <c r="P2106" s="263"/>
      <c r="Q2106" s="263"/>
      <c r="R2106" s="263"/>
      <c r="S2106" s="263"/>
      <c r="T2106" s="263"/>
      <c r="U2106" s="263"/>
      <c r="V2106" s="263"/>
      <c r="W2106" s="267"/>
      <c r="X2106" s="263"/>
    </row>
    <row r="2107" spans="1:53" ht="39.950000000000003" customHeight="1">
      <c r="E2107" s="271"/>
      <c r="F2107" s="272"/>
      <c r="G2107" s="263"/>
      <c r="H2107" s="263"/>
      <c r="I2107" s="496" t="str">
        <f>I2095</f>
        <v>SLOBODNÍKOVÁ Hana</v>
      </c>
      <c r="J2107" s="496"/>
      <c r="K2107" s="496"/>
      <c r="L2107" s="496"/>
      <c r="M2107" s="263"/>
      <c r="N2107" s="263"/>
      <c r="O2107" s="263"/>
      <c r="P2107" s="496" t="str">
        <f>I2098</f>
        <v>DZELINSKA Júlia</v>
      </c>
      <c r="Q2107" s="496"/>
      <c r="R2107" s="496"/>
      <c r="S2107" s="496"/>
      <c r="T2107" s="497"/>
      <c r="U2107" s="497"/>
      <c r="V2107" s="263"/>
      <c r="W2107" s="267"/>
      <c r="X2107" s="263"/>
    </row>
    <row r="2108" spans="1:53" ht="69.95" customHeight="1">
      <c r="E2108" s="264"/>
      <c r="F2108" s="265"/>
      <c r="G2108" s="263"/>
      <c r="H2108" s="275" t="s">
        <v>36</v>
      </c>
      <c r="I2108" s="483"/>
      <c r="J2108" s="494"/>
      <c r="K2108" s="494"/>
      <c r="L2108" s="495"/>
      <c r="M2108" s="263"/>
      <c r="N2108" s="263"/>
      <c r="O2108" s="275" t="s">
        <v>36</v>
      </c>
      <c r="P2108" s="486"/>
      <c r="Q2108" s="486"/>
      <c r="R2108" s="486"/>
      <c r="S2108" s="486"/>
      <c r="T2108" s="486"/>
      <c r="U2108" s="486"/>
      <c r="V2108" s="263"/>
      <c r="W2108" s="267"/>
      <c r="X2108" s="263"/>
    </row>
    <row r="2109" spans="1:53" ht="69.95" customHeight="1">
      <c r="E2109" s="264"/>
      <c r="F2109" s="265"/>
      <c r="G2109" s="263"/>
      <c r="H2109" s="275" t="s">
        <v>37</v>
      </c>
      <c r="I2109" s="486"/>
      <c r="J2109" s="486"/>
      <c r="K2109" s="486"/>
      <c r="L2109" s="486"/>
      <c r="M2109" s="263"/>
      <c r="N2109" s="263"/>
      <c r="O2109" s="275" t="s">
        <v>37</v>
      </c>
      <c r="P2109" s="486"/>
      <c r="Q2109" s="486"/>
      <c r="R2109" s="486"/>
      <c r="S2109" s="486"/>
      <c r="T2109" s="486"/>
      <c r="U2109" s="486"/>
      <c r="V2109" s="263"/>
      <c r="W2109" s="267"/>
      <c r="X2109" s="263"/>
    </row>
    <row r="2110" spans="1:53" ht="69.95" customHeight="1">
      <c r="E2110" s="264"/>
      <c r="F2110" s="265"/>
      <c r="G2110" s="263"/>
      <c r="H2110" s="275" t="s">
        <v>37</v>
      </c>
      <c r="I2110" s="486"/>
      <c r="J2110" s="486"/>
      <c r="K2110" s="486"/>
      <c r="L2110" s="486"/>
      <c r="M2110" s="263"/>
      <c r="N2110" s="263"/>
      <c r="O2110" s="275" t="s">
        <v>37</v>
      </c>
      <c r="P2110" s="486"/>
      <c r="Q2110" s="486"/>
      <c r="R2110" s="486"/>
      <c r="S2110" s="486"/>
      <c r="T2110" s="486"/>
      <c r="U2110" s="486"/>
      <c r="V2110" s="263"/>
      <c r="W2110" s="267"/>
      <c r="X2110" s="263"/>
    </row>
    <row r="2111" spans="1:53" ht="39.950000000000003" customHeight="1" thickBot="1">
      <c r="E2111" s="276"/>
      <c r="F2111" s="277"/>
      <c r="G2111" s="278"/>
      <c r="H2111" s="278"/>
      <c r="I2111" s="278"/>
      <c r="J2111" s="278"/>
      <c r="K2111" s="278"/>
      <c r="L2111" s="278"/>
      <c r="M2111" s="278"/>
      <c r="N2111" s="278"/>
      <c r="O2111" s="278"/>
      <c r="P2111" s="278"/>
      <c r="Q2111" s="278"/>
      <c r="R2111" s="278"/>
      <c r="S2111" s="278"/>
      <c r="T2111" s="279"/>
      <c r="U2111" s="279"/>
      <c r="V2111" s="279"/>
      <c r="W2111" s="280"/>
      <c r="X2111" s="263"/>
    </row>
    <row r="2112" spans="1:53" ht="62.25" thickBot="1"/>
    <row r="2113" spans="1:53" ht="39.950000000000003" customHeight="1">
      <c r="A2113" s="252" t="str">
        <f>CONCATENATE(F2120,F2122,F2124)</f>
        <v>DP5</v>
      </c>
      <c r="E2113" s="259" t="s">
        <v>70</v>
      </c>
      <c r="F2113" s="260">
        <f>VLOOKUP(CONCATENATE(A2113,1),'zoznam zapasov'!$A$6:$K$160,3,0)</f>
        <v>105</v>
      </c>
      <c r="G2113" s="261"/>
      <c r="H2113" s="322" t="s">
        <v>501</v>
      </c>
      <c r="I2113" s="261"/>
      <c r="J2113" s="261"/>
      <c r="K2113" s="261"/>
      <c r="L2113" s="261"/>
      <c r="M2113" s="261"/>
      <c r="N2113" s="261"/>
      <c r="O2113" s="261"/>
      <c r="P2113" s="261"/>
      <c r="Q2113" s="261"/>
      <c r="R2113" s="261"/>
      <c r="S2113" s="261"/>
      <c r="T2113" s="261"/>
      <c r="U2113" s="261"/>
      <c r="V2113" s="261" t="s">
        <v>30</v>
      </c>
      <c r="W2113" s="262"/>
      <c r="X2113" s="263"/>
      <c r="Y2113" s="253" t="str">
        <f>A2115</f>
        <v>DP51</v>
      </c>
      <c r="Z2113" s="258" t="str">
        <f>CONCATENATE(V2115,":",V2118)</f>
        <v>3:1</v>
      </c>
      <c r="AA2113" s="255" t="str">
        <f>N2122</f>
        <v>ŠINKAROVÁ Dáša</v>
      </c>
      <c r="AB2113" s="255" t="str">
        <f>IF(V2115&gt;V2118,AV2113,IF(V2118&gt;V2115,AV2114,""))</f>
        <v xml:space="preserve">3:1 ( 4,-8,9,3,,, ) </v>
      </c>
      <c r="AC2113" s="255" t="str">
        <f>CONCATENATE("Tbl.: ",F2115,"   H: ",F2118,"   D: ",F2117)</f>
        <v>Tbl.: 5   H: 15.30   D: So</v>
      </c>
      <c r="AE2113" s="253" t="s">
        <v>11</v>
      </c>
      <c r="AV2113" s="256" t="str">
        <f>CONCATENATE(V2115,":",V2118, " ( ",AN2115,",",AO2115,",",AP2115,",",AQ2115,",",AR2115,",",AS2115,",",AT2115," ) ")</f>
        <v xml:space="preserve">3:1 ( 4,-8,9,3,,, ) </v>
      </c>
    </row>
    <row r="2114" spans="1:53" ht="39.950000000000003" customHeight="1">
      <c r="E2114" s="264"/>
      <c r="F2114" s="265"/>
      <c r="G2114" s="321" t="s">
        <v>500</v>
      </c>
      <c r="H2114" s="323" t="s">
        <v>502</v>
      </c>
      <c r="I2114" s="263"/>
      <c r="J2114" s="263"/>
      <c r="K2114" s="263"/>
      <c r="L2114" s="263"/>
      <c r="M2114" s="263"/>
      <c r="N2114" s="266">
        <v>1</v>
      </c>
      <c r="O2114" s="266">
        <v>2</v>
      </c>
      <c r="P2114" s="266">
        <v>3</v>
      </c>
      <c r="Q2114" s="266">
        <v>4</v>
      </c>
      <c r="R2114" s="266">
        <v>5</v>
      </c>
      <c r="S2114" s="266">
        <v>6</v>
      </c>
      <c r="T2114" s="266">
        <v>7</v>
      </c>
      <c r="U2114" s="263"/>
      <c r="V2114" s="266" t="s">
        <v>31</v>
      </c>
      <c r="W2114" s="267"/>
      <c r="X2114" s="263"/>
      <c r="AE2114" s="253" t="s">
        <v>68</v>
      </c>
      <c r="AV2114" s="256" t="str">
        <f>CONCATENATE(V2118,":",V2115, " ( ",AN2116,",",AO2116,",",AP2116,",",AQ2116,",",AR2116,",",AS2116,",",AT2116," ) ")</f>
        <v xml:space="preserve">1:3 ( -4,8,-9,-3,,, ) </v>
      </c>
    </row>
    <row r="2115" spans="1:53" ht="39.950000000000003" customHeight="1">
      <c r="A2115" s="252" t="str">
        <f>CONCATENATE(A2113,1)</f>
        <v>DP51</v>
      </c>
      <c r="E2115" s="264" t="s">
        <v>29</v>
      </c>
      <c r="F2115" s="265">
        <f>VLOOKUP(CONCATENATE(A2113,1),'zoznam zapasov'!$A$6:$K$160,11,0)</f>
        <v>5</v>
      </c>
      <c r="G2115" s="508"/>
      <c r="H2115" s="495"/>
      <c r="I2115" s="487" t="str">
        <f>IF(ISERROR(VLOOKUP(A2115,'KO KODY SPOLU'!$A$3:$B$189,2,0))=TRUE,"",VLOOKUP(A2115,'KO KODY SPOLU'!$A$3:$B$189,2,0))</f>
        <v>ŠINKAROVÁ Dáša</v>
      </c>
      <c r="J2115" s="487"/>
      <c r="K2115" s="487"/>
      <c r="L2115" s="487"/>
      <c r="M2115" s="263"/>
      <c r="N2115" s="489">
        <v>11</v>
      </c>
      <c r="O2115" s="489">
        <v>8</v>
      </c>
      <c r="P2115" s="489">
        <v>11</v>
      </c>
      <c r="Q2115" s="489">
        <v>11</v>
      </c>
      <c r="R2115" s="489"/>
      <c r="S2115" s="489"/>
      <c r="T2115" s="489"/>
      <c r="U2115" s="263"/>
      <c r="V2115" s="493">
        <f>IF(SUM(AF2115:AL2116)=0,"",SUM(AF2115:AL2115))</f>
        <v>3</v>
      </c>
      <c r="W2115" s="267"/>
      <c r="X2115" s="263"/>
      <c r="AE2115" s="253" t="str">
        <f>VLOOKUP(I2115,vylosovanie!$F$8:$L$190,7,0)</f>
        <v>D31</v>
      </c>
      <c r="AF2115" s="268">
        <f>IF(N2115&gt;N2118,1,0)</f>
        <v>1</v>
      </c>
      <c r="AG2115" s="268">
        <f t="shared" ref="AG2115" si="1830">IF(O2115&gt;O2118,1,0)</f>
        <v>0</v>
      </c>
      <c r="AH2115" s="268">
        <f t="shared" ref="AH2115" si="1831">IF(P2115&gt;P2118,1,0)</f>
        <v>1</v>
      </c>
      <c r="AI2115" s="268">
        <f t="shared" ref="AI2115" si="1832">IF(Q2115&gt;Q2118,1,0)</f>
        <v>1</v>
      </c>
      <c r="AJ2115" s="268">
        <f t="shared" ref="AJ2115" si="1833">IF(R2115&gt;R2118,1,0)</f>
        <v>0</v>
      </c>
      <c r="AK2115" s="268">
        <f t="shared" ref="AK2115" si="1834">IF(S2115&gt;S2118,1,0)</f>
        <v>0</v>
      </c>
      <c r="AL2115" s="268">
        <f t="shared" ref="AL2115" si="1835">IF(T2115&gt;T2118,1,0)</f>
        <v>0</v>
      </c>
      <c r="AN2115" s="268">
        <f t="shared" ref="AN2115" si="1836">IF(ISBLANK(N2115)=TRUE,"",IF(AF2115=1,N2118,-N2115))</f>
        <v>4</v>
      </c>
      <c r="AO2115" s="268">
        <f t="shared" ref="AO2115" si="1837">IF(ISBLANK(O2115)=TRUE,"",IF(AG2115=1,O2118,-O2115))</f>
        <v>-8</v>
      </c>
      <c r="AP2115" s="268">
        <f t="shared" ref="AP2115" si="1838">IF(ISBLANK(P2115)=TRUE,"",IF(AH2115=1,P2118,-P2115))</f>
        <v>9</v>
      </c>
      <c r="AQ2115" s="268">
        <f t="shared" ref="AQ2115" si="1839">IF(ISBLANK(Q2115)=TRUE,"",IF(AI2115=1,Q2118,-Q2115))</f>
        <v>3</v>
      </c>
      <c r="AR2115" s="268" t="str">
        <f t="shared" ref="AR2115" si="1840">IF(ISBLANK(R2115)=TRUE,"",IF(AJ2115=1,R2118,-R2115))</f>
        <v/>
      </c>
      <c r="AS2115" s="268" t="str">
        <f t="shared" ref="AS2115" si="1841">IF(ISBLANK(S2115)=TRUE,"",IF(AK2115=1,S2118,-S2115))</f>
        <v/>
      </c>
      <c r="AT2115" s="268" t="str">
        <f t="shared" ref="AT2115" si="1842">IF(ISBLANK(T2115)=TRUE,"",IF(AL2115=1,T2118,-T2115))</f>
        <v/>
      </c>
      <c r="AZ2115" s="269" t="s">
        <v>12</v>
      </c>
      <c r="BA2115" s="269">
        <v>1</v>
      </c>
    </row>
    <row r="2116" spans="1:53" ht="39.950000000000003" customHeight="1">
      <c r="E2116" s="264"/>
      <c r="F2116" s="265"/>
      <c r="G2116" s="509"/>
      <c r="H2116" s="495"/>
      <c r="I2116" s="487"/>
      <c r="J2116" s="487"/>
      <c r="K2116" s="487"/>
      <c r="L2116" s="487"/>
      <c r="M2116" s="263"/>
      <c r="N2116" s="490"/>
      <c r="O2116" s="490"/>
      <c r="P2116" s="490"/>
      <c r="Q2116" s="490"/>
      <c r="R2116" s="490"/>
      <c r="S2116" s="490"/>
      <c r="T2116" s="490"/>
      <c r="U2116" s="263"/>
      <c r="V2116" s="493"/>
      <c r="W2116" s="267"/>
      <c r="X2116" s="263"/>
      <c r="AE2116" s="253" t="str">
        <f>VLOOKUP(I2118,vylosovanie!$F$8:$L$190,7,0)</f>
        <v>D12</v>
      </c>
      <c r="AF2116" s="268">
        <f>IF(N2118&gt;N2115,1,0)</f>
        <v>0</v>
      </c>
      <c r="AG2116" s="268">
        <f t="shared" ref="AG2116" si="1843">IF(O2118&gt;O2115,1,0)</f>
        <v>1</v>
      </c>
      <c r="AH2116" s="268">
        <f t="shared" ref="AH2116" si="1844">IF(P2118&gt;P2115,1,0)</f>
        <v>0</v>
      </c>
      <c r="AI2116" s="268">
        <f t="shared" ref="AI2116" si="1845">IF(Q2118&gt;Q2115,1,0)</f>
        <v>0</v>
      </c>
      <c r="AJ2116" s="268">
        <f t="shared" ref="AJ2116" si="1846">IF(R2118&gt;R2115,1,0)</f>
        <v>0</v>
      </c>
      <c r="AK2116" s="268">
        <f t="shared" ref="AK2116" si="1847">IF(S2118&gt;S2115,1,0)</f>
        <v>0</v>
      </c>
      <c r="AL2116" s="268">
        <f t="shared" ref="AL2116" si="1848">IF(T2118&gt;T2115,1,0)</f>
        <v>0</v>
      </c>
      <c r="AN2116" s="268">
        <f t="shared" ref="AN2116" si="1849">IF(ISBLANK(N2118)=TRUE,"",IF(AF2116=1,N2115,-N2118))</f>
        <v>-4</v>
      </c>
      <c r="AO2116" s="268">
        <f t="shared" ref="AO2116" si="1850">IF(ISBLANK(O2118)=TRUE,"",IF(AG2116=1,O2115,-O2118))</f>
        <v>8</v>
      </c>
      <c r="AP2116" s="268">
        <f t="shared" ref="AP2116" si="1851">IF(ISBLANK(P2118)=TRUE,"",IF(AH2116=1,P2115,-P2118))</f>
        <v>-9</v>
      </c>
      <c r="AQ2116" s="268">
        <f t="shared" ref="AQ2116" si="1852">IF(ISBLANK(Q2118)=TRUE,"",IF(AI2116=1,Q2115,-Q2118))</f>
        <v>-3</v>
      </c>
      <c r="AR2116" s="268" t="str">
        <f t="shared" ref="AR2116" si="1853">IF(ISBLANK(R2118)=TRUE,"",IF(AJ2116=1,R2115,-R2118))</f>
        <v/>
      </c>
      <c r="AS2116" s="268" t="str">
        <f t="shared" ref="AS2116" si="1854">IF(ISBLANK(S2118)=TRUE,"",IF(AK2116=1,S2115,-S2118))</f>
        <v/>
      </c>
      <c r="AT2116" s="268" t="str">
        <f t="shared" ref="AT2116" si="1855">IF(ISBLANK(T2118)=TRUE,"",IF(AL2116=1,T2115,-T2118))</f>
        <v/>
      </c>
      <c r="AZ2116" s="269" t="s">
        <v>18</v>
      </c>
      <c r="BA2116" s="269">
        <v>2</v>
      </c>
    </row>
    <row r="2117" spans="1:53" ht="39.950000000000003" customHeight="1">
      <c r="E2117" s="264" t="s">
        <v>35</v>
      </c>
      <c r="F2117" s="265" t="str">
        <f>VLOOKUP(CONCATENATE(A2113,1),'zoznam zapasov'!$A$6:$K$160,9,0)</f>
        <v>So</v>
      </c>
      <c r="G2117" s="263"/>
      <c r="H2117" s="263"/>
      <c r="I2117" s="263"/>
      <c r="J2117" s="263"/>
      <c r="K2117" s="263"/>
      <c r="L2117" s="263"/>
      <c r="M2117" s="263"/>
      <c r="N2117" s="263"/>
      <c r="O2117" s="263"/>
      <c r="P2117" s="263"/>
      <c r="Q2117" s="263"/>
      <c r="R2117" s="263"/>
      <c r="S2117" s="263"/>
      <c r="T2117" s="263"/>
      <c r="U2117" s="263"/>
      <c r="V2117" s="263"/>
      <c r="W2117" s="267"/>
      <c r="X2117" s="263"/>
      <c r="AZ2117" s="269" t="s">
        <v>38</v>
      </c>
      <c r="BA2117" s="269">
        <v>3</v>
      </c>
    </row>
    <row r="2118" spans="1:53" ht="39.950000000000003" customHeight="1">
      <c r="A2118" s="252" t="str">
        <f>CONCATENATE(A2113,2)</f>
        <v>DP52</v>
      </c>
      <c r="E2118" s="264" t="s">
        <v>28</v>
      </c>
      <c r="F2118" s="270" t="str">
        <f>VLOOKUP(CONCATENATE(A2113,1),'zoznam zapasov'!$A$6:$K$160,10,0)</f>
        <v>15.30</v>
      </c>
      <c r="G2118" s="508"/>
      <c r="H2118" s="486"/>
      <c r="I2118" s="487" t="str">
        <f>IF(ISERROR(VLOOKUP(A2118,'KO KODY SPOLU'!$A$3:$B$189,2,0))=TRUE,"",VLOOKUP(A2118,'KO KODY SPOLU'!$A$3:$B$189,2,0))</f>
        <v>CHYLOVÁ Sabína</v>
      </c>
      <c r="J2118" s="487"/>
      <c r="K2118" s="487"/>
      <c r="L2118" s="487"/>
      <c r="M2118" s="263"/>
      <c r="N2118" s="489">
        <v>4</v>
      </c>
      <c r="O2118" s="489">
        <v>11</v>
      </c>
      <c r="P2118" s="489">
        <v>9</v>
      </c>
      <c r="Q2118" s="489">
        <v>3</v>
      </c>
      <c r="R2118" s="489"/>
      <c r="S2118" s="489"/>
      <c r="T2118" s="489"/>
      <c r="U2118" s="263"/>
      <c r="V2118" s="493">
        <f>IF(SUM(AF2115:AL2116)=0,"",SUM(AF2116:AL2116))</f>
        <v>1</v>
      </c>
      <c r="W2118" s="267"/>
      <c r="X2118" s="263"/>
      <c r="AZ2118" s="269" t="s">
        <v>39</v>
      </c>
      <c r="BA2118" s="269">
        <v>4</v>
      </c>
    </row>
    <row r="2119" spans="1:53" ht="39.950000000000003" customHeight="1">
      <c r="E2119" s="271"/>
      <c r="F2119" s="272"/>
      <c r="G2119" s="509"/>
      <c r="H2119" s="486"/>
      <c r="I2119" s="487"/>
      <c r="J2119" s="487"/>
      <c r="K2119" s="487"/>
      <c r="L2119" s="487"/>
      <c r="M2119" s="263"/>
      <c r="N2119" s="490"/>
      <c r="O2119" s="490"/>
      <c r="P2119" s="490"/>
      <c r="Q2119" s="490"/>
      <c r="R2119" s="490"/>
      <c r="S2119" s="490"/>
      <c r="T2119" s="490"/>
      <c r="U2119" s="263"/>
      <c r="V2119" s="493"/>
      <c r="W2119" s="267"/>
      <c r="X2119" s="263"/>
      <c r="AZ2119" s="269" t="s">
        <v>40</v>
      </c>
      <c r="BA2119" s="269">
        <v>5</v>
      </c>
    </row>
    <row r="2120" spans="1:53" ht="39.950000000000003" customHeight="1">
      <c r="E2120" s="264" t="s">
        <v>66</v>
      </c>
      <c r="F2120" s="265" t="s">
        <v>39</v>
      </c>
      <c r="G2120" s="263"/>
      <c r="H2120" s="263"/>
      <c r="I2120" s="263"/>
      <c r="J2120" s="263"/>
      <c r="K2120" s="263"/>
      <c r="L2120" s="263"/>
      <c r="M2120" s="263"/>
      <c r="N2120" s="263"/>
      <c r="O2120" s="263"/>
      <c r="P2120" s="263"/>
      <c r="Q2120" s="263"/>
      <c r="R2120" s="263"/>
      <c r="S2120" s="263"/>
      <c r="T2120" s="263"/>
      <c r="U2120" s="263"/>
      <c r="V2120" s="263"/>
      <c r="W2120" s="267"/>
      <c r="X2120" s="263"/>
      <c r="AZ2120" s="269" t="s">
        <v>41</v>
      </c>
      <c r="BA2120" s="269">
        <v>6</v>
      </c>
    </row>
    <row r="2121" spans="1:53" ht="39.950000000000003" customHeight="1">
      <c r="E2121" s="271"/>
      <c r="F2121" s="272"/>
      <c r="G2121" s="263"/>
      <c r="H2121" s="263"/>
      <c r="I2121" s="263" t="s">
        <v>32</v>
      </c>
      <c r="J2121" s="263"/>
      <c r="K2121" s="263"/>
      <c r="L2121" s="263"/>
      <c r="M2121" s="263"/>
      <c r="N2121" s="273"/>
      <c r="O2121" s="266"/>
      <c r="P2121" s="266" t="s">
        <v>34</v>
      </c>
      <c r="Q2121" s="266"/>
      <c r="R2121" s="266"/>
      <c r="S2121" s="266"/>
      <c r="T2121" s="266"/>
      <c r="U2121" s="263"/>
      <c r="V2121" s="263"/>
      <c r="W2121" s="267"/>
      <c r="X2121" s="263"/>
      <c r="AZ2121" s="269" t="s">
        <v>42</v>
      </c>
      <c r="BA2121" s="269">
        <v>7</v>
      </c>
    </row>
    <row r="2122" spans="1:53" ht="39.950000000000003" customHeight="1">
      <c r="E2122" s="264" t="s">
        <v>26</v>
      </c>
      <c r="F2122" s="265" t="s">
        <v>128</v>
      </c>
      <c r="G2122" s="263"/>
      <c r="H2122" s="263"/>
      <c r="I2122" s="486"/>
      <c r="J2122" s="486"/>
      <c r="K2122" s="486"/>
      <c r="L2122" s="486"/>
      <c r="M2122" s="263"/>
      <c r="N2122" s="486" t="str">
        <f>IF(V2115&gt;V2118,I2115,IF(V2118&gt;V2115,I2118,""))</f>
        <v>ŠINKAROVÁ Dáša</v>
      </c>
      <c r="O2122" s="486"/>
      <c r="P2122" s="486"/>
      <c r="Q2122" s="486"/>
      <c r="R2122" s="486"/>
      <c r="S2122" s="486"/>
      <c r="T2122" s="263"/>
      <c r="U2122" s="263"/>
      <c r="V2122" s="263"/>
      <c r="W2122" s="267"/>
      <c r="X2122" s="263"/>
      <c r="AZ2122" s="269" t="s">
        <v>43</v>
      </c>
      <c r="BA2122" s="269">
        <v>8</v>
      </c>
    </row>
    <row r="2123" spans="1:53" ht="39.950000000000003" customHeight="1">
      <c r="E2123" s="271"/>
      <c r="F2123" s="272"/>
      <c r="G2123" s="263"/>
      <c r="H2123" s="263"/>
      <c r="I2123" s="486"/>
      <c r="J2123" s="486"/>
      <c r="K2123" s="486"/>
      <c r="L2123" s="486"/>
      <c r="M2123" s="263"/>
      <c r="N2123" s="486"/>
      <c r="O2123" s="486"/>
      <c r="P2123" s="486"/>
      <c r="Q2123" s="486"/>
      <c r="R2123" s="486"/>
      <c r="S2123" s="486"/>
      <c r="T2123" s="263"/>
      <c r="U2123" s="263"/>
      <c r="V2123" s="263"/>
      <c r="W2123" s="267"/>
      <c r="X2123" s="263"/>
    </row>
    <row r="2124" spans="1:53" ht="39.950000000000003" customHeight="1">
      <c r="E2124" s="264" t="s">
        <v>27</v>
      </c>
      <c r="F2124" s="274" t="s">
        <v>310</v>
      </c>
      <c r="G2124" s="263"/>
      <c r="H2124" s="263"/>
      <c r="I2124" s="263"/>
      <c r="J2124" s="263"/>
      <c r="K2124" s="263"/>
      <c r="L2124" s="263"/>
      <c r="M2124" s="263"/>
      <c r="N2124" s="263"/>
      <c r="O2124" s="263"/>
      <c r="P2124" s="263"/>
      <c r="Q2124" s="263"/>
      <c r="R2124" s="263"/>
      <c r="S2124" s="263"/>
      <c r="T2124" s="263"/>
      <c r="U2124" s="263"/>
      <c r="V2124" s="263"/>
      <c r="W2124" s="267"/>
      <c r="X2124" s="263"/>
    </row>
    <row r="2125" spans="1:53" ht="39.950000000000003" customHeight="1">
      <c r="E2125" s="271"/>
      <c r="F2125" s="272"/>
      <c r="G2125" s="263"/>
      <c r="H2125" s="263" t="s">
        <v>33</v>
      </c>
      <c r="I2125" s="263"/>
      <c r="J2125" s="263"/>
      <c r="K2125" s="263"/>
      <c r="L2125" s="263"/>
      <c r="M2125" s="263"/>
      <c r="N2125" s="263"/>
      <c r="O2125" s="263"/>
      <c r="P2125" s="263"/>
      <c r="Q2125" s="263"/>
      <c r="R2125" s="263"/>
      <c r="S2125" s="263"/>
      <c r="T2125" s="263"/>
      <c r="U2125" s="263"/>
      <c r="V2125" s="263"/>
      <c r="W2125" s="267"/>
      <c r="X2125" s="263"/>
    </row>
    <row r="2126" spans="1:53" ht="39.950000000000003" customHeight="1">
      <c r="E2126" s="271"/>
      <c r="F2126" s="272"/>
      <c r="G2126" s="263"/>
      <c r="H2126" s="263"/>
      <c r="I2126" s="263"/>
      <c r="J2126" s="263"/>
      <c r="K2126" s="263"/>
      <c r="L2126" s="263"/>
      <c r="M2126" s="263"/>
      <c r="N2126" s="263"/>
      <c r="O2126" s="263"/>
      <c r="P2126" s="263"/>
      <c r="Q2126" s="263"/>
      <c r="R2126" s="263"/>
      <c r="S2126" s="263"/>
      <c r="T2126" s="263"/>
      <c r="U2126" s="263"/>
      <c r="V2126" s="263"/>
      <c r="W2126" s="267"/>
      <c r="X2126" s="263"/>
    </row>
    <row r="2127" spans="1:53" ht="39.950000000000003" customHeight="1">
      <c r="E2127" s="271"/>
      <c r="F2127" s="272"/>
      <c r="G2127" s="263"/>
      <c r="H2127" s="263"/>
      <c r="I2127" s="496" t="str">
        <f>I2115</f>
        <v>ŠINKAROVÁ Dáša</v>
      </c>
      <c r="J2127" s="496"/>
      <c r="K2127" s="496"/>
      <c r="L2127" s="496"/>
      <c r="M2127" s="263"/>
      <c r="N2127" s="263"/>
      <c r="O2127" s="263"/>
      <c r="P2127" s="496" t="str">
        <f>I2118</f>
        <v>CHYLOVÁ Sabína</v>
      </c>
      <c r="Q2127" s="496"/>
      <c r="R2127" s="496"/>
      <c r="S2127" s="496"/>
      <c r="T2127" s="497"/>
      <c r="U2127" s="497"/>
      <c r="V2127" s="263"/>
      <c r="W2127" s="267"/>
      <c r="X2127" s="263"/>
    </row>
    <row r="2128" spans="1:53" ht="69.95" customHeight="1">
      <c r="E2128" s="264"/>
      <c r="F2128" s="265"/>
      <c r="G2128" s="263"/>
      <c r="H2128" s="275" t="s">
        <v>36</v>
      </c>
      <c r="I2128" s="483"/>
      <c r="J2128" s="494"/>
      <c r="K2128" s="494"/>
      <c r="L2128" s="495"/>
      <c r="M2128" s="263"/>
      <c r="N2128" s="263"/>
      <c r="O2128" s="275" t="s">
        <v>36</v>
      </c>
      <c r="P2128" s="486"/>
      <c r="Q2128" s="486"/>
      <c r="R2128" s="486"/>
      <c r="S2128" s="486"/>
      <c r="T2128" s="486"/>
      <c r="U2128" s="486"/>
      <c r="V2128" s="263"/>
      <c r="W2128" s="267"/>
      <c r="X2128" s="263"/>
    </row>
    <row r="2129" spans="1:53" ht="69.95" customHeight="1">
      <c r="E2129" s="264"/>
      <c r="F2129" s="265"/>
      <c r="G2129" s="263"/>
      <c r="H2129" s="275" t="s">
        <v>37</v>
      </c>
      <c r="I2129" s="486"/>
      <c r="J2129" s="486"/>
      <c r="K2129" s="486"/>
      <c r="L2129" s="486"/>
      <c r="M2129" s="263"/>
      <c r="N2129" s="263"/>
      <c r="O2129" s="275" t="s">
        <v>37</v>
      </c>
      <c r="P2129" s="486"/>
      <c r="Q2129" s="486"/>
      <c r="R2129" s="486"/>
      <c r="S2129" s="486"/>
      <c r="T2129" s="486"/>
      <c r="U2129" s="486"/>
      <c r="V2129" s="263"/>
      <c r="W2129" s="267"/>
      <c r="X2129" s="263"/>
    </row>
    <row r="2130" spans="1:53" ht="69.95" customHeight="1">
      <c r="E2130" s="264"/>
      <c r="F2130" s="265"/>
      <c r="G2130" s="263"/>
      <c r="H2130" s="275" t="s">
        <v>37</v>
      </c>
      <c r="I2130" s="486"/>
      <c r="J2130" s="486"/>
      <c r="K2130" s="486"/>
      <c r="L2130" s="486"/>
      <c r="M2130" s="263"/>
      <c r="N2130" s="263"/>
      <c r="O2130" s="275" t="s">
        <v>37</v>
      </c>
      <c r="P2130" s="486"/>
      <c r="Q2130" s="486"/>
      <c r="R2130" s="486"/>
      <c r="S2130" s="486"/>
      <c r="T2130" s="486"/>
      <c r="U2130" s="486"/>
      <c r="V2130" s="263"/>
      <c r="W2130" s="267"/>
      <c r="X2130" s="263"/>
    </row>
    <row r="2131" spans="1:53" ht="39.950000000000003" customHeight="1" thickBot="1">
      <c r="E2131" s="276"/>
      <c r="F2131" s="277"/>
      <c r="G2131" s="278"/>
      <c r="H2131" s="278"/>
      <c r="I2131" s="278"/>
      <c r="J2131" s="278"/>
      <c r="K2131" s="278"/>
      <c r="L2131" s="278"/>
      <c r="M2131" s="278"/>
      <c r="N2131" s="278"/>
      <c r="O2131" s="278"/>
      <c r="P2131" s="278"/>
      <c r="Q2131" s="278"/>
      <c r="R2131" s="278"/>
      <c r="S2131" s="278"/>
      <c r="T2131" s="279"/>
      <c r="U2131" s="279"/>
      <c r="V2131" s="279"/>
      <c r="W2131" s="280"/>
      <c r="X2131" s="263"/>
    </row>
    <row r="2132" spans="1:53" ht="62.25" thickBot="1"/>
    <row r="2133" spans="1:53" ht="39.950000000000003" customHeight="1">
      <c r="A2133" s="252" t="str">
        <f>CONCATENATE(F2140,F2142,F2144)</f>
        <v>DP6</v>
      </c>
      <c r="E2133" s="259" t="s">
        <v>70</v>
      </c>
      <c r="F2133" s="260">
        <f>VLOOKUP(CONCATENATE(A2133,1),'zoznam zapasov'!$A$6:$K$160,3,0)</f>
        <v>106</v>
      </c>
      <c r="G2133" s="261"/>
      <c r="H2133" s="322" t="s">
        <v>501</v>
      </c>
      <c r="I2133" s="261"/>
      <c r="J2133" s="261"/>
      <c r="K2133" s="261"/>
      <c r="L2133" s="261"/>
      <c r="M2133" s="261"/>
      <c r="N2133" s="261"/>
      <c r="O2133" s="261"/>
      <c r="P2133" s="261"/>
      <c r="Q2133" s="261"/>
      <c r="R2133" s="261"/>
      <c r="S2133" s="261"/>
      <c r="T2133" s="261"/>
      <c r="U2133" s="261"/>
      <c r="V2133" s="261" t="s">
        <v>30</v>
      </c>
      <c r="W2133" s="262"/>
      <c r="X2133" s="263"/>
      <c r="Y2133" s="253" t="str">
        <f>A2135</f>
        <v>DP61</v>
      </c>
      <c r="Z2133" s="258" t="str">
        <f>CONCATENATE(V2135,":",V2138)</f>
        <v>1:3</v>
      </c>
      <c r="AA2133" s="255" t="str">
        <f>N2142</f>
        <v>DIVINSKÁ Natália</v>
      </c>
      <c r="AB2133" s="255" t="str">
        <f>IF(V2135&gt;V2138,AV2133,IF(V2138&gt;V2135,AV2134,""))</f>
        <v xml:space="preserve">3:1 ( 10,1,-8,6,,, ) </v>
      </c>
      <c r="AC2133" s="255" t="str">
        <f>CONCATENATE("Tbl.: ",F2135,"   H: ",F2138,"   D: ",F2137)</f>
        <v>Tbl.: 6   H: 15.30   D: So</v>
      </c>
      <c r="AE2133" s="253" t="s">
        <v>11</v>
      </c>
      <c r="AV2133" s="256" t="str">
        <f>CONCATENATE(V2135,":",V2138, " ( ",AN2135,",",AO2135,",",AP2135,",",AQ2135,",",AR2135,",",AS2135,",",AT2135," ) ")</f>
        <v xml:space="preserve">1:3 ( -10,-1,8,-6,,, ) </v>
      </c>
    </row>
    <row r="2134" spans="1:53" ht="39.950000000000003" customHeight="1">
      <c r="E2134" s="264"/>
      <c r="F2134" s="265"/>
      <c r="G2134" s="321" t="s">
        <v>500</v>
      </c>
      <c r="H2134" s="323" t="s">
        <v>502</v>
      </c>
      <c r="I2134" s="263"/>
      <c r="J2134" s="263"/>
      <c r="K2134" s="263"/>
      <c r="L2134" s="263"/>
      <c r="M2134" s="263"/>
      <c r="N2134" s="266">
        <v>1</v>
      </c>
      <c r="O2134" s="266">
        <v>2</v>
      </c>
      <c r="P2134" s="266">
        <v>3</v>
      </c>
      <c r="Q2134" s="266">
        <v>4</v>
      </c>
      <c r="R2134" s="266">
        <v>5</v>
      </c>
      <c r="S2134" s="266">
        <v>6</v>
      </c>
      <c r="T2134" s="266">
        <v>7</v>
      </c>
      <c r="U2134" s="263"/>
      <c r="V2134" s="266" t="s">
        <v>31</v>
      </c>
      <c r="W2134" s="267"/>
      <c r="X2134" s="263"/>
      <c r="AE2134" s="253" t="s">
        <v>68</v>
      </c>
      <c r="AV2134" s="256" t="str">
        <f>CONCATENATE(V2138,":",V2135, " ( ",AN2136,",",AO2136,",",AP2136,",",AQ2136,",",AR2136,",",AS2136,",",AT2136," ) ")</f>
        <v xml:space="preserve">3:1 ( 10,1,-8,6,,, ) </v>
      </c>
    </row>
    <row r="2135" spans="1:53" ht="39.950000000000003" customHeight="1">
      <c r="A2135" s="252" t="str">
        <f>CONCATENATE(A2133,1)</f>
        <v>DP61</v>
      </c>
      <c r="E2135" s="264" t="s">
        <v>29</v>
      </c>
      <c r="F2135" s="265">
        <f>VLOOKUP(CONCATENATE(A2133,1),'zoznam zapasov'!$A$6:$K$160,11,0)</f>
        <v>6</v>
      </c>
      <c r="G2135" s="508"/>
      <c r="H2135" s="495"/>
      <c r="I2135" s="487" t="str">
        <f>IF(ISERROR(VLOOKUP(A2135,'KO KODY SPOLU'!$A$3:$B$189,2,0))=TRUE,"",VLOOKUP(A2135,'KO KODY SPOLU'!$A$3:$B$189,2,0))</f>
        <v>GORFOLOVÁ Viktória</v>
      </c>
      <c r="J2135" s="487"/>
      <c r="K2135" s="487"/>
      <c r="L2135" s="487"/>
      <c r="M2135" s="263"/>
      <c r="N2135" s="489">
        <v>10</v>
      </c>
      <c r="O2135" s="489">
        <v>1</v>
      </c>
      <c r="P2135" s="489">
        <v>11</v>
      </c>
      <c r="Q2135" s="489">
        <v>6</v>
      </c>
      <c r="R2135" s="489"/>
      <c r="S2135" s="489"/>
      <c r="T2135" s="489"/>
      <c r="U2135" s="263"/>
      <c r="V2135" s="493">
        <f>IF(SUM(AF2135:AL2136)=0,"",SUM(AF2135:AL2135))</f>
        <v>1</v>
      </c>
      <c r="W2135" s="267"/>
      <c r="X2135" s="263"/>
      <c r="AE2135" s="253" t="str">
        <f>VLOOKUP(I2135,vylosovanie!$F$8:$L$190,7,0)</f>
        <v>D73</v>
      </c>
      <c r="AF2135" s="268">
        <f>IF(N2135&gt;N2138,1,0)</f>
        <v>0</v>
      </c>
      <c r="AG2135" s="268">
        <f t="shared" ref="AG2135" si="1856">IF(O2135&gt;O2138,1,0)</f>
        <v>0</v>
      </c>
      <c r="AH2135" s="268">
        <f t="shared" ref="AH2135" si="1857">IF(P2135&gt;P2138,1,0)</f>
        <v>1</v>
      </c>
      <c r="AI2135" s="268">
        <f t="shared" ref="AI2135" si="1858">IF(Q2135&gt;Q2138,1,0)</f>
        <v>0</v>
      </c>
      <c r="AJ2135" s="268">
        <f t="shared" ref="AJ2135" si="1859">IF(R2135&gt;R2138,1,0)</f>
        <v>0</v>
      </c>
      <c r="AK2135" s="268">
        <f t="shared" ref="AK2135" si="1860">IF(S2135&gt;S2138,1,0)</f>
        <v>0</v>
      </c>
      <c r="AL2135" s="268">
        <f t="shared" ref="AL2135" si="1861">IF(T2135&gt;T2138,1,0)</f>
        <v>0</v>
      </c>
      <c r="AN2135" s="268">
        <f t="shared" ref="AN2135" si="1862">IF(ISBLANK(N2135)=TRUE,"",IF(AF2135=1,N2138,-N2135))</f>
        <v>-10</v>
      </c>
      <c r="AO2135" s="268">
        <f t="shared" ref="AO2135" si="1863">IF(ISBLANK(O2135)=TRUE,"",IF(AG2135=1,O2138,-O2135))</f>
        <v>-1</v>
      </c>
      <c r="AP2135" s="268">
        <f t="shared" ref="AP2135" si="1864">IF(ISBLANK(P2135)=TRUE,"",IF(AH2135=1,P2138,-P2135))</f>
        <v>8</v>
      </c>
      <c r="AQ2135" s="268">
        <f t="shared" ref="AQ2135" si="1865">IF(ISBLANK(Q2135)=TRUE,"",IF(AI2135=1,Q2138,-Q2135))</f>
        <v>-6</v>
      </c>
      <c r="AR2135" s="268" t="str">
        <f t="shared" ref="AR2135" si="1866">IF(ISBLANK(R2135)=TRUE,"",IF(AJ2135=1,R2138,-R2135))</f>
        <v/>
      </c>
      <c r="AS2135" s="268" t="str">
        <f t="shared" ref="AS2135" si="1867">IF(ISBLANK(S2135)=TRUE,"",IF(AK2135=1,S2138,-S2135))</f>
        <v/>
      </c>
      <c r="AT2135" s="268" t="str">
        <f t="shared" ref="AT2135" si="1868">IF(ISBLANK(T2135)=TRUE,"",IF(AL2135=1,T2138,-T2135))</f>
        <v/>
      </c>
      <c r="AZ2135" s="269" t="s">
        <v>12</v>
      </c>
      <c r="BA2135" s="269">
        <v>1</v>
      </c>
    </row>
    <row r="2136" spans="1:53" ht="39.950000000000003" customHeight="1">
      <c r="E2136" s="264"/>
      <c r="F2136" s="265"/>
      <c r="G2136" s="509"/>
      <c r="H2136" s="495"/>
      <c r="I2136" s="487"/>
      <c r="J2136" s="487"/>
      <c r="K2136" s="487"/>
      <c r="L2136" s="487"/>
      <c r="M2136" s="263">
        <v>4</v>
      </c>
      <c r="N2136" s="490"/>
      <c r="O2136" s="490"/>
      <c r="P2136" s="490"/>
      <c r="Q2136" s="490"/>
      <c r="R2136" s="490"/>
      <c r="S2136" s="490"/>
      <c r="T2136" s="490"/>
      <c r="U2136" s="263"/>
      <c r="V2136" s="493"/>
      <c r="W2136" s="267"/>
      <c r="X2136" s="263"/>
      <c r="AE2136" s="253" t="str">
        <f>VLOOKUP(I2138,vylosovanie!$F$8:$L$190,7,0)</f>
        <v>D51</v>
      </c>
      <c r="AF2136" s="268">
        <f>IF(N2138&gt;N2135,1,0)</f>
        <v>1</v>
      </c>
      <c r="AG2136" s="268">
        <f t="shared" ref="AG2136" si="1869">IF(O2138&gt;O2135,1,0)</f>
        <v>1</v>
      </c>
      <c r="AH2136" s="268">
        <f t="shared" ref="AH2136" si="1870">IF(P2138&gt;P2135,1,0)</f>
        <v>0</v>
      </c>
      <c r="AI2136" s="268">
        <f t="shared" ref="AI2136" si="1871">IF(Q2138&gt;Q2135,1,0)</f>
        <v>1</v>
      </c>
      <c r="AJ2136" s="268">
        <f t="shared" ref="AJ2136" si="1872">IF(R2138&gt;R2135,1,0)</f>
        <v>0</v>
      </c>
      <c r="AK2136" s="268">
        <f t="shared" ref="AK2136" si="1873">IF(S2138&gt;S2135,1,0)</f>
        <v>0</v>
      </c>
      <c r="AL2136" s="268">
        <f t="shared" ref="AL2136" si="1874">IF(T2138&gt;T2135,1,0)</f>
        <v>0</v>
      </c>
      <c r="AN2136" s="268">
        <f t="shared" ref="AN2136" si="1875">IF(ISBLANK(N2138)=TRUE,"",IF(AF2136=1,N2135,-N2138))</f>
        <v>10</v>
      </c>
      <c r="AO2136" s="268">
        <f t="shared" ref="AO2136" si="1876">IF(ISBLANK(O2138)=TRUE,"",IF(AG2136=1,O2135,-O2138))</f>
        <v>1</v>
      </c>
      <c r="AP2136" s="268">
        <f t="shared" ref="AP2136" si="1877">IF(ISBLANK(P2138)=TRUE,"",IF(AH2136=1,P2135,-P2138))</f>
        <v>-8</v>
      </c>
      <c r="AQ2136" s="268">
        <f t="shared" ref="AQ2136" si="1878">IF(ISBLANK(Q2138)=TRUE,"",IF(AI2136=1,Q2135,-Q2138))</f>
        <v>6</v>
      </c>
      <c r="AR2136" s="268" t="str">
        <f t="shared" ref="AR2136" si="1879">IF(ISBLANK(R2138)=TRUE,"",IF(AJ2136=1,R2135,-R2138))</f>
        <v/>
      </c>
      <c r="AS2136" s="268" t="str">
        <f t="shared" ref="AS2136" si="1880">IF(ISBLANK(S2138)=TRUE,"",IF(AK2136=1,S2135,-S2138))</f>
        <v/>
      </c>
      <c r="AT2136" s="268" t="str">
        <f t="shared" ref="AT2136" si="1881">IF(ISBLANK(T2138)=TRUE,"",IF(AL2136=1,T2135,-T2138))</f>
        <v/>
      </c>
      <c r="AZ2136" s="269" t="s">
        <v>18</v>
      </c>
      <c r="BA2136" s="269">
        <v>2</v>
      </c>
    </row>
    <row r="2137" spans="1:53" ht="39.950000000000003" customHeight="1">
      <c r="E2137" s="264" t="s">
        <v>35</v>
      </c>
      <c r="F2137" s="265" t="str">
        <f>VLOOKUP(CONCATENATE(A2133,1),'zoznam zapasov'!$A$6:$K$160,9,0)</f>
        <v>So</v>
      </c>
      <c r="G2137" s="263"/>
      <c r="H2137" s="263"/>
      <c r="I2137" s="263"/>
      <c r="J2137" s="263"/>
      <c r="K2137" s="263"/>
      <c r="L2137" s="263"/>
      <c r="M2137" s="263"/>
      <c r="N2137" s="263"/>
      <c r="O2137" s="263"/>
      <c r="P2137" s="263"/>
      <c r="Q2137" s="263"/>
      <c r="R2137" s="263"/>
      <c r="S2137" s="263"/>
      <c r="T2137" s="263"/>
      <c r="U2137" s="263"/>
      <c r="V2137" s="263"/>
      <c r="W2137" s="267"/>
      <c r="X2137" s="263"/>
      <c r="AZ2137" s="269" t="s">
        <v>38</v>
      </c>
      <c r="BA2137" s="269">
        <v>3</v>
      </c>
    </row>
    <row r="2138" spans="1:53" ht="39.950000000000003" customHeight="1">
      <c r="A2138" s="252" t="str">
        <f>CONCATENATE(A2133,2)</f>
        <v>DP62</v>
      </c>
      <c r="E2138" s="264" t="s">
        <v>28</v>
      </c>
      <c r="F2138" s="270" t="str">
        <f>VLOOKUP(CONCATENATE(A2133,1),'zoznam zapasov'!$A$6:$K$160,10,0)</f>
        <v>15.30</v>
      </c>
      <c r="G2138" s="508"/>
      <c r="H2138" s="486"/>
      <c r="I2138" s="487" t="str">
        <f>IF(ISERROR(VLOOKUP(A2138,'KO KODY SPOLU'!$A$3:$B$189,2,0))=TRUE,"",VLOOKUP(A2138,'KO KODY SPOLU'!$A$3:$B$189,2,0))</f>
        <v>DIVINSKÁ Natália</v>
      </c>
      <c r="J2138" s="487"/>
      <c r="K2138" s="487"/>
      <c r="L2138" s="487"/>
      <c r="M2138" s="263"/>
      <c r="N2138" s="489">
        <v>12</v>
      </c>
      <c r="O2138" s="489">
        <v>11</v>
      </c>
      <c r="P2138" s="489">
        <v>8</v>
      </c>
      <c r="Q2138" s="489">
        <v>11</v>
      </c>
      <c r="R2138" s="489"/>
      <c r="S2138" s="489"/>
      <c r="T2138" s="489"/>
      <c r="U2138" s="263"/>
      <c r="V2138" s="493">
        <f>IF(SUM(AF2135:AL2136)=0,"",SUM(AF2136:AL2136))</f>
        <v>3</v>
      </c>
      <c r="W2138" s="267"/>
      <c r="X2138" s="263"/>
      <c r="AZ2138" s="269" t="s">
        <v>39</v>
      </c>
      <c r="BA2138" s="269">
        <v>4</v>
      </c>
    </row>
    <row r="2139" spans="1:53" ht="39.950000000000003" customHeight="1">
      <c r="E2139" s="271"/>
      <c r="F2139" s="272"/>
      <c r="G2139" s="509"/>
      <c r="H2139" s="486"/>
      <c r="I2139" s="487"/>
      <c r="J2139" s="487"/>
      <c r="K2139" s="487"/>
      <c r="L2139" s="487"/>
      <c r="M2139" s="263"/>
      <c r="N2139" s="490"/>
      <c r="O2139" s="490"/>
      <c r="P2139" s="490"/>
      <c r="Q2139" s="490"/>
      <c r="R2139" s="490"/>
      <c r="S2139" s="490"/>
      <c r="T2139" s="490"/>
      <c r="U2139" s="263"/>
      <c r="V2139" s="493"/>
      <c r="W2139" s="267"/>
      <c r="X2139" s="263"/>
      <c r="AZ2139" s="269" t="s">
        <v>40</v>
      </c>
      <c r="BA2139" s="269">
        <v>5</v>
      </c>
    </row>
    <row r="2140" spans="1:53" ht="39.950000000000003" customHeight="1">
      <c r="E2140" s="264" t="s">
        <v>66</v>
      </c>
      <c r="F2140" s="265" t="s">
        <v>39</v>
      </c>
      <c r="G2140" s="263"/>
      <c r="H2140" s="263"/>
      <c r="I2140" s="263"/>
      <c r="J2140" s="263"/>
      <c r="K2140" s="263"/>
      <c r="L2140" s="263"/>
      <c r="M2140" s="263"/>
      <c r="N2140" s="263"/>
      <c r="O2140" s="263"/>
      <c r="P2140" s="263"/>
      <c r="Q2140" s="263"/>
      <c r="R2140" s="263"/>
      <c r="S2140" s="263"/>
      <c r="T2140" s="263"/>
      <c r="U2140" s="263"/>
      <c r="V2140" s="263"/>
      <c r="W2140" s="267"/>
      <c r="X2140" s="263"/>
      <c r="AZ2140" s="269" t="s">
        <v>41</v>
      </c>
      <c r="BA2140" s="269">
        <v>6</v>
      </c>
    </row>
    <row r="2141" spans="1:53" ht="39.950000000000003" customHeight="1">
      <c r="E2141" s="271"/>
      <c r="F2141" s="272"/>
      <c r="G2141" s="263"/>
      <c r="H2141" s="263"/>
      <c r="I2141" s="263" t="s">
        <v>32</v>
      </c>
      <c r="J2141" s="263"/>
      <c r="K2141" s="263"/>
      <c r="L2141" s="263"/>
      <c r="M2141" s="263"/>
      <c r="N2141" s="273"/>
      <c r="O2141" s="266"/>
      <c r="P2141" s="266" t="s">
        <v>34</v>
      </c>
      <c r="Q2141" s="266"/>
      <c r="R2141" s="266"/>
      <c r="S2141" s="266"/>
      <c r="T2141" s="266"/>
      <c r="U2141" s="263"/>
      <c r="V2141" s="263"/>
      <c r="W2141" s="267"/>
      <c r="X2141" s="263"/>
      <c r="AZ2141" s="269" t="s">
        <v>42</v>
      </c>
      <c r="BA2141" s="269">
        <v>7</v>
      </c>
    </row>
    <row r="2142" spans="1:53" ht="39.950000000000003" customHeight="1">
      <c r="E2142" s="264" t="s">
        <v>26</v>
      </c>
      <c r="F2142" s="265" t="s">
        <v>128</v>
      </c>
      <c r="G2142" s="263"/>
      <c r="H2142" s="263"/>
      <c r="I2142" s="486"/>
      <c r="J2142" s="486"/>
      <c r="K2142" s="486"/>
      <c r="L2142" s="486"/>
      <c r="M2142" s="263"/>
      <c r="N2142" s="486" t="str">
        <f>IF(V2135&gt;V2138,I2135,IF(V2138&gt;V2135,I2138,""))</f>
        <v>DIVINSKÁ Natália</v>
      </c>
      <c r="O2142" s="486"/>
      <c r="P2142" s="486"/>
      <c r="Q2142" s="486"/>
      <c r="R2142" s="486"/>
      <c r="S2142" s="486"/>
      <c r="T2142" s="263"/>
      <c r="U2142" s="263"/>
      <c r="V2142" s="263"/>
      <c r="W2142" s="267"/>
      <c r="X2142" s="263"/>
      <c r="AZ2142" s="269" t="s">
        <v>43</v>
      </c>
      <c r="BA2142" s="269">
        <v>8</v>
      </c>
    </row>
    <row r="2143" spans="1:53" ht="39.950000000000003" customHeight="1">
      <c r="E2143" s="271"/>
      <c r="F2143" s="272"/>
      <c r="G2143" s="263"/>
      <c r="H2143" s="263"/>
      <c r="I2143" s="486"/>
      <c r="J2143" s="486"/>
      <c r="K2143" s="486"/>
      <c r="L2143" s="486"/>
      <c r="M2143" s="263"/>
      <c r="N2143" s="486"/>
      <c r="O2143" s="486"/>
      <c r="P2143" s="486"/>
      <c r="Q2143" s="486"/>
      <c r="R2143" s="486"/>
      <c r="S2143" s="486"/>
      <c r="T2143" s="263"/>
      <c r="U2143" s="263"/>
      <c r="V2143" s="263"/>
      <c r="W2143" s="267"/>
      <c r="X2143" s="263"/>
    </row>
    <row r="2144" spans="1:53" ht="39.950000000000003" customHeight="1">
      <c r="E2144" s="264" t="s">
        <v>27</v>
      </c>
      <c r="F2144" s="274" t="s">
        <v>311</v>
      </c>
      <c r="G2144" s="263"/>
      <c r="H2144" s="263"/>
      <c r="I2144" s="263"/>
      <c r="J2144" s="263"/>
      <c r="K2144" s="263"/>
      <c r="L2144" s="263"/>
      <c r="M2144" s="263"/>
      <c r="N2144" s="263"/>
      <c r="O2144" s="263"/>
      <c r="P2144" s="263"/>
      <c r="Q2144" s="263"/>
      <c r="R2144" s="263"/>
      <c r="S2144" s="263"/>
      <c r="T2144" s="263"/>
      <c r="U2144" s="263"/>
      <c r="V2144" s="263"/>
      <c r="W2144" s="267"/>
      <c r="X2144" s="263"/>
    </row>
    <row r="2145" spans="1:53" ht="39.950000000000003" customHeight="1">
      <c r="E2145" s="271"/>
      <c r="F2145" s="272"/>
      <c r="G2145" s="263"/>
      <c r="H2145" s="263" t="s">
        <v>33</v>
      </c>
      <c r="I2145" s="263"/>
      <c r="J2145" s="263"/>
      <c r="K2145" s="263"/>
      <c r="L2145" s="263"/>
      <c r="M2145" s="263"/>
      <c r="N2145" s="263"/>
      <c r="O2145" s="263"/>
      <c r="P2145" s="263"/>
      <c r="Q2145" s="263"/>
      <c r="R2145" s="263"/>
      <c r="S2145" s="263"/>
      <c r="T2145" s="263"/>
      <c r="U2145" s="263"/>
      <c r="V2145" s="263"/>
      <c r="W2145" s="267"/>
      <c r="X2145" s="263"/>
    </row>
    <row r="2146" spans="1:53" ht="39.950000000000003" customHeight="1">
      <c r="E2146" s="271"/>
      <c r="F2146" s="272"/>
      <c r="G2146" s="263"/>
      <c r="H2146" s="263"/>
      <c r="I2146" s="263"/>
      <c r="J2146" s="263"/>
      <c r="K2146" s="263"/>
      <c r="L2146" s="263"/>
      <c r="M2146" s="263"/>
      <c r="N2146" s="263"/>
      <c r="O2146" s="263"/>
      <c r="P2146" s="263"/>
      <c r="Q2146" s="263"/>
      <c r="R2146" s="263"/>
      <c r="S2146" s="263"/>
      <c r="T2146" s="263"/>
      <c r="U2146" s="263"/>
      <c r="V2146" s="263"/>
      <c r="W2146" s="267"/>
      <c r="X2146" s="263"/>
    </row>
    <row r="2147" spans="1:53" ht="39.950000000000003" customHeight="1">
      <c r="E2147" s="271"/>
      <c r="F2147" s="272"/>
      <c r="G2147" s="263"/>
      <c r="H2147" s="263"/>
      <c r="I2147" s="496" t="str">
        <f>I2135</f>
        <v>GORFOLOVÁ Viktória</v>
      </c>
      <c r="J2147" s="496"/>
      <c r="K2147" s="496"/>
      <c r="L2147" s="496"/>
      <c r="M2147" s="263"/>
      <c r="N2147" s="263"/>
      <c r="O2147" s="263"/>
      <c r="P2147" s="496" t="str">
        <f>I2138</f>
        <v>DIVINSKÁ Natália</v>
      </c>
      <c r="Q2147" s="496"/>
      <c r="R2147" s="496"/>
      <c r="S2147" s="496"/>
      <c r="T2147" s="497"/>
      <c r="U2147" s="497"/>
      <c r="V2147" s="263"/>
      <c r="W2147" s="267"/>
      <c r="X2147" s="263"/>
    </row>
    <row r="2148" spans="1:53" ht="69.95" customHeight="1">
      <c r="E2148" s="264"/>
      <c r="F2148" s="265"/>
      <c r="G2148" s="263"/>
      <c r="H2148" s="275" t="s">
        <v>36</v>
      </c>
      <c r="I2148" s="483"/>
      <c r="J2148" s="494"/>
      <c r="K2148" s="494"/>
      <c r="L2148" s="495"/>
      <c r="M2148" s="263"/>
      <c r="N2148" s="263"/>
      <c r="O2148" s="275" t="s">
        <v>36</v>
      </c>
      <c r="P2148" s="486"/>
      <c r="Q2148" s="486"/>
      <c r="R2148" s="486"/>
      <c r="S2148" s="486"/>
      <c r="T2148" s="486"/>
      <c r="U2148" s="486"/>
      <c r="V2148" s="263"/>
      <c r="W2148" s="267"/>
      <c r="X2148" s="263"/>
    </row>
    <row r="2149" spans="1:53" ht="69.95" customHeight="1">
      <c r="E2149" s="264"/>
      <c r="F2149" s="265"/>
      <c r="G2149" s="263"/>
      <c r="H2149" s="275" t="s">
        <v>37</v>
      </c>
      <c r="I2149" s="486"/>
      <c r="J2149" s="486"/>
      <c r="K2149" s="486"/>
      <c r="L2149" s="486"/>
      <c r="M2149" s="263"/>
      <c r="N2149" s="263"/>
      <c r="O2149" s="275" t="s">
        <v>37</v>
      </c>
      <c r="P2149" s="486"/>
      <c r="Q2149" s="486"/>
      <c r="R2149" s="486"/>
      <c r="S2149" s="486"/>
      <c r="T2149" s="486"/>
      <c r="U2149" s="486"/>
      <c r="V2149" s="263"/>
      <c r="W2149" s="267"/>
      <c r="X2149" s="263"/>
    </row>
    <row r="2150" spans="1:53" ht="69.95" customHeight="1">
      <c r="E2150" s="264"/>
      <c r="F2150" s="265"/>
      <c r="G2150" s="263"/>
      <c r="H2150" s="275" t="s">
        <v>37</v>
      </c>
      <c r="I2150" s="486"/>
      <c r="J2150" s="486"/>
      <c r="K2150" s="486"/>
      <c r="L2150" s="486"/>
      <c r="M2150" s="263"/>
      <c r="N2150" s="263"/>
      <c r="O2150" s="275" t="s">
        <v>37</v>
      </c>
      <c r="P2150" s="486"/>
      <c r="Q2150" s="486"/>
      <c r="R2150" s="486"/>
      <c r="S2150" s="486"/>
      <c r="T2150" s="486"/>
      <c r="U2150" s="486"/>
      <c r="V2150" s="263"/>
      <c r="W2150" s="267"/>
      <c r="X2150" s="263"/>
    </row>
    <row r="2151" spans="1:53" ht="39.950000000000003" customHeight="1" thickBot="1">
      <c r="E2151" s="276"/>
      <c r="F2151" s="277"/>
      <c r="G2151" s="278"/>
      <c r="H2151" s="278"/>
      <c r="I2151" s="278"/>
      <c r="J2151" s="278"/>
      <c r="K2151" s="278"/>
      <c r="L2151" s="278"/>
      <c r="M2151" s="278"/>
      <c r="N2151" s="278"/>
      <c r="O2151" s="278"/>
      <c r="P2151" s="278"/>
      <c r="Q2151" s="278"/>
      <c r="R2151" s="278"/>
      <c r="S2151" s="278"/>
      <c r="T2151" s="279"/>
      <c r="U2151" s="279"/>
      <c r="V2151" s="279"/>
      <c r="W2151" s="280"/>
      <c r="X2151" s="263"/>
    </row>
    <row r="2152" spans="1:53" ht="62.25" thickBot="1"/>
    <row r="2153" spans="1:53" ht="39.950000000000003" customHeight="1">
      <c r="A2153" s="252" t="str">
        <f>CONCATENATE(F2160,F2162,F2164)</f>
        <v>DP7</v>
      </c>
      <c r="E2153" s="259" t="s">
        <v>70</v>
      </c>
      <c r="F2153" s="260">
        <f>VLOOKUP(CONCATENATE(A2153,1),'zoznam zapasov'!$A$6:$K$160,3,0)</f>
        <v>107</v>
      </c>
      <c r="G2153" s="261"/>
      <c r="H2153" s="322" t="s">
        <v>501</v>
      </c>
      <c r="I2153" s="261"/>
      <c r="J2153" s="261"/>
      <c r="K2153" s="261"/>
      <c r="L2153" s="261"/>
      <c r="M2153" s="261"/>
      <c r="N2153" s="261"/>
      <c r="O2153" s="261"/>
      <c r="P2153" s="261"/>
      <c r="Q2153" s="261"/>
      <c r="R2153" s="261"/>
      <c r="S2153" s="261"/>
      <c r="T2153" s="261"/>
      <c r="U2153" s="261"/>
      <c r="V2153" s="261" t="s">
        <v>30</v>
      </c>
      <c r="W2153" s="262"/>
      <c r="X2153" s="263"/>
      <c r="Y2153" s="253" t="str">
        <f>A2155</f>
        <v>DP71</v>
      </c>
      <c r="Z2153" s="258" t="str">
        <f>CONCATENATE(V2155,":",V2158)</f>
        <v>3:0</v>
      </c>
      <c r="AA2153" s="255" t="str">
        <f>N2162</f>
        <v>ŠVAJDLENKOVÁ Laura</v>
      </c>
      <c r="AB2153" s="255" t="str">
        <f>IF(V2155&gt;V2158,AV2153,IF(V2158&gt;V2155,AV2154,""))</f>
        <v xml:space="preserve">3:0 ( ,4,9,5,,, ) </v>
      </c>
      <c r="AC2153" s="255" t="str">
        <f>CONCATENATE("Tbl.: ",F2155,"   H: ",F2158,"   D: ",F2157)</f>
        <v>Tbl.: 7   H: 15.30   D: So</v>
      </c>
      <c r="AE2153" s="253" t="s">
        <v>11</v>
      </c>
      <c r="AV2153" s="256" t="str">
        <f>CONCATENATE(V2155,":",V2158, " ( ",AN2155,",",AO2155,",",AP2155,",",AQ2155,",",AR2155,",",AS2155,",",AT2155," ) ")</f>
        <v xml:space="preserve">3:0 ( ,4,9,5,,, ) </v>
      </c>
    </row>
    <row r="2154" spans="1:53" ht="39.950000000000003" customHeight="1">
      <c r="E2154" s="264"/>
      <c r="F2154" s="265"/>
      <c r="G2154" s="321" t="s">
        <v>500</v>
      </c>
      <c r="H2154" s="323" t="s">
        <v>502</v>
      </c>
      <c r="I2154" s="263"/>
      <c r="J2154" s="263"/>
      <c r="K2154" s="263"/>
      <c r="L2154" s="263"/>
      <c r="M2154" s="263"/>
      <c r="N2154" s="266">
        <v>1</v>
      </c>
      <c r="O2154" s="266">
        <v>2</v>
      </c>
      <c r="P2154" s="266">
        <v>3</v>
      </c>
      <c r="Q2154" s="266">
        <v>4</v>
      </c>
      <c r="R2154" s="266">
        <v>5</v>
      </c>
      <c r="S2154" s="266">
        <v>6</v>
      </c>
      <c r="T2154" s="266">
        <v>7</v>
      </c>
      <c r="U2154" s="263"/>
      <c r="V2154" s="266" t="s">
        <v>31</v>
      </c>
      <c r="W2154" s="267"/>
      <c r="X2154" s="263"/>
      <c r="AE2154" s="253" t="s">
        <v>68</v>
      </c>
      <c r="AV2154" s="256" t="str">
        <f>CONCATENATE(V2158,":",V2155, " ( ",AN2156,",",AO2156,",",AP2156,",",AQ2156,",",AR2156,",",AS2156,",",AT2156," ) ")</f>
        <v xml:space="preserve">0:3 ( ,-4,-9,-5,,, ) </v>
      </c>
    </row>
    <row r="2155" spans="1:53" ht="39.950000000000003" customHeight="1">
      <c r="A2155" s="252" t="str">
        <f>CONCATENATE(A2153,1)</f>
        <v>DP71</v>
      </c>
      <c r="E2155" s="264" t="s">
        <v>29</v>
      </c>
      <c r="F2155" s="265">
        <f>VLOOKUP(CONCATENATE(A2153,1),'zoznam zapasov'!$A$6:$K$160,11,0)</f>
        <v>7</v>
      </c>
      <c r="G2155" s="508"/>
      <c r="H2155" s="495"/>
      <c r="I2155" s="487" t="str">
        <f>IF(ISERROR(VLOOKUP(A2155,'KO KODY SPOLU'!$A$3:$B$189,2,0))=TRUE,"",VLOOKUP(A2155,'KO KODY SPOLU'!$A$3:$B$189,2,0))</f>
        <v>ŠVAJDLENKOVÁ Laura</v>
      </c>
      <c r="J2155" s="487"/>
      <c r="K2155" s="487"/>
      <c r="L2155" s="487"/>
      <c r="M2155" s="263"/>
      <c r="N2155" s="489"/>
      <c r="O2155" s="489">
        <v>11</v>
      </c>
      <c r="P2155" s="489">
        <v>11</v>
      </c>
      <c r="Q2155" s="489">
        <v>11</v>
      </c>
      <c r="R2155" s="489"/>
      <c r="S2155" s="489"/>
      <c r="T2155" s="489"/>
      <c r="U2155" s="263"/>
      <c r="V2155" s="493">
        <f>IF(SUM(AF2155:AL2156)=0,"",SUM(AF2155:AL2155))</f>
        <v>3</v>
      </c>
      <c r="W2155" s="267"/>
      <c r="X2155" s="263"/>
      <c r="AE2155" s="253" t="str">
        <f>VLOOKUP(I2155,vylosovanie!$F$8:$L$190,7,0)</f>
        <v>D61</v>
      </c>
      <c r="AF2155" s="268">
        <f>IF(N2155&gt;N2158,1,0)</f>
        <v>0</v>
      </c>
      <c r="AG2155" s="268">
        <f t="shared" ref="AG2155" si="1882">IF(O2155&gt;O2158,1,0)</f>
        <v>1</v>
      </c>
      <c r="AH2155" s="268">
        <f t="shared" ref="AH2155" si="1883">IF(P2155&gt;P2158,1,0)</f>
        <v>1</v>
      </c>
      <c r="AI2155" s="268">
        <f t="shared" ref="AI2155" si="1884">IF(Q2155&gt;Q2158,1,0)</f>
        <v>1</v>
      </c>
      <c r="AJ2155" s="268">
        <f t="shared" ref="AJ2155" si="1885">IF(R2155&gt;R2158,1,0)</f>
        <v>0</v>
      </c>
      <c r="AK2155" s="268">
        <f t="shared" ref="AK2155" si="1886">IF(S2155&gt;S2158,1,0)</f>
        <v>0</v>
      </c>
      <c r="AL2155" s="268">
        <f t="shared" ref="AL2155" si="1887">IF(T2155&gt;T2158,1,0)</f>
        <v>0</v>
      </c>
      <c r="AN2155" s="268" t="str">
        <f t="shared" ref="AN2155" si="1888">IF(ISBLANK(N2155)=TRUE,"",IF(AF2155=1,N2158,-N2155))</f>
        <v/>
      </c>
      <c r="AO2155" s="268">
        <f t="shared" ref="AO2155" si="1889">IF(ISBLANK(O2155)=TRUE,"",IF(AG2155=1,O2158,-O2155))</f>
        <v>4</v>
      </c>
      <c r="AP2155" s="268">
        <f t="shared" ref="AP2155" si="1890">IF(ISBLANK(P2155)=TRUE,"",IF(AH2155=1,P2158,-P2155))</f>
        <v>9</v>
      </c>
      <c r="AQ2155" s="268">
        <f t="shared" ref="AQ2155" si="1891">IF(ISBLANK(Q2155)=TRUE,"",IF(AI2155=1,Q2158,-Q2155))</f>
        <v>5</v>
      </c>
      <c r="AR2155" s="268" t="str">
        <f t="shared" ref="AR2155" si="1892">IF(ISBLANK(R2155)=TRUE,"",IF(AJ2155=1,R2158,-R2155))</f>
        <v/>
      </c>
      <c r="AS2155" s="268" t="str">
        <f t="shared" ref="AS2155" si="1893">IF(ISBLANK(S2155)=TRUE,"",IF(AK2155=1,S2158,-S2155))</f>
        <v/>
      </c>
      <c r="AT2155" s="268" t="str">
        <f t="shared" ref="AT2155" si="1894">IF(ISBLANK(T2155)=TRUE,"",IF(AL2155=1,T2158,-T2155))</f>
        <v/>
      </c>
      <c r="AZ2155" s="269" t="s">
        <v>12</v>
      </c>
      <c r="BA2155" s="269">
        <v>1</v>
      </c>
    </row>
    <row r="2156" spans="1:53" ht="39.950000000000003" customHeight="1">
      <c r="E2156" s="264"/>
      <c r="F2156" s="265"/>
      <c r="G2156" s="509"/>
      <c r="H2156" s="495"/>
      <c r="I2156" s="487"/>
      <c r="J2156" s="487"/>
      <c r="K2156" s="487"/>
      <c r="L2156" s="487"/>
      <c r="M2156" s="263"/>
      <c r="N2156" s="490"/>
      <c r="O2156" s="490"/>
      <c r="P2156" s="490"/>
      <c r="Q2156" s="490"/>
      <c r="R2156" s="490"/>
      <c r="S2156" s="490"/>
      <c r="T2156" s="490"/>
      <c r="U2156" s="263"/>
      <c r="V2156" s="493"/>
      <c r="W2156" s="267"/>
      <c r="X2156" s="263"/>
      <c r="AE2156" s="253" t="str">
        <f>VLOOKUP(I2158,vylosovanie!$F$8:$L$190,7,0)</f>
        <v>D82</v>
      </c>
      <c r="AF2156" s="268">
        <f>IF(N2158&gt;N2155,1,0)</f>
        <v>0</v>
      </c>
      <c r="AG2156" s="268">
        <f t="shared" ref="AG2156" si="1895">IF(O2158&gt;O2155,1,0)</f>
        <v>0</v>
      </c>
      <c r="AH2156" s="268">
        <f t="shared" ref="AH2156" si="1896">IF(P2158&gt;P2155,1,0)</f>
        <v>0</v>
      </c>
      <c r="AI2156" s="268">
        <f t="shared" ref="AI2156" si="1897">IF(Q2158&gt;Q2155,1,0)</f>
        <v>0</v>
      </c>
      <c r="AJ2156" s="268">
        <f t="shared" ref="AJ2156" si="1898">IF(R2158&gt;R2155,1,0)</f>
        <v>0</v>
      </c>
      <c r="AK2156" s="268">
        <f t="shared" ref="AK2156" si="1899">IF(S2158&gt;S2155,1,0)</f>
        <v>0</v>
      </c>
      <c r="AL2156" s="268">
        <f t="shared" ref="AL2156" si="1900">IF(T2158&gt;T2155,1,0)</f>
        <v>0</v>
      </c>
      <c r="AN2156" s="268" t="str">
        <f t="shared" ref="AN2156" si="1901">IF(ISBLANK(N2158)=TRUE,"",IF(AF2156=1,N2155,-N2158))</f>
        <v/>
      </c>
      <c r="AO2156" s="268">
        <f t="shared" ref="AO2156" si="1902">IF(ISBLANK(O2158)=TRUE,"",IF(AG2156=1,O2155,-O2158))</f>
        <v>-4</v>
      </c>
      <c r="AP2156" s="268">
        <f t="shared" ref="AP2156" si="1903">IF(ISBLANK(P2158)=TRUE,"",IF(AH2156=1,P2155,-P2158))</f>
        <v>-9</v>
      </c>
      <c r="AQ2156" s="268">
        <f t="shared" ref="AQ2156" si="1904">IF(ISBLANK(Q2158)=TRUE,"",IF(AI2156=1,Q2155,-Q2158))</f>
        <v>-5</v>
      </c>
      <c r="AR2156" s="268" t="str">
        <f t="shared" ref="AR2156" si="1905">IF(ISBLANK(R2158)=TRUE,"",IF(AJ2156=1,R2155,-R2158))</f>
        <v/>
      </c>
      <c r="AS2156" s="268" t="str">
        <f t="shared" ref="AS2156" si="1906">IF(ISBLANK(S2158)=TRUE,"",IF(AK2156=1,S2155,-S2158))</f>
        <v/>
      </c>
      <c r="AT2156" s="268" t="str">
        <f t="shared" ref="AT2156" si="1907">IF(ISBLANK(T2158)=TRUE,"",IF(AL2156=1,T2155,-T2158))</f>
        <v/>
      </c>
      <c r="AZ2156" s="269" t="s">
        <v>18</v>
      </c>
      <c r="BA2156" s="269">
        <v>2</v>
      </c>
    </row>
    <row r="2157" spans="1:53" ht="39.950000000000003" customHeight="1">
      <c r="E2157" s="264" t="s">
        <v>35</v>
      </c>
      <c r="F2157" s="265" t="str">
        <f>VLOOKUP(CONCATENATE(A2153,1),'zoznam zapasov'!$A$6:$K$160,9,0)</f>
        <v>So</v>
      </c>
      <c r="G2157" s="263"/>
      <c r="H2157" s="263"/>
      <c r="I2157" s="263"/>
      <c r="J2157" s="263"/>
      <c r="K2157" s="263"/>
      <c r="L2157" s="263"/>
      <c r="M2157" s="263"/>
      <c r="N2157" s="263"/>
      <c r="O2157" s="263"/>
      <c r="P2157" s="263"/>
      <c r="Q2157" s="263"/>
      <c r="R2157" s="263"/>
      <c r="S2157" s="263"/>
      <c r="T2157" s="263"/>
      <c r="U2157" s="263"/>
      <c r="V2157" s="263"/>
      <c r="W2157" s="267"/>
      <c r="X2157" s="263"/>
      <c r="AZ2157" s="269" t="s">
        <v>38</v>
      </c>
      <c r="BA2157" s="269">
        <v>3</v>
      </c>
    </row>
    <row r="2158" spans="1:53" ht="39.950000000000003" customHeight="1">
      <c r="A2158" s="252" t="str">
        <f>CONCATENATE(A2153,2)</f>
        <v>DP72</v>
      </c>
      <c r="E2158" s="264" t="s">
        <v>28</v>
      </c>
      <c r="F2158" s="270" t="str">
        <f>VLOOKUP(CONCATENATE(A2153,1),'zoznam zapasov'!$A$6:$K$160,10,0)</f>
        <v>15.30</v>
      </c>
      <c r="G2158" s="508"/>
      <c r="H2158" s="486"/>
      <c r="I2158" s="487" t="str">
        <f>IF(ISERROR(VLOOKUP(A2158,'KO KODY SPOLU'!$A$3:$B$189,2,0))=TRUE,"",VLOOKUP(A2158,'KO KODY SPOLU'!$A$3:$B$189,2,0))</f>
        <v>VOJTASOVA Patrícia</v>
      </c>
      <c r="J2158" s="487"/>
      <c r="K2158" s="487"/>
      <c r="L2158" s="487"/>
      <c r="M2158" s="263"/>
      <c r="N2158" s="489"/>
      <c r="O2158" s="489">
        <v>4</v>
      </c>
      <c r="P2158" s="489">
        <v>9</v>
      </c>
      <c r="Q2158" s="489">
        <v>5</v>
      </c>
      <c r="R2158" s="489"/>
      <c r="S2158" s="489"/>
      <c r="T2158" s="489"/>
      <c r="U2158" s="263"/>
      <c r="V2158" s="493">
        <f>IF(SUM(AF2155:AL2156)=0,"",SUM(AF2156:AL2156))</f>
        <v>0</v>
      </c>
      <c r="W2158" s="267"/>
      <c r="X2158" s="263"/>
      <c r="AZ2158" s="269" t="s">
        <v>39</v>
      </c>
      <c r="BA2158" s="269">
        <v>4</v>
      </c>
    </row>
    <row r="2159" spans="1:53" ht="39.950000000000003" customHeight="1">
      <c r="E2159" s="271"/>
      <c r="F2159" s="272"/>
      <c r="G2159" s="509"/>
      <c r="H2159" s="486"/>
      <c r="I2159" s="487"/>
      <c r="J2159" s="487"/>
      <c r="K2159" s="487"/>
      <c r="L2159" s="487"/>
      <c r="M2159" s="263"/>
      <c r="N2159" s="490"/>
      <c r="O2159" s="490"/>
      <c r="P2159" s="490"/>
      <c r="Q2159" s="490"/>
      <c r="R2159" s="490"/>
      <c r="S2159" s="490"/>
      <c r="T2159" s="490"/>
      <c r="U2159" s="263"/>
      <c r="V2159" s="493"/>
      <c r="W2159" s="267"/>
      <c r="X2159" s="263"/>
      <c r="AZ2159" s="269" t="s">
        <v>40</v>
      </c>
      <c r="BA2159" s="269">
        <v>5</v>
      </c>
    </row>
    <row r="2160" spans="1:53" ht="39.950000000000003" customHeight="1">
      <c r="E2160" s="264" t="s">
        <v>66</v>
      </c>
      <c r="F2160" s="265" t="s">
        <v>39</v>
      </c>
      <c r="G2160" s="263"/>
      <c r="H2160" s="263"/>
      <c r="I2160" s="263"/>
      <c r="J2160" s="263"/>
      <c r="K2160" s="263"/>
      <c r="L2160" s="263"/>
      <c r="M2160" s="263"/>
      <c r="N2160" s="263"/>
      <c r="O2160" s="263"/>
      <c r="P2160" s="263"/>
      <c r="Q2160" s="263"/>
      <c r="R2160" s="263"/>
      <c r="S2160" s="263"/>
      <c r="T2160" s="263"/>
      <c r="U2160" s="263"/>
      <c r="V2160" s="263"/>
      <c r="W2160" s="267"/>
      <c r="X2160" s="263"/>
      <c r="AZ2160" s="269" t="s">
        <v>41</v>
      </c>
      <c r="BA2160" s="269">
        <v>6</v>
      </c>
    </row>
    <row r="2161" spans="1:53" ht="39.950000000000003" customHeight="1">
      <c r="E2161" s="271"/>
      <c r="F2161" s="272"/>
      <c r="G2161" s="263"/>
      <c r="H2161" s="263"/>
      <c r="I2161" s="263" t="s">
        <v>32</v>
      </c>
      <c r="J2161" s="263"/>
      <c r="K2161" s="263"/>
      <c r="L2161" s="263"/>
      <c r="M2161" s="263"/>
      <c r="N2161" s="273"/>
      <c r="O2161" s="266"/>
      <c r="P2161" s="266" t="s">
        <v>34</v>
      </c>
      <c r="Q2161" s="266"/>
      <c r="R2161" s="266"/>
      <c r="S2161" s="266"/>
      <c r="T2161" s="266"/>
      <c r="U2161" s="263"/>
      <c r="V2161" s="263"/>
      <c r="W2161" s="267"/>
      <c r="X2161" s="263"/>
      <c r="AZ2161" s="269" t="s">
        <v>42</v>
      </c>
      <c r="BA2161" s="269">
        <v>7</v>
      </c>
    </row>
    <row r="2162" spans="1:53" ht="39.950000000000003" customHeight="1">
      <c r="E2162" s="264" t="s">
        <v>26</v>
      </c>
      <c r="F2162" s="265" t="s">
        <v>128</v>
      </c>
      <c r="G2162" s="263"/>
      <c r="H2162" s="263"/>
      <c r="I2162" s="486"/>
      <c r="J2162" s="486"/>
      <c r="K2162" s="486"/>
      <c r="L2162" s="486"/>
      <c r="M2162" s="263"/>
      <c r="N2162" s="486" t="str">
        <f>IF(V2155&gt;V2158,I2155,IF(V2158&gt;V2155,I2158,""))</f>
        <v>ŠVAJDLENKOVÁ Laura</v>
      </c>
      <c r="O2162" s="486"/>
      <c r="P2162" s="486"/>
      <c r="Q2162" s="486"/>
      <c r="R2162" s="486"/>
      <c r="S2162" s="486"/>
      <c r="T2162" s="263"/>
      <c r="U2162" s="263"/>
      <c r="V2162" s="263"/>
      <c r="W2162" s="267"/>
      <c r="X2162" s="263"/>
      <c r="AZ2162" s="269" t="s">
        <v>43</v>
      </c>
      <c r="BA2162" s="269">
        <v>8</v>
      </c>
    </row>
    <row r="2163" spans="1:53" ht="39.950000000000003" customHeight="1">
      <c r="E2163" s="271"/>
      <c r="F2163" s="272"/>
      <c r="G2163" s="263"/>
      <c r="H2163" s="263"/>
      <c r="I2163" s="486"/>
      <c r="J2163" s="486"/>
      <c r="K2163" s="486"/>
      <c r="L2163" s="486"/>
      <c r="M2163" s="263"/>
      <c r="N2163" s="486"/>
      <c r="O2163" s="486"/>
      <c r="P2163" s="486"/>
      <c r="Q2163" s="486"/>
      <c r="R2163" s="486"/>
      <c r="S2163" s="486"/>
      <c r="T2163" s="263"/>
      <c r="U2163" s="263"/>
      <c r="V2163" s="263"/>
      <c r="W2163" s="267"/>
      <c r="X2163" s="263"/>
    </row>
    <row r="2164" spans="1:53" ht="39.950000000000003" customHeight="1">
      <c r="E2164" s="264" t="s">
        <v>27</v>
      </c>
      <c r="F2164" s="274" t="s">
        <v>312</v>
      </c>
      <c r="G2164" s="263"/>
      <c r="H2164" s="263"/>
      <c r="I2164" s="263"/>
      <c r="J2164" s="263"/>
      <c r="K2164" s="263"/>
      <c r="L2164" s="263"/>
      <c r="M2164" s="263"/>
      <c r="N2164" s="263"/>
      <c r="O2164" s="263"/>
      <c r="P2164" s="263"/>
      <c r="Q2164" s="263"/>
      <c r="R2164" s="263"/>
      <c r="S2164" s="263"/>
      <c r="T2164" s="263"/>
      <c r="U2164" s="263"/>
      <c r="V2164" s="263"/>
      <c r="W2164" s="267"/>
      <c r="X2164" s="263"/>
    </row>
    <row r="2165" spans="1:53" ht="39.950000000000003" customHeight="1">
      <c r="E2165" s="271"/>
      <c r="F2165" s="272"/>
      <c r="G2165" s="263"/>
      <c r="H2165" s="263" t="s">
        <v>33</v>
      </c>
      <c r="I2165" s="263"/>
      <c r="J2165" s="263"/>
      <c r="K2165" s="263"/>
      <c r="L2165" s="263"/>
      <c r="M2165" s="263"/>
      <c r="N2165" s="263"/>
      <c r="O2165" s="263"/>
      <c r="P2165" s="263"/>
      <c r="Q2165" s="263"/>
      <c r="R2165" s="263"/>
      <c r="S2165" s="263"/>
      <c r="T2165" s="263"/>
      <c r="U2165" s="263"/>
      <c r="V2165" s="263"/>
      <c r="W2165" s="267"/>
      <c r="X2165" s="263"/>
    </row>
    <row r="2166" spans="1:53" ht="39.950000000000003" customHeight="1">
      <c r="E2166" s="271"/>
      <c r="F2166" s="272"/>
      <c r="G2166" s="263"/>
      <c r="H2166" s="263"/>
      <c r="I2166" s="263"/>
      <c r="J2166" s="263"/>
      <c r="K2166" s="263"/>
      <c r="L2166" s="263"/>
      <c r="M2166" s="263"/>
      <c r="N2166" s="263"/>
      <c r="O2166" s="263"/>
      <c r="P2166" s="263"/>
      <c r="Q2166" s="263"/>
      <c r="R2166" s="263"/>
      <c r="S2166" s="263"/>
      <c r="T2166" s="263"/>
      <c r="U2166" s="263"/>
      <c r="V2166" s="263"/>
      <c r="W2166" s="267"/>
      <c r="X2166" s="263"/>
    </row>
    <row r="2167" spans="1:53" ht="39.950000000000003" customHeight="1">
      <c r="E2167" s="271"/>
      <c r="F2167" s="272"/>
      <c r="G2167" s="263"/>
      <c r="H2167" s="263"/>
      <c r="I2167" s="496" t="str">
        <f>I2155</f>
        <v>ŠVAJDLENKOVÁ Laura</v>
      </c>
      <c r="J2167" s="496"/>
      <c r="K2167" s="496"/>
      <c r="L2167" s="496"/>
      <c r="M2167" s="263"/>
      <c r="N2167" s="263"/>
      <c r="O2167" s="263"/>
      <c r="P2167" s="496" t="str">
        <f>I2158</f>
        <v>VOJTASOVA Patrícia</v>
      </c>
      <c r="Q2167" s="496"/>
      <c r="R2167" s="496"/>
      <c r="S2167" s="496"/>
      <c r="T2167" s="497"/>
      <c r="U2167" s="497"/>
      <c r="V2167" s="263"/>
      <c r="W2167" s="267"/>
      <c r="X2167" s="263"/>
    </row>
    <row r="2168" spans="1:53" ht="69.95" customHeight="1">
      <c r="E2168" s="264"/>
      <c r="F2168" s="265"/>
      <c r="G2168" s="263"/>
      <c r="H2168" s="275" t="s">
        <v>36</v>
      </c>
      <c r="I2168" s="483"/>
      <c r="J2168" s="494"/>
      <c r="K2168" s="494"/>
      <c r="L2168" s="495"/>
      <c r="M2168" s="263"/>
      <c r="N2168" s="263"/>
      <c r="O2168" s="275" t="s">
        <v>36</v>
      </c>
      <c r="P2168" s="486"/>
      <c r="Q2168" s="486"/>
      <c r="R2168" s="486"/>
      <c r="S2168" s="486"/>
      <c r="T2168" s="486"/>
      <c r="U2168" s="486"/>
      <c r="V2168" s="263"/>
      <c r="W2168" s="267"/>
      <c r="X2168" s="263"/>
    </row>
    <row r="2169" spans="1:53" ht="69.95" customHeight="1">
      <c r="E2169" s="264"/>
      <c r="F2169" s="265"/>
      <c r="G2169" s="263"/>
      <c r="H2169" s="275" t="s">
        <v>37</v>
      </c>
      <c r="I2169" s="486"/>
      <c r="J2169" s="486"/>
      <c r="K2169" s="486"/>
      <c r="L2169" s="486"/>
      <c r="M2169" s="263"/>
      <c r="N2169" s="263"/>
      <c r="O2169" s="275" t="s">
        <v>37</v>
      </c>
      <c r="P2169" s="486"/>
      <c r="Q2169" s="486"/>
      <c r="R2169" s="486"/>
      <c r="S2169" s="486"/>
      <c r="T2169" s="486"/>
      <c r="U2169" s="486"/>
      <c r="V2169" s="263"/>
      <c r="W2169" s="267"/>
      <c r="X2169" s="263"/>
    </row>
    <row r="2170" spans="1:53" ht="69.95" customHeight="1">
      <c r="E2170" s="264"/>
      <c r="F2170" s="265"/>
      <c r="G2170" s="263"/>
      <c r="H2170" s="275" t="s">
        <v>37</v>
      </c>
      <c r="I2170" s="486"/>
      <c r="J2170" s="486"/>
      <c r="K2170" s="486"/>
      <c r="L2170" s="486"/>
      <c r="M2170" s="263"/>
      <c r="N2170" s="263"/>
      <c r="O2170" s="275" t="s">
        <v>37</v>
      </c>
      <c r="P2170" s="486"/>
      <c r="Q2170" s="486"/>
      <c r="R2170" s="486"/>
      <c r="S2170" s="486"/>
      <c r="T2170" s="486"/>
      <c r="U2170" s="486"/>
      <c r="V2170" s="263"/>
      <c r="W2170" s="267"/>
      <c r="X2170" s="263"/>
    </row>
    <row r="2171" spans="1:53" ht="39.950000000000003" customHeight="1" thickBot="1">
      <c r="E2171" s="276"/>
      <c r="F2171" s="277"/>
      <c r="G2171" s="278"/>
      <c r="H2171" s="278"/>
      <c r="I2171" s="278"/>
      <c r="J2171" s="278"/>
      <c r="K2171" s="278"/>
      <c r="L2171" s="278"/>
      <c r="M2171" s="278"/>
      <c r="N2171" s="278"/>
      <c r="O2171" s="278"/>
      <c r="P2171" s="278"/>
      <c r="Q2171" s="278"/>
      <c r="R2171" s="278"/>
      <c r="S2171" s="278"/>
      <c r="T2171" s="279"/>
      <c r="U2171" s="279"/>
      <c r="V2171" s="279"/>
      <c r="W2171" s="280"/>
      <c r="X2171" s="263"/>
    </row>
    <row r="2172" spans="1:53" ht="62.25" thickBot="1"/>
    <row r="2173" spans="1:53" ht="39.950000000000003" customHeight="1">
      <c r="A2173" s="252" t="str">
        <f>CONCATENATE(F2180,F2182,F2184)</f>
        <v>DP8</v>
      </c>
      <c r="E2173" s="259" t="s">
        <v>70</v>
      </c>
      <c r="F2173" s="260">
        <f>VLOOKUP(CONCATENATE(A2173,1),'zoznam zapasov'!$A$6:$K$160,3,0)</f>
        <v>108</v>
      </c>
      <c r="G2173" s="261"/>
      <c r="H2173" s="322" t="s">
        <v>501</v>
      </c>
      <c r="I2173" s="261"/>
      <c r="J2173" s="261"/>
      <c r="K2173" s="261"/>
      <c r="L2173" s="261"/>
      <c r="M2173" s="261"/>
      <c r="N2173" s="261"/>
      <c r="O2173" s="261"/>
      <c r="P2173" s="261"/>
      <c r="Q2173" s="261"/>
      <c r="R2173" s="261"/>
      <c r="S2173" s="261"/>
      <c r="T2173" s="261"/>
      <c r="U2173" s="261"/>
      <c r="V2173" s="261" t="s">
        <v>30</v>
      </c>
      <c r="W2173" s="262"/>
      <c r="X2173" s="263"/>
      <c r="Y2173" s="253" t="str">
        <f>A2175</f>
        <v>DP81</v>
      </c>
      <c r="Z2173" s="258" t="str">
        <f>CONCATENATE(V2175,":",V2178)</f>
        <v>0:3</v>
      </c>
      <c r="AA2173" s="255" t="str">
        <f>N2182</f>
        <v>PEKOVÁ Zuzana</v>
      </c>
      <c r="AB2173" s="255" t="str">
        <f>IF(V2175&gt;V2178,AV2173,IF(V2178&gt;V2175,AV2174,""))</f>
        <v xml:space="preserve">3:0 ( 5,5,6,,,, ) </v>
      </c>
      <c r="AC2173" s="255" t="str">
        <f>CONCATENATE("Tbl.: ",F2175,"   H: ",F2178,"   D: ",F2177)</f>
        <v>Tbl.: 8   H: 15.30   D: So</v>
      </c>
      <c r="AE2173" s="253" t="s">
        <v>11</v>
      </c>
      <c r="AV2173" s="256" t="str">
        <f>CONCATENATE(V2175,":",V2178, " ( ",AN2175,",",AO2175,",",AP2175,",",AQ2175,",",AR2175,",",AS2175,",",AT2175," ) ")</f>
        <v xml:space="preserve">0:3 ( -5,-5,-6,,,, ) </v>
      </c>
    </row>
    <row r="2174" spans="1:53" ht="39.950000000000003" customHeight="1">
      <c r="E2174" s="264"/>
      <c r="F2174" s="265"/>
      <c r="G2174" s="321" t="s">
        <v>500</v>
      </c>
      <c r="H2174" s="323" t="s">
        <v>502</v>
      </c>
      <c r="I2174" s="263"/>
      <c r="J2174" s="263"/>
      <c r="K2174" s="263"/>
      <c r="L2174" s="263"/>
      <c r="M2174" s="263"/>
      <c r="N2174" s="266">
        <v>1</v>
      </c>
      <c r="O2174" s="266">
        <v>2</v>
      </c>
      <c r="P2174" s="266">
        <v>3</v>
      </c>
      <c r="Q2174" s="266">
        <v>4</v>
      </c>
      <c r="R2174" s="266">
        <v>5</v>
      </c>
      <c r="S2174" s="266">
        <v>6</v>
      </c>
      <c r="T2174" s="266">
        <v>7</v>
      </c>
      <c r="U2174" s="263"/>
      <c r="V2174" s="266" t="s">
        <v>31</v>
      </c>
      <c r="W2174" s="267"/>
      <c r="X2174" s="263"/>
      <c r="AE2174" s="253" t="s">
        <v>68</v>
      </c>
      <c r="AV2174" s="256" t="str">
        <f>CONCATENATE(V2178,":",V2175, " ( ",AN2176,",",AO2176,",",AP2176,",",AQ2176,",",AR2176,",",AS2176,",",AT2176," ) ")</f>
        <v xml:space="preserve">3:0 ( 5,5,6,,,, ) </v>
      </c>
    </row>
    <row r="2175" spans="1:53" ht="39.950000000000003" customHeight="1">
      <c r="A2175" s="252" t="str">
        <f>CONCATENATE(A2173,1)</f>
        <v>DP81</v>
      </c>
      <c r="E2175" s="264" t="s">
        <v>29</v>
      </c>
      <c r="F2175" s="265">
        <f>VLOOKUP(CONCATENATE(A2173,1),'zoznam zapasov'!$A$6:$K$160,11,0)</f>
        <v>8</v>
      </c>
      <c r="G2175" s="508"/>
      <c r="H2175" s="495"/>
      <c r="I2175" s="487" t="str">
        <f>IF(ISERROR(VLOOKUP(A2175,'KO KODY SPOLU'!$A$3:$B$189,2,0))=TRUE,"",VLOOKUP(A2175,'KO KODY SPOLU'!$A$3:$B$189,2,0))</f>
        <v>HUDÁKOVÁ Ivana</v>
      </c>
      <c r="J2175" s="487"/>
      <c r="K2175" s="487"/>
      <c r="L2175" s="487"/>
      <c r="M2175" s="263"/>
      <c r="N2175" s="489">
        <v>5</v>
      </c>
      <c r="O2175" s="489">
        <v>5</v>
      </c>
      <c r="P2175" s="489">
        <v>6</v>
      </c>
      <c r="Q2175" s="489"/>
      <c r="R2175" s="489"/>
      <c r="S2175" s="489"/>
      <c r="T2175" s="489"/>
      <c r="U2175" s="263"/>
      <c r="V2175" s="493">
        <f>IF(SUM(AF2175:AL2176)=0,"",SUM(AF2175:AL2175))</f>
        <v>0</v>
      </c>
      <c r="W2175" s="267"/>
      <c r="X2175" s="263"/>
      <c r="AE2175" s="253" t="str">
        <f>VLOOKUP(I2175,vylosovanie!$F$8:$L$190,7,0)</f>
        <v>D43</v>
      </c>
      <c r="AF2175" s="268">
        <f>IF(N2175&gt;N2178,1,0)</f>
        <v>0</v>
      </c>
      <c r="AG2175" s="268">
        <f t="shared" ref="AG2175" si="1908">IF(O2175&gt;O2178,1,0)</f>
        <v>0</v>
      </c>
      <c r="AH2175" s="268">
        <f t="shared" ref="AH2175" si="1909">IF(P2175&gt;P2178,1,0)</f>
        <v>0</v>
      </c>
      <c r="AI2175" s="268">
        <f t="shared" ref="AI2175" si="1910">IF(Q2175&gt;Q2178,1,0)</f>
        <v>0</v>
      </c>
      <c r="AJ2175" s="268">
        <f t="shared" ref="AJ2175" si="1911">IF(R2175&gt;R2178,1,0)</f>
        <v>0</v>
      </c>
      <c r="AK2175" s="268">
        <f t="shared" ref="AK2175" si="1912">IF(S2175&gt;S2178,1,0)</f>
        <v>0</v>
      </c>
      <c r="AL2175" s="268">
        <f t="shared" ref="AL2175" si="1913">IF(T2175&gt;T2178,1,0)</f>
        <v>0</v>
      </c>
      <c r="AN2175" s="268">
        <f t="shared" ref="AN2175" si="1914">IF(ISBLANK(N2175)=TRUE,"",IF(AF2175=1,N2178,-N2175))</f>
        <v>-5</v>
      </c>
      <c r="AO2175" s="268">
        <f t="shared" ref="AO2175" si="1915">IF(ISBLANK(O2175)=TRUE,"",IF(AG2175=1,O2178,-O2175))</f>
        <v>-5</v>
      </c>
      <c r="AP2175" s="268">
        <f t="shared" ref="AP2175" si="1916">IF(ISBLANK(P2175)=TRUE,"",IF(AH2175=1,P2178,-P2175))</f>
        <v>-6</v>
      </c>
      <c r="AQ2175" s="268" t="str">
        <f t="shared" ref="AQ2175" si="1917">IF(ISBLANK(Q2175)=TRUE,"",IF(AI2175=1,Q2178,-Q2175))</f>
        <v/>
      </c>
      <c r="AR2175" s="268" t="str">
        <f t="shared" ref="AR2175" si="1918">IF(ISBLANK(R2175)=TRUE,"",IF(AJ2175=1,R2178,-R2175))</f>
        <v/>
      </c>
      <c r="AS2175" s="268" t="str">
        <f t="shared" ref="AS2175" si="1919">IF(ISBLANK(S2175)=TRUE,"",IF(AK2175=1,S2178,-S2175))</f>
        <v/>
      </c>
      <c r="AT2175" s="268" t="str">
        <f t="shared" ref="AT2175" si="1920">IF(ISBLANK(T2175)=TRUE,"",IF(AL2175=1,T2178,-T2175))</f>
        <v/>
      </c>
      <c r="AZ2175" s="269" t="s">
        <v>12</v>
      </c>
      <c r="BA2175" s="269">
        <v>1</v>
      </c>
    </row>
    <row r="2176" spans="1:53" ht="39.950000000000003" customHeight="1">
      <c r="E2176" s="264"/>
      <c r="F2176" s="265"/>
      <c r="G2176" s="509"/>
      <c r="H2176" s="495"/>
      <c r="I2176" s="487"/>
      <c r="J2176" s="487"/>
      <c r="K2176" s="487"/>
      <c r="L2176" s="487"/>
      <c r="M2176" s="263"/>
      <c r="N2176" s="490"/>
      <c r="O2176" s="490"/>
      <c r="P2176" s="490"/>
      <c r="Q2176" s="490"/>
      <c r="R2176" s="490"/>
      <c r="S2176" s="490"/>
      <c r="T2176" s="490"/>
      <c r="U2176" s="263"/>
      <c r="V2176" s="493"/>
      <c r="W2176" s="267"/>
      <c r="X2176" s="263"/>
      <c r="AE2176" s="253" t="str">
        <f>VLOOKUP(I2178,vylosovanie!$F$8:$L$190,7,0)</f>
        <v>D21</v>
      </c>
      <c r="AF2176" s="268">
        <f>IF(N2178&gt;N2175,1,0)</f>
        <v>1</v>
      </c>
      <c r="AG2176" s="268">
        <f t="shared" ref="AG2176" si="1921">IF(O2178&gt;O2175,1,0)</f>
        <v>1</v>
      </c>
      <c r="AH2176" s="268">
        <f t="shared" ref="AH2176" si="1922">IF(P2178&gt;P2175,1,0)</f>
        <v>1</v>
      </c>
      <c r="AI2176" s="268">
        <f t="shared" ref="AI2176" si="1923">IF(Q2178&gt;Q2175,1,0)</f>
        <v>0</v>
      </c>
      <c r="AJ2176" s="268">
        <f t="shared" ref="AJ2176" si="1924">IF(R2178&gt;R2175,1,0)</f>
        <v>0</v>
      </c>
      <c r="AK2176" s="268">
        <f t="shared" ref="AK2176" si="1925">IF(S2178&gt;S2175,1,0)</f>
        <v>0</v>
      </c>
      <c r="AL2176" s="268">
        <f t="shared" ref="AL2176" si="1926">IF(T2178&gt;T2175,1,0)</f>
        <v>0</v>
      </c>
      <c r="AN2176" s="268">
        <f t="shared" ref="AN2176" si="1927">IF(ISBLANK(N2178)=TRUE,"",IF(AF2176=1,N2175,-N2178))</f>
        <v>5</v>
      </c>
      <c r="AO2176" s="268">
        <f t="shared" ref="AO2176" si="1928">IF(ISBLANK(O2178)=TRUE,"",IF(AG2176=1,O2175,-O2178))</f>
        <v>5</v>
      </c>
      <c r="AP2176" s="268">
        <f t="shared" ref="AP2176" si="1929">IF(ISBLANK(P2178)=TRUE,"",IF(AH2176=1,P2175,-P2178))</f>
        <v>6</v>
      </c>
      <c r="AQ2176" s="268" t="str">
        <f t="shared" ref="AQ2176" si="1930">IF(ISBLANK(Q2178)=TRUE,"",IF(AI2176=1,Q2175,-Q2178))</f>
        <v/>
      </c>
      <c r="AR2176" s="268" t="str">
        <f t="shared" ref="AR2176" si="1931">IF(ISBLANK(R2178)=TRUE,"",IF(AJ2176=1,R2175,-R2178))</f>
        <v/>
      </c>
      <c r="AS2176" s="268" t="str">
        <f t="shared" ref="AS2176" si="1932">IF(ISBLANK(S2178)=TRUE,"",IF(AK2176=1,S2175,-S2178))</f>
        <v/>
      </c>
      <c r="AT2176" s="268" t="str">
        <f t="shared" ref="AT2176" si="1933">IF(ISBLANK(T2178)=TRUE,"",IF(AL2176=1,T2175,-T2178))</f>
        <v/>
      </c>
      <c r="AZ2176" s="269" t="s">
        <v>18</v>
      </c>
      <c r="BA2176" s="269">
        <v>2</v>
      </c>
    </row>
    <row r="2177" spans="1:53" ht="39.950000000000003" customHeight="1">
      <c r="E2177" s="264" t="s">
        <v>35</v>
      </c>
      <c r="F2177" s="265" t="str">
        <f>VLOOKUP(CONCATENATE(A2173,1),'zoznam zapasov'!$A$6:$K$160,9,0)</f>
        <v>So</v>
      </c>
      <c r="G2177" s="263"/>
      <c r="H2177" s="263"/>
      <c r="I2177" s="263"/>
      <c r="J2177" s="263"/>
      <c r="K2177" s="263"/>
      <c r="L2177" s="263"/>
      <c r="M2177" s="263"/>
      <c r="N2177" s="263"/>
      <c r="O2177" s="263"/>
      <c r="P2177" s="263"/>
      <c r="Q2177" s="263"/>
      <c r="R2177" s="263"/>
      <c r="S2177" s="263"/>
      <c r="T2177" s="263"/>
      <c r="U2177" s="263"/>
      <c r="V2177" s="263"/>
      <c r="W2177" s="267"/>
      <c r="X2177" s="263"/>
      <c r="AZ2177" s="269" t="s">
        <v>38</v>
      </c>
      <c r="BA2177" s="269">
        <v>3</v>
      </c>
    </row>
    <row r="2178" spans="1:53" ht="39.950000000000003" customHeight="1">
      <c r="A2178" s="252" t="str">
        <f>CONCATENATE(A2173,2)</f>
        <v>DP82</v>
      </c>
      <c r="E2178" s="264" t="s">
        <v>28</v>
      </c>
      <c r="F2178" s="270" t="str">
        <f>VLOOKUP(CONCATENATE(A2173,1),'zoznam zapasov'!$A$6:$K$160,10,0)</f>
        <v>15.30</v>
      </c>
      <c r="G2178" s="508"/>
      <c r="H2178" s="486"/>
      <c r="I2178" s="487" t="str">
        <f>IF(ISERROR(VLOOKUP(A2178,'KO KODY SPOLU'!$A$3:$B$189,2,0))=TRUE,"",VLOOKUP(A2178,'KO KODY SPOLU'!$A$3:$B$189,2,0))</f>
        <v>PEKOVÁ Zuzana</v>
      </c>
      <c r="J2178" s="487"/>
      <c r="K2178" s="487"/>
      <c r="L2178" s="487"/>
      <c r="M2178" s="263"/>
      <c r="N2178" s="489">
        <v>11</v>
      </c>
      <c r="O2178" s="489">
        <v>11</v>
      </c>
      <c r="P2178" s="489">
        <v>11</v>
      </c>
      <c r="Q2178" s="489"/>
      <c r="R2178" s="489"/>
      <c r="S2178" s="489"/>
      <c r="T2178" s="489"/>
      <c r="U2178" s="263"/>
      <c r="V2178" s="493">
        <f>IF(SUM(AF2175:AL2176)=0,"",SUM(AF2176:AL2176))</f>
        <v>3</v>
      </c>
      <c r="W2178" s="267"/>
      <c r="X2178" s="263"/>
      <c r="AZ2178" s="269" t="s">
        <v>39</v>
      </c>
      <c r="BA2178" s="269">
        <v>4</v>
      </c>
    </row>
    <row r="2179" spans="1:53" ht="39.950000000000003" customHeight="1">
      <c r="E2179" s="271"/>
      <c r="F2179" s="272"/>
      <c r="G2179" s="509"/>
      <c r="H2179" s="486"/>
      <c r="I2179" s="487"/>
      <c r="J2179" s="487"/>
      <c r="K2179" s="487"/>
      <c r="L2179" s="487"/>
      <c r="M2179" s="263"/>
      <c r="N2179" s="490"/>
      <c r="O2179" s="490"/>
      <c r="P2179" s="490"/>
      <c r="Q2179" s="490"/>
      <c r="R2179" s="490"/>
      <c r="S2179" s="490"/>
      <c r="T2179" s="490"/>
      <c r="U2179" s="263"/>
      <c r="V2179" s="493"/>
      <c r="W2179" s="267"/>
      <c r="X2179" s="263"/>
      <c r="AZ2179" s="269" t="s">
        <v>40</v>
      </c>
      <c r="BA2179" s="269">
        <v>5</v>
      </c>
    </row>
    <row r="2180" spans="1:53" ht="39.950000000000003" customHeight="1">
      <c r="E2180" s="264" t="s">
        <v>66</v>
      </c>
      <c r="F2180" s="265" t="s">
        <v>39</v>
      </c>
      <c r="G2180" s="263"/>
      <c r="H2180" s="263"/>
      <c r="I2180" s="263"/>
      <c r="J2180" s="263"/>
      <c r="K2180" s="263"/>
      <c r="L2180" s="263"/>
      <c r="M2180" s="263"/>
      <c r="N2180" s="263"/>
      <c r="O2180" s="263"/>
      <c r="P2180" s="263"/>
      <c r="Q2180" s="263"/>
      <c r="R2180" s="263"/>
      <c r="S2180" s="263"/>
      <c r="T2180" s="263"/>
      <c r="U2180" s="263"/>
      <c r="V2180" s="263"/>
      <c r="W2180" s="267"/>
      <c r="X2180" s="263"/>
      <c r="AZ2180" s="269" t="s">
        <v>41</v>
      </c>
      <c r="BA2180" s="269">
        <v>6</v>
      </c>
    </row>
    <row r="2181" spans="1:53" ht="39.950000000000003" customHeight="1">
      <c r="E2181" s="271"/>
      <c r="F2181" s="272"/>
      <c r="G2181" s="263"/>
      <c r="H2181" s="263"/>
      <c r="I2181" s="263" t="s">
        <v>32</v>
      </c>
      <c r="J2181" s="263"/>
      <c r="K2181" s="263"/>
      <c r="L2181" s="263"/>
      <c r="M2181" s="263"/>
      <c r="N2181" s="273"/>
      <c r="O2181" s="266"/>
      <c r="P2181" s="266" t="s">
        <v>34</v>
      </c>
      <c r="Q2181" s="266"/>
      <c r="R2181" s="266"/>
      <c r="S2181" s="266"/>
      <c r="T2181" s="266"/>
      <c r="U2181" s="263"/>
      <c r="V2181" s="263"/>
      <c r="W2181" s="267"/>
      <c r="X2181" s="263"/>
      <c r="AZ2181" s="269" t="s">
        <v>42</v>
      </c>
      <c r="BA2181" s="269">
        <v>7</v>
      </c>
    </row>
    <row r="2182" spans="1:53" ht="39.950000000000003" customHeight="1">
      <c r="E2182" s="264" t="s">
        <v>26</v>
      </c>
      <c r="F2182" s="265" t="s">
        <v>128</v>
      </c>
      <c r="G2182" s="263"/>
      <c r="H2182" s="263"/>
      <c r="I2182" s="486"/>
      <c r="J2182" s="486"/>
      <c r="K2182" s="486"/>
      <c r="L2182" s="486"/>
      <c r="M2182" s="263"/>
      <c r="N2182" s="486" t="str">
        <f>IF(V2175&gt;V2178,I2175,IF(V2178&gt;V2175,I2178,""))</f>
        <v>PEKOVÁ Zuzana</v>
      </c>
      <c r="O2182" s="486"/>
      <c r="P2182" s="486"/>
      <c r="Q2182" s="486"/>
      <c r="R2182" s="486"/>
      <c r="S2182" s="486"/>
      <c r="T2182" s="263"/>
      <c r="U2182" s="263"/>
      <c r="V2182" s="263"/>
      <c r="W2182" s="267"/>
      <c r="X2182" s="263"/>
      <c r="AZ2182" s="269" t="s">
        <v>43</v>
      </c>
      <c r="BA2182" s="269">
        <v>8</v>
      </c>
    </row>
    <row r="2183" spans="1:53" ht="39.950000000000003" customHeight="1">
      <c r="E2183" s="271"/>
      <c r="F2183" s="272"/>
      <c r="G2183" s="263"/>
      <c r="H2183" s="263"/>
      <c r="I2183" s="486"/>
      <c r="J2183" s="486"/>
      <c r="K2183" s="486"/>
      <c r="L2183" s="486"/>
      <c r="M2183" s="263"/>
      <c r="N2183" s="486"/>
      <c r="O2183" s="486"/>
      <c r="P2183" s="486"/>
      <c r="Q2183" s="486"/>
      <c r="R2183" s="486"/>
      <c r="S2183" s="486"/>
      <c r="T2183" s="263"/>
      <c r="U2183" s="263"/>
      <c r="V2183" s="263"/>
      <c r="W2183" s="267"/>
      <c r="X2183" s="263"/>
    </row>
    <row r="2184" spans="1:53" ht="39.950000000000003" customHeight="1">
      <c r="E2184" s="264" t="s">
        <v>27</v>
      </c>
      <c r="F2184" s="274" t="s">
        <v>313</v>
      </c>
      <c r="G2184" s="263"/>
      <c r="H2184" s="263"/>
      <c r="I2184" s="263"/>
      <c r="J2184" s="263"/>
      <c r="K2184" s="263"/>
      <c r="L2184" s="263"/>
      <c r="M2184" s="263"/>
      <c r="N2184" s="263"/>
      <c r="O2184" s="263"/>
      <c r="P2184" s="263"/>
      <c r="Q2184" s="263"/>
      <c r="R2184" s="263"/>
      <c r="S2184" s="263"/>
      <c r="T2184" s="263"/>
      <c r="U2184" s="263"/>
      <c r="V2184" s="263"/>
      <c r="W2184" s="267"/>
      <c r="X2184" s="263"/>
    </row>
    <row r="2185" spans="1:53" ht="39.950000000000003" customHeight="1">
      <c r="E2185" s="271"/>
      <c r="F2185" s="272"/>
      <c r="G2185" s="263"/>
      <c r="H2185" s="263" t="s">
        <v>33</v>
      </c>
      <c r="I2185" s="263"/>
      <c r="J2185" s="263"/>
      <c r="K2185" s="263"/>
      <c r="L2185" s="263"/>
      <c r="M2185" s="263"/>
      <c r="N2185" s="263"/>
      <c r="O2185" s="263"/>
      <c r="P2185" s="263"/>
      <c r="Q2185" s="263"/>
      <c r="R2185" s="263"/>
      <c r="S2185" s="263"/>
      <c r="T2185" s="263"/>
      <c r="U2185" s="263"/>
      <c r="V2185" s="263"/>
      <c r="W2185" s="267"/>
      <c r="X2185" s="263"/>
    </row>
    <row r="2186" spans="1:53" ht="39.950000000000003" customHeight="1">
      <c r="E2186" s="271"/>
      <c r="F2186" s="272"/>
      <c r="G2186" s="263"/>
      <c r="H2186" s="263"/>
      <c r="I2186" s="263"/>
      <c r="J2186" s="263"/>
      <c r="K2186" s="263"/>
      <c r="L2186" s="263"/>
      <c r="M2186" s="263"/>
      <c r="N2186" s="263"/>
      <c r="O2186" s="263"/>
      <c r="P2186" s="263"/>
      <c r="Q2186" s="263"/>
      <c r="R2186" s="263"/>
      <c r="S2186" s="263"/>
      <c r="T2186" s="263"/>
      <c r="U2186" s="263"/>
      <c r="V2186" s="263"/>
      <c r="W2186" s="267"/>
      <c r="X2186" s="263"/>
    </row>
    <row r="2187" spans="1:53" ht="39.950000000000003" customHeight="1">
      <c r="E2187" s="271"/>
      <c r="F2187" s="272"/>
      <c r="G2187" s="263"/>
      <c r="H2187" s="263"/>
      <c r="I2187" s="496" t="str">
        <f>I2175</f>
        <v>HUDÁKOVÁ Ivana</v>
      </c>
      <c r="J2187" s="496"/>
      <c r="K2187" s="496"/>
      <c r="L2187" s="496"/>
      <c r="M2187" s="263"/>
      <c r="N2187" s="263"/>
      <c r="O2187" s="263"/>
      <c r="P2187" s="496" t="str">
        <f>I2178</f>
        <v>PEKOVÁ Zuzana</v>
      </c>
      <c r="Q2187" s="496"/>
      <c r="R2187" s="496"/>
      <c r="S2187" s="496"/>
      <c r="T2187" s="497"/>
      <c r="U2187" s="497"/>
      <c r="V2187" s="263"/>
      <c r="W2187" s="267"/>
      <c r="X2187" s="263"/>
    </row>
    <row r="2188" spans="1:53" ht="69.95" customHeight="1">
      <c r="E2188" s="264"/>
      <c r="F2188" s="265"/>
      <c r="G2188" s="263"/>
      <c r="H2188" s="275" t="s">
        <v>36</v>
      </c>
      <c r="I2188" s="483"/>
      <c r="J2188" s="494"/>
      <c r="K2188" s="494"/>
      <c r="L2188" s="495"/>
      <c r="M2188" s="263"/>
      <c r="N2188" s="263"/>
      <c r="O2188" s="275" t="s">
        <v>36</v>
      </c>
      <c r="P2188" s="486"/>
      <c r="Q2188" s="486"/>
      <c r="R2188" s="486"/>
      <c r="S2188" s="486"/>
      <c r="T2188" s="486"/>
      <c r="U2188" s="486"/>
      <c r="V2188" s="263"/>
      <c r="W2188" s="267"/>
      <c r="X2188" s="263"/>
    </row>
    <row r="2189" spans="1:53" ht="69.95" customHeight="1">
      <c r="E2189" s="264"/>
      <c r="F2189" s="265"/>
      <c r="G2189" s="263"/>
      <c r="H2189" s="275" t="s">
        <v>37</v>
      </c>
      <c r="I2189" s="486"/>
      <c r="J2189" s="486"/>
      <c r="K2189" s="486"/>
      <c r="L2189" s="486"/>
      <c r="M2189" s="263"/>
      <c r="N2189" s="263"/>
      <c r="O2189" s="275" t="s">
        <v>37</v>
      </c>
      <c r="P2189" s="486"/>
      <c r="Q2189" s="486"/>
      <c r="R2189" s="486"/>
      <c r="S2189" s="486"/>
      <c r="T2189" s="486"/>
      <c r="U2189" s="486"/>
      <c r="V2189" s="263"/>
      <c r="W2189" s="267"/>
      <c r="X2189" s="263"/>
    </row>
    <row r="2190" spans="1:53" ht="69.95" customHeight="1">
      <c r="E2190" s="264"/>
      <c r="F2190" s="265"/>
      <c r="G2190" s="263"/>
      <c r="H2190" s="275" t="s">
        <v>37</v>
      </c>
      <c r="I2190" s="486"/>
      <c r="J2190" s="486"/>
      <c r="K2190" s="486"/>
      <c r="L2190" s="486"/>
      <c r="M2190" s="263"/>
      <c r="N2190" s="263"/>
      <c r="O2190" s="275" t="s">
        <v>37</v>
      </c>
      <c r="P2190" s="486"/>
      <c r="Q2190" s="486"/>
      <c r="R2190" s="486"/>
      <c r="S2190" s="486"/>
      <c r="T2190" s="486"/>
      <c r="U2190" s="486"/>
      <c r="V2190" s="263"/>
      <c r="W2190" s="267"/>
      <c r="X2190" s="263"/>
    </row>
    <row r="2191" spans="1:53" ht="39.950000000000003" customHeight="1" thickBot="1">
      <c r="E2191" s="276"/>
      <c r="F2191" s="277"/>
      <c r="G2191" s="278"/>
      <c r="H2191" s="278"/>
      <c r="I2191" s="278"/>
      <c r="J2191" s="278"/>
      <c r="K2191" s="278"/>
      <c r="L2191" s="278"/>
      <c r="M2191" s="278"/>
      <c r="N2191" s="278"/>
      <c r="O2191" s="278"/>
      <c r="P2191" s="278"/>
      <c r="Q2191" s="278"/>
      <c r="R2191" s="278"/>
      <c r="S2191" s="278"/>
      <c r="T2191" s="279"/>
      <c r="U2191" s="279"/>
      <c r="V2191" s="279"/>
      <c r="W2191" s="280"/>
      <c r="X2191" s="263"/>
    </row>
    <row r="2192" spans="1:53" ht="62.25" thickBot="1"/>
    <row r="2193" spans="1:53" ht="39.950000000000003" customHeight="1">
      <c r="A2193" s="252" t="str">
        <f>CONCATENATE(F2200,F2202,F2204)</f>
        <v>CHP1</v>
      </c>
      <c r="E2193" s="259" t="s">
        <v>70</v>
      </c>
      <c r="F2193" s="260">
        <f>VLOOKUP(CONCATENATE(A2193,1),'zoznam zapasov'!$A$6:$K$160,3,0)</f>
        <v>109</v>
      </c>
      <c r="G2193" s="261"/>
      <c r="H2193" s="322" t="s">
        <v>501</v>
      </c>
      <c r="I2193" s="261"/>
      <c r="J2193" s="261"/>
      <c r="K2193" s="261"/>
      <c r="L2193" s="261"/>
      <c r="M2193" s="261"/>
      <c r="N2193" s="261"/>
      <c r="O2193" s="261"/>
      <c r="P2193" s="261"/>
      <c r="Q2193" s="261"/>
      <c r="R2193" s="261"/>
      <c r="S2193" s="261"/>
      <c r="T2193" s="261"/>
      <c r="U2193" s="261"/>
      <c r="V2193" s="261" t="s">
        <v>30</v>
      </c>
      <c r="W2193" s="262"/>
      <c r="X2193" s="263"/>
      <c r="Y2193" s="253" t="str">
        <f>A2195</f>
        <v>CHP11</v>
      </c>
      <c r="Z2193" s="258" t="str">
        <f>CONCATENATE(V2195,":",V2198)</f>
        <v>3:0</v>
      </c>
      <c r="AA2193" s="255" t="str">
        <f>N2202</f>
        <v>DIKO Dalibor</v>
      </c>
      <c r="AB2193" s="255" t="str">
        <f>IF(V2195&gt;V2198,AV2193,IF(V2198&gt;V2195,AV2194,""))</f>
        <v xml:space="preserve">3:0 ( 9,10,9,,,, ) </v>
      </c>
      <c r="AC2193" s="255" t="str">
        <f>CONCATENATE("Tbl.: ",F2195,"   H: ",F2198,"   D: ",F2197)</f>
        <v>Tbl.: 1   H: 16.00   D: So</v>
      </c>
      <c r="AE2193" s="253" t="s">
        <v>11</v>
      </c>
      <c r="AV2193" s="256" t="str">
        <f>CONCATENATE(V2195,":",V2198, " ( ",AN2195,",",AO2195,",",AP2195,",",AQ2195,",",AR2195,",",AS2195,",",AT2195," ) ")</f>
        <v xml:space="preserve">3:0 ( 9,10,9,,,, ) </v>
      </c>
    </row>
    <row r="2194" spans="1:53" ht="39.950000000000003" customHeight="1">
      <c r="E2194" s="264"/>
      <c r="F2194" s="265"/>
      <c r="G2194" s="321" t="s">
        <v>500</v>
      </c>
      <c r="H2194" s="323" t="s">
        <v>502</v>
      </c>
      <c r="I2194" s="263"/>
      <c r="J2194" s="263"/>
      <c r="K2194" s="263"/>
      <c r="L2194" s="263"/>
      <c r="M2194" s="263"/>
      <c r="N2194" s="266">
        <v>1</v>
      </c>
      <c r="O2194" s="266">
        <v>2</v>
      </c>
      <c r="P2194" s="266">
        <v>3</v>
      </c>
      <c r="Q2194" s="266">
        <v>4</v>
      </c>
      <c r="R2194" s="266">
        <v>5</v>
      </c>
      <c r="S2194" s="266">
        <v>6</v>
      </c>
      <c r="T2194" s="266">
        <v>7</v>
      </c>
      <c r="U2194" s="263"/>
      <c r="V2194" s="266" t="s">
        <v>31</v>
      </c>
      <c r="W2194" s="267"/>
      <c r="X2194" s="263"/>
      <c r="AE2194" s="253" t="s">
        <v>68</v>
      </c>
      <c r="AV2194" s="256" t="str">
        <f>CONCATENATE(V2198,":",V2195, " ( ",AN2196,",",AO2196,",",AP2196,",",AQ2196,",",AR2196,",",AS2196,",",AT2196," ) ")</f>
        <v xml:space="preserve">0:3 ( -9,-10,-9,,,, ) </v>
      </c>
    </row>
    <row r="2195" spans="1:53" ht="39.950000000000003" customHeight="1">
      <c r="A2195" s="252" t="str">
        <f>CONCATENATE(A2193,1)</f>
        <v>CHP11</v>
      </c>
      <c r="E2195" s="264" t="s">
        <v>29</v>
      </c>
      <c r="F2195" s="265">
        <f>VLOOKUP(CONCATENATE(A2193,1),'zoznam zapasov'!$A$6:$K$160,11,0)</f>
        <v>1</v>
      </c>
      <c r="G2195" s="508"/>
      <c r="H2195" s="495"/>
      <c r="I2195" s="487" t="str">
        <f>IF(ISERROR(VLOOKUP(A2195,'KO KODY SPOLU'!$A$3:$B$189,2,0))=TRUE,"",VLOOKUP(A2195,'KO KODY SPOLU'!$A$3:$B$189,2,0))</f>
        <v>DIKO Dalibor</v>
      </c>
      <c r="J2195" s="487"/>
      <c r="K2195" s="487"/>
      <c r="L2195" s="487"/>
      <c r="M2195" s="263"/>
      <c r="N2195" s="489">
        <v>11</v>
      </c>
      <c r="O2195" s="489">
        <v>12</v>
      </c>
      <c r="P2195" s="489">
        <v>11</v>
      </c>
      <c r="Q2195" s="489"/>
      <c r="R2195" s="489"/>
      <c r="S2195" s="489"/>
      <c r="T2195" s="489"/>
      <c r="U2195" s="263"/>
      <c r="V2195" s="493">
        <f>IF(SUM(AF2195:AL2196)=0,"",SUM(AF2195:AL2195))</f>
        <v>3</v>
      </c>
      <c r="W2195" s="267"/>
      <c r="X2195" s="263"/>
      <c r="AE2195" s="253" t="str">
        <f>VLOOKUP(I2195,vylosovanie!$F$8:$L$190,7,0)</f>
        <v>CH11</v>
      </c>
      <c r="AF2195" s="268">
        <f>IF(N2195&gt;N2198,1,0)</f>
        <v>1</v>
      </c>
      <c r="AG2195" s="268">
        <f t="shared" ref="AG2195" si="1934">IF(O2195&gt;O2198,1,0)</f>
        <v>1</v>
      </c>
      <c r="AH2195" s="268">
        <f t="shared" ref="AH2195" si="1935">IF(P2195&gt;P2198,1,0)</f>
        <v>1</v>
      </c>
      <c r="AI2195" s="268">
        <f t="shared" ref="AI2195" si="1936">IF(Q2195&gt;Q2198,1,0)</f>
        <v>0</v>
      </c>
      <c r="AJ2195" s="268">
        <f t="shared" ref="AJ2195" si="1937">IF(R2195&gt;R2198,1,0)</f>
        <v>0</v>
      </c>
      <c r="AK2195" s="268">
        <f t="shared" ref="AK2195" si="1938">IF(S2195&gt;S2198,1,0)</f>
        <v>0</v>
      </c>
      <c r="AL2195" s="268">
        <f t="shared" ref="AL2195" si="1939">IF(T2195&gt;T2198,1,0)</f>
        <v>0</v>
      </c>
      <c r="AN2195" s="268">
        <f t="shared" ref="AN2195" si="1940">IF(ISBLANK(N2195)=TRUE,"",IF(AF2195=1,N2198,-N2195))</f>
        <v>9</v>
      </c>
      <c r="AO2195" s="268">
        <f t="shared" ref="AO2195" si="1941">IF(ISBLANK(O2195)=TRUE,"",IF(AG2195=1,O2198,-O2195))</f>
        <v>10</v>
      </c>
      <c r="AP2195" s="268">
        <f t="shared" ref="AP2195" si="1942">IF(ISBLANK(P2195)=TRUE,"",IF(AH2195=1,P2198,-P2195))</f>
        <v>9</v>
      </c>
      <c r="AQ2195" s="268" t="str">
        <f t="shared" ref="AQ2195" si="1943">IF(ISBLANK(Q2195)=TRUE,"",IF(AI2195=1,Q2198,-Q2195))</f>
        <v/>
      </c>
      <c r="AR2195" s="268" t="str">
        <f t="shared" ref="AR2195" si="1944">IF(ISBLANK(R2195)=TRUE,"",IF(AJ2195=1,R2198,-R2195))</f>
        <v/>
      </c>
      <c r="AS2195" s="268" t="str">
        <f t="shared" ref="AS2195" si="1945">IF(ISBLANK(S2195)=TRUE,"",IF(AK2195=1,S2198,-S2195))</f>
        <v/>
      </c>
      <c r="AT2195" s="268" t="str">
        <f t="shared" ref="AT2195" si="1946">IF(ISBLANK(T2195)=TRUE,"",IF(AL2195=1,T2198,-T2195))</f>
        <v/>
      </c>
      <c r="AZ2195" s="269" t="s">
        <v>12</v>
      </c>
      <c r="BA2195" s="269">
        <v>1</v>
      </c>
    </row>
    <row r="2196" spans="1:53" ht="39.950000000000003" customHeight="1">
      <c r="E2196" s="264"/>
      <c r="F2196" s="265"/>
      <c r="G2196" s="509"/>
      <c r="H2196" s="495"/>
      <c r="I2196" s="487"/>
      <c r="J2196" s="487"/>
      <c r="K2196" s="487"/>
      <c r="L2196" s="487"/>
      <c r="M2196" s="263"/>
      <c r="N2196" s="490"/>
      <c r="O2196" s="490"/>
      <c r="P2196" s="490"/>
      <c r="Q2196" s="490"/>
      <c r="R2196" s="490"/>
      <c r="S2196" s="490"/>
      <c r="T2196" s="490"/>
      <c r="U2196" s="263"/>
      <c r="V2196" s="493"/>
      <c r="W2196" s="267"/>
      <c r="X2196" s="263"/>
      <c r="AE2196" s="253" t="str">
        <f>VLOOKUP(I2198,vylosovanie!$F$8:$L$190,7,0)</f>
        <v>CH52</v>
      </c>
      <c r="AF2196" s="268">
        <f>IF(N2198&gt;N2195,1,0)</f>
        <v>0</v>
      </c>
      <c r="AG2196" s="268">
        <f t="shared" ref="AG2196" si="1947">IF(O2198&gt;O2195,1,0)</f>
        <v>0</v>
      </c>
      <c r="AH2196" s="268">
        <f t="shared" ref="AH2196" si="1948">IF(P2198&gt;P2195,1,0)</f>
        <v>0</v>
      </c>
      <c r="AI2196" s="268">
        <f t="shared" ref="AI2196" si="1949">IF(Q2198&gt;Q2195,1,0)</f>
        <v>0</v>
      </c>
      <c r="AJ2196" s="268">
        <f t="shared" ref="AJ2196" si="1950">IF(R2198&gt;R2195,1,0)</f>
        <v>0</v>
      </c>
      <c r="AK2196" s="268">
        <f t="shared" ref="AK2196" si="1951">IF(S2198&gt;S2195,1,0)</f>
        <v>0</v>
      </c>
      <c r="AL2196" s="268">
        <f t="shared" ref="AL2196" si="1952">IF(T2198&gt;T2195,1,0)</f>
        <v>0</v>
      </c>
      <c r="AN2196" s="268">
        <f t="shared" ref="AN2196" si="1953">IF(ISBLANK(N2198)=TRUE,"",IF(AF2196=1,N2195,-N2198))</f>
        <v>-9</v>
      </c>
      <c r="AO2196" s="268">
        <f t="shared" ref="AO2196" si="1954">IF(ISBLANK(O2198)=TRUE,"",IF(AG2196=1,O2195,-O2198))</f>
        <v>-10</v>
      </c>
      <c r="AP2196" s="268">
        <f t="shared" ref="AP2196" si="1955">IF(ISBLANK(P2198)=TRUE,"",IF(AH2196=1,P2195,-P2198))</f>
        <v>-9</v>
      </c>
      <c r="AQ2196" s="268" t="str">
        <f t="shared" ref="AQ2196" si="1956">IF(ISBLANK(Q2198)=TRUE,"",IF(AI2196=1,Q2195,-Q2198))</f>
        <v/>
      </c>
      <c r="AR2196" s="268" t="str">
        <f t="shared" ref="AR2196" si="1957">IF(ISBLANK(R2198)=TRUE,"",IF(AJ2196=1,R2195,-R2198))</f>
        <v/>
      </c>
      <c r="AS2196" s="268" t="str">
        <f t="shared" ref="AS2196" si="1958">IF(ISBLANK(S2198)=TRUE,"",IF(AK2196=1,S2195,-S2198))</f>
        <v/>
      </c>
      <c r="AT2196" s="268" t="str">
        <f t="shared" ref="AT2196" si="1959">IF(ISBLANK(T2198)=TRUE,"",IF(AL2196=1,T2195,-T2198))</f>
        <v/>
      </c>
      <c r="AZ2196" s="269" t="s">
        <v>18</v>
      </c>
      <c r="BA2196" s="269">
        <v>2</v>
      </c>
    </row>
    <row r="2197" spans="1:53" ht="39.950000000000003" customHeight="1">
      <c r="E2197" s="264" t="s">
        <v>35</v>
      </c>
      <c r="F2197" s="265" t="str">
        <f>VLOOKUP(CONCATENATE(A2193,1),'zoznam zapasov'!$A$6:$K$160,9,0)</f>
        <v>So</v>
      </c>
      <c r="G2197" s="263"/>
      <c r="H2197" s="263"/>
      <c r="I2197" s="263"/>
      <c r="J2197" s="263"/>
      <c r="K2197" s="263"/>
      <c r="L2197" s="263"/>
      <c r="M2197" s="263"/>
      <c r="N2197" s="263"/>
      <c r="O2197" s="263"/>
      <c r="P2197" s="263"/>
      <c r="Q2197" s="263"/>
      <c r="R2197" s="263"/>
      <c r="S2197" s="263"/>
      <c r="T2197" s="263"/>
      <c r="U2197" s="263"/>
      <c r="V2197" s="263"/>
      <c r="W2197" s="267"/>
      <c r="X2197" s="263"/>
      <c r="AZ2197" s="269" t="s">
        <v>38</v>
      </c>
      <c r="BA2197" s="269">
        <v>3</v>
      </c>
    </row>
    <row r="2198" spans="1:53" ht="39.950000000000003" customHeight="1">
      <c r="A2198" s="252" t="str">
        <f>CONCATENATE(A2193,2)</f>
        <v>CHP12</v>
      </c>
      <c r="E2198" s="264" t="s">
        <v>28</v>
      </c>
      <c r="F2198" s="270" t="str">
        <f>VLOOKUP(CONCATENATE(A2193,1),'zoznam zapasov'!$A$6:$K$160,10,0)</f>
        <v>16.00</v>
      </c>
      <c r="G2198" s="508"/>
      <c r="H2198" s="486"/>
      <c r="I2198" s="487" t="str">
        <f>IF(ISERROR(VLOOKUP(A2198,'KO KODY SPOLU'!$A$3:$B$189,2,0))=TRUE,"",VLOOKUP(A2198,'KO KODY SPOLU'!$A$3:$B$189,2,0))</f>
        <v>ĎANOVSKÝ Martin</v>
      </c>
      <c r="J2198" s="487"/>
      <c r="K2198" s="487"/>
      <c r="L2198" s="487"/>
      <c r="M2198" s="263"/>
      <c r="N2198" s="489">
        <v>9</v>
      </c>
      <c r="O2198" s="489">
        <v>10</v>
      </c>
      <c r="P2198" s="489">
        <v>9</v>
      </c>
      <c r="Q2198" s="489"/>
      <c r="R2198" s="489"/>
      <c r="S2198" s="489"/>
      <c r="T2198" s="489"/>
      <c r="U2198" s="263"/>
      <c r="V2198" s="493">
        <f>IF(SUM(AF2195:AL2196)=0,"",SUM(AF2196:AL2196))</f>
        <v>0</v>
      </c>
      <c r="W2198" s="267"/>
      <c r="X2198" s="263"/>
      <c r="AZ2198" s="269" t="s">
        <v>39</v>
      </c>
      <c r="BA2198" s="269">
        <v>4</v>
      </c>
    </row>
    <row r="2199" spans="1:53" ht="39.950000000000003" customHeight="1">
      <c r="E2199" s="271"/>
      <c r="F2199" s="272"/>
      <c r="G2199" s="509"/>
      <c r="H2199" s="486"/>
      <c r="I2199" s="487"/>
      <c r="J2199" s="487"/>
      <c r="K2199" s="487"/>
      <c r="L2199" s="487"/>
      <c r="M2199" s="263"/>
      <c r="N2199" s="490"/>
      <c r="O2199" s="490"/>
      <c r="P2199" s="490"/>
      <c r="Q2199" s="490"/>
      <c r="R2199" s="490"/>
      <c r="S2199" s="490"/>
      <c r="T2199" s="490"/>
      <c r="U2199" s="263"/>
      <c r="V2199" s="493"/>
      <c r="W2199" s="267"/>
      <c r="X2199" s="263"/>
      <c r="AZ2199" s="269" t="s">
        <v>40</v>
      </c>
      <c r="BA2199" s="269">
        <v>5</v>
      </c>
    </row>
    <row r="2200" spans="1:53" ht="39.950000000000003" customHeight="1">
      <c r="E2200" s="264" t="s">
        <v>66</v>
      </c>
      <c r="F2200" s="265" t="s">
        <v>65</v>
      </c>
      <c r="G2200" s="263"/>
      <c r="H2200" s="263"/>
      <c r="I2200" s="263"/>
      <c r="J2200" s="263"/>
      <c r="K2200" s="263"/>
      <c r="L2200" s="263"/>
      <c r="M2200" s="263"/>
      <c r="N2200" s="263"/>
      <c r="O2200" s="263"/>
      <c r="P2200" s="263"/>
      <c r="Q2200" s="263"/>
      <c r="R2200" s="263"/>
      <c r="S2200" s="263"/>
      <c r="T2200" s="263"/>
      <c r="U2200" s="263"/>
      <c r="V2200" s="263"/>
      <c r="W2200" s="267"/>
      <c r="X2200" s="263"/>
      <c r="AZ2200" s="269" t="s">
        <v>41</v>
      </c>
      <c r="BA2200" s="269">
        <v>6</v>
      </c>
    </row>
    <row r="2201" spans="1:53" ht="39.950000000000003" customHeight="1">
      <c r="E2201" s="271"/>
      <c r="F2201" s="272"/>
      <c r="G2201" s="263"/>
      <c r="H2201" s="263"/>
      <c r="I2201" s="263" t="s">
        <v>32</v>
      </c>
      <c r="J2201" s="263"/>
      <c r="K2201" s="263"/>
      <c r="L2201" s="263"/>
      <c r="M2201" s="263"/>
      <c r="N2201" s="273"/>
      <c r="O2201" s="266"/>
      <c r="P2201" s="266" t="s">
        <v>34</v>
      </c>
      <c r="Q2201" s="266"/>
      <c r="R2201" s="266"/>
      <c r="S2201" s="266"/>
      <c r="T2201" s="266"/>
      <c r="U2201" s="263"/>
      <c r="V2201" s="263"/>
      <c r="W2201" s="267"/>
      <c r="X2201" s="263"/>
      <c r="AZ2201" s="269" t="s">
        <v>42</v>
      </c>
      <c r="BA2201" s="269">
        <v>7</v>
      </c>
    </row>
    <row r="2202" spans="1:53" ht="39.950000000000003" customHeight="1">
      <c r="E2202" s="264" t="s">
        <v>26</v>
      </c>
      <c r="F2202" s="265" t="s">
        <v>128</v>
      </c>
      <c r="G2202" s="263"/>
      <c r="H2202" s="263"/>
      <c r="I2202" s="486"/>
      <c r="J2202" s="486"/>
      <c r="K2202" s="486"/>
      <c r="L2202" s="486"/>
      <c r="M2202" s="263"/>
      <c r="N2202" s="486" t="str">
        <f>IF(V2195&gt;V2198,I2195,IF(V2198&gt;V2195,I2198,""))</f>
        <v>DIKO Dalibor</v>
      </c>
      <c r="O2202" s="486"/>
      <c r="P2202" s="486"/>
      <c r="Q2202" s="486"/>
      <c r="R2202" s="486"/>
      <c r="S2202" s="486"/>
      <c r="T2202" s="263"/>
      <c r="U2202" s="263"/>
      <c r="V2202" s="263"/>
      <c r="W2202" s="267"/>
      <c r="X2202" s="263"/>
      <c r="AZ2202" s="269" t="s">
        <v>43</v>
      </c>
      <c r="BA2202" s="269">
        <v>8</v>
      </c>
    </row>
    <row r="2203" spans="1:53" ht="39.950000000000003" customHeight="1">
      <c r="E2203" s="271"/>
      <c r="F2203" s="272"/>
      <c r="G2203" s="263"/>
      <c r="H2203" s="263"/>
      <c r="I2203" s="486"/>
      <c r="J2203" s="486"/>
      <c r="K2203" s="486"/>
      <c r="L2203" s="486"/>
      <c r="M2203" s="263"/>
      <c r="N2203" s="486"/>
      <c r="O2203" s="486"/>
      <c r="P2203" s="486"/>
      <c r="Q2203" s="486"/>
      <c r="R2203" s="486"/>
      <c r="S2203" s="486"/>
      <c r="T2203" s="263"/>
      <c r="U2203" s="263"/>
      <c r="V2203" s="263"/>
      <c r="W2203" s="267"/>
      <c r="X2203" s="263"/>
    </row>
    <row r="2204" spans="1:53" ht="39.950000000000003" customHeight="1">
      <c r="E2204" s="264" t="s">
        <v>27</v>
      </c>
      <c r="F2204" s="274" t="s">
        <v>129</v>
      </c>
      <c r="G2204" s="263"/>
      <c r="H2204" s="263"/>
      <c r="I2204" s="263"/>
      <c r="J2204" s="263"/>
      <c r="K2204" s="263"/>
      <c r="L2204" s="263"/>
      <c r="M2204" s="263"/>
      <c r="N2204" s="263"/>
      <c r="O2204" s="263"/>
      <c r="P2204" s="263"/>
      <c r="Q2204" s="263"/>
      <c r="R2204" s="263"/>
      <c r="S2204" s="263"/>
      <c r="T2204" s="263"/>
      <c r="U2204" s="263"/>
      <c r="V2204" s="263"/>
      <c r="W2204" s="267"/>
      <c r="X2204" s="263"/>
    </row>
    <row r="2205" spans="1:53" ht="39.950000000000003" customHeight="1">
      <c r="E2205" s="271"/>
      <c r="F2205" s="272"/>
      <c r="G2205" s="263"/>
      <c r="H2205" s="263" t="s">
        <v>33</v>
      </c>
      <c r="I2205" s="263"/>
      <c r="J2205" s="263"/>
      <c r="K2205" s="263"/>
      <c r="L2205" s="263"/>
      <c r="M2205" s="263"/>
      <c r="N2205" s="263"/>
      <c r="O2205" s="263"/>
      <c r="P2205" s="263"/>
      <c r="Q2205" s="263"/>
      <c r="R2205" s="263"/>
      <c r="S2205" s="263"/>
      <c r="T2205" s="263"/>
      <c r="U2205" s="263"/>
      <c r="V2205" s="263"/>
      <c r="W2205" s="267"/>
      <c r="X2205" s="263"/>
    </row>
    <row r="2206" spans="1:53" ht="39.950000000000003" customHeight="1">
      <c r="E2206" s="271"/>
      <c r="F2206" s="272"/>
      <c r="G2206" s="263"/>
      <c r="H2206" s="263"/>
      <c r="I2206" s="263"/>
      <c r="J2206" s="263"/>
      <c r="K2206" s="263"/>
      <c r="L2206" s="263"/>
      <c r="M2206" s="263"/>
      <c r="N2206" s="263"/>
      <c r="O2206" s="263"/>
      <c r="P2206" s="263"/>
      <c r="Q2206" s="263"/>
      <c r="R2206" s="263"/>
      <c r="S2206" s="263"/>
      <c r="T2206" s="263"/>
      <c r="U2206" s="263"/>
      <c r="V2206" s="263"/>
      <c r="W2206" s="267"/>
      <c r="X2206" s="263"/>
    </row>
    <row r="2207" spans="1:53" ht="39.950000000000003" customHeight="1">
      <c r="E2207" s="271"/>
      <c r="F2207" s="272"/>
      <c r="G2207" s="263"/>
      <c r="H2207" s="263"/>
      <c r="I2207" s="496" t="str">
        <f>I2195</f>
        <v>DIKO Dalibor</v>
      </c>
      <c r="J2207" s="496"/>
      <c r="K2207" s="496"/>
      <c r="L2207" s="496"/>
      <c r="M2207" s="263"/>
      <c r="N2207" s="263"/>
      <c r="O2207" s="263"/>
      <c r="P2207" s="496" t="str">
        <f>I2198</f>
        <v>ĎANOVSKÝ Martin</v>
      </c>
      <c r="Q2207" s="496"/>
      <c r="R2207" s="496"/>
      <c r="S2207" s="496"/>
      <c r="T2207" s="497"/>
      <c r="U2207" s="497"/>
      <c r="V2207" s="263"/>
      <c r="W2207" s="267"/>
      <c r="X2207" s="263"/>
    </row>
    <row r="2208" spans="1:53" ht="69.95" customHeight="1">
      <c r="E2208" s="264"/>
      <c r="F2208" s="265"/>
      <c r="G2208" s="263"/>
      <c r="H2208" s="275" t="s">
        <v>36</v>
      </c>
      <c r="I2208" s="483"/>
      <c r="J2208" s="494"/>
      <c r="K2208" s="494"/>
      <c r="L2208" s="495"/>
      <c r="M2208" s="263"/>
      <c r="N2208" s="263"/>
      <c r="O2208" s="275" t="s">
        <v>36</v>
      </c>
      <c r="P2208" s="486"/>
      <c r="Q2208" s="486"/>
      <c r="R2208" s="486"/>
      <c r="S2208" s="486"/>
      <c r="T2208" s="486"/>
      <c r="U2208" s="486"/>
      <c r="V2208" s="263"/>
      <c r="W2208" s="267"/>
      <c r="X2208" s="263"/>
    </row>
    <row r="2209" spans="1:53" ht="69.95" customHeight="1">
      <c r="E2209" s="264"/>
      <c r="F2209" s="265"/>
      <c r="G2209" s="263"/>
      <c r="H2209" s="275" t="s">
        <v>37</v>
      </c>
      <c r="I2209" s="486"/>
      <c r="J2209" s="486"/>
      <c r="K2209" s="486"/>
      <c r="L2209" s="486"/>
      <c r="M2209" s="263"/>
      <c r="N2209" s="263"/>
      <c r="O2209" s="275" t="s">
        <v>37</v>
      </c>
      <c r="P2209" s="486"/>
      <c r="Q2209" s="486"/>
      <c r="R2209" s="486"/>
      <c r="S2209" s="486"/>
      <c r="T2209" s="486"/>
      <c r="U2209" s="486"/>
      <c r="V2209" s="263"/>
      <c r="W2209" s="267"/>
      <c r="X2209" s="263"/>
    </row>
    <row r="2210" spans="1:53" ht="69.95" customHeight="1">
      <c r="E2210" s="264"/>
      <c r="F2210" s="265"/>
      <c r="G2210" s="263"/>
      <c r="H2210" s="275" t="s">
        <v>37</v>
      </c>
      <c r="I2210" s="486"/>
      <c r="J2210" s="486"/>
      <c r="K2210" s="486"/>
      <c r="L2210" s="486"/>
      <c r="M2210" s="263"/>
      <c r="N2210" s="263"/>
      <c r="O2210" s="275" t="s">
        <v>37</v>
      </c>
      <c r="P2210" s="486"/>
      <c r="Q2210" s="486"/>
      <c r="R2210" s="486"/>
      <c r="S2210" s="486"/>
      <c r="T2210" s="486"/>
      <c r="U2210" s="486"/>
      <c r="V2210" s="263"/>
      <c r="W2210" s="267"/>
      <c r="X2210" s="263"/>
    </row>
    <row r="2211" spans="1:53" ht="39.950000000000003" customHeight="1" thickBot="1">
      <c r="E2211" s="276"/>
      <c r="F2211" s="277"/>
      <c r="G2211" s="278"/>
      <c r="H2211" s="278"/>
      <c r="I2211" s="278"/>
      <c r="J2211" s="278"/>
      <c r="K2211" s="278"/>
      <c r="L2211" s="278"/>
      <c r="M2211" s="278"/>
      <c r="N2211" s="278"/>
      <c r="O2211" s="278"/>
      <c r="P2211" s="278"/>
      <c r="Q2211" s="278"/>
      <c r="R2211" s="278"/>
      <c r="S2211" s="278"/>
      <c r="T2211" s="279"/>
      <c r="U2211" s="279"/>
      <c r="V2211" s="279"/>
      <c r="W2211" s="280"/>
      <c r="X2211" s="263"/>
    </row>
    <row r="2212" spans="1:53" ht="62.25" thickBot="1"/>
    <row r="2213" spans="1:53" ht="39.950000000000003" customHeight="1">
      <c r="A2213" s="252" t="str">
        <f>CONCATENATE(F2220,F2222,F2224)</f>
        <v>CHP2</v>
      </c>
      <c r="E2213" s="259" t="s">
        <v>70</v>
      </c>
      <c r="F2213" s="260">
        <f>VLOOKUP(CONCATENATE(A2213,1),'zoznam zapasov'!$A$6:$K$160,3,0)</f>
        <v>110</v>
      </c>
      <c r="G2213" s="261"/>
      <c r="H2213" s="322" t="s">
        <v>501</v>
      </c>
      <c r="I2213" s="261"/>
      <c r="J2213" s="261"/>
      <c r="K2213" s="261"/>
      <c r="L2213" s="261"/>
      <c r="M2213" s="261"/>
      <c r="N2213" s="261"/>
      <c r="O2213" s="261"/>
      <c r="P2213" s="261"/>
      <c r="Q2213" s="261"/>
      <c r="R2213" s="261"/>
      <c r="S2213" s="261"/>
      <c r="T2213" s="261"/>
      <c r="U2213" s="261"/>
      <c r="V2213" s="261" t="s">
        <v>30</v>
      </c>
      <c r="W2213" s="262"/>
      <c r="X2213" s="263"/>
      <c r="Y2213" s="253" t="str">
        <f>A2215</f>
        <v>CHP21</v>
      </c>
      <c r="Z2213" s="258" t="str">
        <f>CONCATENATE(V2215,":",V2218)</f>
        <v>0:3</v>
      </c>
      <c r="AA2213" s="255" t="str">
        <f>N2222</f>
        <v>CYPRICH Samuel</v>
      </c>
      <c r="AB2213" s="255" t="str">
        <f>IF(V2215&gt;V2218,AV2213,IF(V2218&gt;V2215,AV2214,""))</f>
        <v xml:space="preserve">3:0 ( 6,4,5,,,, ) </v>
      </c>
      <c r="AC2213" s="255" t="str">
        <f>CONCATENATE("Tbl.: ",F2215,"   H: ",F2218,"   D: ",F2217)</f>
        <v>Tbl.: 2   H: 16.00   D: So</v>
      </c>
      <c r="AE2213" s="253" t="s">
        <v>11</v>
      </c>
      <c r="AV2213" s="256" t="str">
        <f>CONCATENATE(V2215,":",V2218, " ( ",AN2215,",",AO2215,",",AP2215,",",AQ2215,",",AR2215,",",AS2215,",",AT2215," ) ")</f>
        <v xml:space="preserve">0:3 ( -6,-4,-5,,,, ) </v>
      </c>
    </row>
    <row r="2214" spans="1:53" ht="39.950000000000003" customHeight="1">
      <c r="E2214" s="264"/>
      <c r="F2214" s="265"/>
      <c r="G2214" s="321" t="s">
        <v>500</v>
      </c>
      <c r="H2214" s="323" t="s">
        <v>502</v>
      </c>
      <c r="I2214" s="263"/>
      <c r="J2214" s="263"/>
      <c r="K2214" s="263"/>
      <c r="L2214" s="263"/>
      <c r="M2214" s="263"/>
      <c r="N2214" s="266">
        <v>1</v>
      </c>
      <c r="O2214" s="266">
        <v>2</v>
      </c>
      <c r="P2214" s="266">
        <v>3</v>
      </c>
      <c r="Q2214" s="266">
        <v>4</v>
      </c>
      <c r="R2214" s="266">
        <v>5</v>
      </c>
      <c r="S2214" s="266">
        <v>6</v>
      </c>
      <c r="T2214" s="266">
        <v>7</v>
      </c>
      <c r="U2214" s="263"/>
      <c r="V2214" s="266" t="s">
        <v>31</v>
      </c>
      <c r="W2214" s="267"/>
      <c r="X2214" s="263"/>
      <c r="AE2214" s="253" t="s">
        <v>68</v>
      </c>
      <c r="AV2214" s="256" t="str">
        <f>CONCATENATE(V2218,":",V2215, " ( ",AN2216,",",AO2216,",",AP2216,",",AQ2216,",",AR2216,",",AS2216,",",AT2216," ) ")</f>
        <v xml:space="preserve">3:0 ( 6,4,5,,,, ) </v>
      </c>
    </row>
    <row r="2215" spans="1:53" ht="39.950000000000003" customHeight="1">
      <c r="A2215" s="252" t="str">
        <f>CONCATENATE(A2213,1)</f>
        <v>CHP21</v>
      </c>
      <c r="E2215" s="264" t="s">
        <v>29</v>
      </c>
      <c r="F2215" s="265">
        <f>VLOOKUP(CONCATENATE(A2213,1),'zoznam zapasov'!$A$6:$K$160,11,0)</f>
        <v>2</v>
      </c>
      <c r="G2215" s="508"/>
      <c r="H2215" s="495"/>
      <c r="I2215" s="487" t="str">
        <f>IF(ISERROR(VLOOKUP(A2215,'KO KODY SPOLU'!$A$3:$B$189,2,0))=TRUE,"",VLOOKUP(A2215,'KO KODY SPOLU'!$A$3:$B$189,2,0))</f>
        <v>SUCHA Tomáš</v>
      </c>
      <c r="J2215" s="487"/>
      <c r="K2215" s="487"/>
      <c r="L2215" s="487"/>
      <c r="M2215" s="263"/>
      <c r="N2215" s="489">
        <v>6</v>
      </c>
      <c r="O2215" s="489">
        <v>4</v>
      </c>
      <c r="P2215" s="489">
        <v>5</v>
      </c>
      <c r="Q2215" s="489"/>
      <c r="R2215" s="489"/>
      <c r="S2215" s="489"/>
      <c r="T2215" s="489"/>
      <c r="U2215" s="263"/>
      <c r="V2215" s="493">
        <f>IF(SUM(AF2215:AL2216)=0,"",SUM(AF2215:AL2215))</f>
        <v>0</v>
      </c>
      <c r="W2215" s="267"/>
      <c r="X2215" s="263"/>
      <c r="AE2215" s="253" t="str">
        <f>VLOOKUP(I2215,vylosovanie!$F$8:$L$190,7,0)</f>
        <v>CH22</v>
      </c>
      <c r="AF2215" s="268">
        <f>IF(N2215&gt;N2218,1,0)</f>
        <v>0</v>
      </c>
      <c r="AG2215" s="268">
        <f t="shared" ref="AG2215" si="1960">IF(O2215&gt;O2218,1,0)</f>
        <v>0</v>
      </c>
      <c r="AH2215" s="268">
        <f t="shared" ref="AH2215" si="1961">IF(P2215&gt;P2218,1,0)</f>
        <v>0</v>
      </c>
      <c r="AI2215" s="268">
        <f t="shared" ref="AI2215" si="1962">IF(Q2215&gt;Q2218,1,0)</f>
        <v>0</v>
      </c>
      <c r="AJ2215" s="268">
        <f t="shared" ref="AJ2215" si="1963">IF(R2215&gt;R2218,1,0)</f>
        <v>0</v>
      </c>
      <c r="AK2215" s="268">
        <f t="shared" ref="AK2215" si="1964">IF(S2215&gt;S2218,1,0)</f>
        <v>0</v>
      </c>
      <c r="AL2215" s="268">
        <f t="shared" ref="AL2215" si="1965">IF(T2215&gt;T2218,1,0)</f>
        <v>0</v>
      </c>
      <c r="AN2215" s="268">
        <f t="shared" ref="AN2215" si="1966">IF(ISBLANK(N2215)=TRUE,"",IF(AF2215=1,N2218,-N2215))</f>
        <v>-6</v>
      </c>
      <c r="AO2215" s="268">
        <f t="shared" ref="AO2215" si="1967">IF(ISBLANK(O2215)=TRUE,"",IF(AG2215=1,O2218,-O2215))</f>
        <v>-4</v>
      </c>
      <c r="AP2215" s="268">
        <f t="shared" ref="AP2215" si="1968">IF(ISBLANK(P2215)=TRUE,"",IF(AH2215=1,P2218,-P2215))</f>
        <v>-5</v>
      </c>
      <c r="AQ2215" s="268" t="str">
        <f t="shared" ref="AQ2215" si="1969">IF(ISBLANK(Q2215)=TRUE,"",IF(AI2215=1,Q2218,-Q2215))</f>
        <v/>
      </c>
      <c r="AR2215" s="268" t="str">
        <f t="shared" ref="AR2215" si="1970">IF(ISBLANK(R2215)=TRUE,"",IF(AJ2215=1,R2218,-R2215))</f>
        <v/>
      </c>
      <c r="AS2215" s="268" t="str">
        <f t="shared" ref="AS2215" si="1971">IF(ISBLANK(S2215)=TRUE,"",IF(AK2215=1,S2218,-S2215))</f>
        <v/>
      </c>
      <c r="AT2215" s="268" t="str">
        <f t="shared" ref="AT2215" si="1972">IF(ISBLANK(T2215)=TRUE,"",IF(AL2215=1,T2218,-T2215))</f>
        <v/>
      </c>
      <c r="AZ2215" s="269" t="s">
        <v>12</v>
      </c>
      <c r="BA2215" s="269">
        <v>1</v>
      </c>
    </row>
    <row r="2216" spans="1:53" ht="39.950000000000003" customHeight="1">
      <c r="E2216" s="264"/>
      <c r="F2216" s="265"/>
      <c r="G2216" s="509"/>
      <c r="H2216" s="495"/>
      <c r="I2216" s="487"/>
      <c r="J2216" s="487"/>
      <c r="K2216" s="487"/>
      <c r="L2216" s="487"/>
      <c r="M2216" s="263"/>
      <c r="N2216" s="490"/>
      <c r="O2216" s="490"/>
      <c r="P2216" s="490"/>
      <c r="Q2216" s="490"/>
      <c r="R2216" s="490"/>
      <c r="S2216" s="490"/>
      <c r="T2216" s="490"/>
      <c r="U2216" s="263"/>
      <c r="V2216" s="493"/>
      <c r="W2216" s="267"/>
      <c r="X2216" s="263"/>
      <c r="AE2216" s="253" t="str">
        <f>VLOOKUP(I2218,vylosovanie!$F$8:$L$190,7,0)</f>
        <v>CH61</v>
      </c>
      <c r="AF2216" s="268">
        <f>IF(N2218&gt;N2215,1,0)</f>
        <v>1</v>
      </c>
      <c r="AG2216" s="268">
        <f t="shared" ref="AG2216" si="1973">IF(O2218&gt;O2215,1,0)</f>
        <v>1</v>
      </c>
      <c r="AH2216" s="268">
        <f t="shared" ref="AH2216" si="1974">IF(P2218&gt;P2215,1,0)</f>
        <v>1</v>
      </c>
      <c r="AI2216" s="268">
        <f t="shared" ref="AI2216" si="1975">IF(Q2218&gt;Q2215,1,0)</f>
        <v>0</v>
      </c>
      <c r="AJ2216" s="268">
        <f t="shared" ref="AJ2216" si="1976">IF(R2218&gt;R2215,1,0)</f>
        <v>0</v>
      </c>
      <c r="AK2216" s="268">
        <f t="shared" ref="AK2216" si="1977">IF(S2218&gt;S2215,1,0)</f>
        <v>0</v>
      </c>
      <c r="AL2216" s="268">
        <f t="shared" ref="AL2216" si="1978">IF(T2218&gt;T2215,1,0)</f>
        <v>0</v>
      </c>
      <c r="AN2216" s="268">
        <f t="shared" ref="AN2216" si="1979">IF(ISBLANK(N2218)=TRUE,"",IF(AF2216=1,N2215,-N2218))</f>
        <v>6</v>
      </c>
      <c r="AO2216" s="268">
        <f t="shared" ref="AO2216" si="1980">IF(ISBLANK(O2218)=TRUE,"",IF(AG2216=1,O2215,-O2218))</f>
        <v>4</v>
      </c>
      <c r="AP2216" s="268">
        <f t="shared" ref="AP2216" si="1981">IF(ISBLANK(P2218)=TRUE,"",IF(AH2216=1,P2215,-P2218))</f>
        <v>5</v>
      </c>
      <c r="AQ2216" s="268" t="str">
        <f t="shared" ref="AQ2216" si="1982">IF(ISBLANK(Q2218)=TRUE,"",IF(AI2216=1,Q2215,-Q2218))</f>
        <v/>
      </c>
      <c r="AR2216" s="268" t="str">
        <f t="shared" ref="AR2216" si="1983">IF(ISBLANK(R2218)=TRUE,"",IF(AJ2216=1,R2215,-R2218))</f>
        <v/>
      </c>
      <c r="AS2216" s="268" t="str">
        <f t="shared" ref="AS2216" si="1984">IF(ISBLANK(S2218)=TRUE,"",IF(AK2216=1,S2215,-S2218))</f>
        <v/>
      </c>
      <c r="AT2216" s="268" t="str">
        <f t="shared" ref="AT2216" si="1985">IF(ISBLANK(T2218)=TRUE,"",IF(AL2216=1,T2215,-T2218))</f>
        <v/>
      </c>
      <c r="AZ2216" s="269" t="s">
        <v>18</v>
      </c>
      <c r="BA2216" s="269">
        <v>2</v>
      </c>
    </row>
    <row r="2217" spans="1:53" ht="39.950000000000003" customHeight="1">
      <c r="E2217" s="264" t="s">
        <v>35</v>
      </c>
      <c r="F2217" s="265" t="str">
        <f>VLOOKUP(CONCATENATE(A2213,1),'zoznam zapasov'!$A$6:$K$160,9,0)</f>
        <v>So</v>
      </c>
      <c r="G2217" s="263"/>
      <c r="H2217" s="263"/>
      <c r="I2217" s="263"/>
      <c r="J2217" s="263"/>
      <c r="K2217" s="263"/>
      <c r="L2217" s="263"/>
      <c r="M2217" s="263"/>
      <c r="N2217" s="263"/>
      <c r="O2217" s="263"/>
      <c r="P2217" s="263"/>
      <c r="Q2217" s="263"/>
      <c r="R2217" s="263"/>
      <c r="S2217" s="263"/>
      <c r="T2217" s="263"/>
      <c r="U2217" s="263"/>
      <c r="V2217" s="263"/>
      <c r="W2217" s="267"/>
      <c r="X2217" s="263"/>
      <c r="AZ2217" s="269" t="s">
        <v>38</v>
      </c>
      <c r="BA2217" s="269">
        <v>3</v>
      </c>
    </row>
    <row r="2218" spans="1:53" ht="39.950000000000003" customHeight="1">
      <c r="A2218" s="252" t="str">
        <f>CONCATENATE(A2213,2)</f>
        <v>CHP22</v>
      </c>
      <c r="E2218" s="264" t="s">
        <v>28</v>
      </c>
      <c r="F2218" s="270" t="str">
        <f>VLOOKUP(CONCATENATE(A2213,1),'zoznam zapasov'!$A$6:$K$160,10,0)</f>
        <v>16.00</v>
      </c>
      <c r="G2218" s="508"/>
      <c r="H2218" s="486"/>
      <c r="I2218" s="487" t="str">
        <f>IF(ISERROR(VLOOKUP(A2218,'KO KODY SPOLU'!$A$3:$B$189,2,0))=TRUE,"",VLOOKUP(A2218,'KO KODY SPOLU'!$A$3:$B$189,2,0))</f>
        <v>CYPRICH Samuel</v>
      </c>
      <c r="J2218" s="487"/>
      <c r="K2218" s="487"/>
      <c r="L2218" s="487"/>
      <c r="M2218" s="263"/>
      <c r="N2218" s="489">
        <v>11</v>
      </c>
      <c r="O2218" s="489">
        <v>11</v>
      </c>
      <c r="P2218" s="489">
        <v>11</v>
      </c>
      <c r="Q2218" s="489"/>
      <c r="R2218" s="489"/>
      <c r="S2218" s="489"/>
      <c r="T2218" s="489"/>
      <c r="U2218" s="263"/>
      <c r="V2218" s="493">
        <f>IF(SUM(AF2215:AL2216)=0,"",SUM(AF2216:AL2216))</f>
        <v>3</v>
      </c>
      <c r="W2218" s="267"/>
      <c r="X2218" s="263"/>
      <c r="AZ2218" s="269" t="s">
        <v>39</v>
      </c>
      <c r="BA2218" s="269">
        <v>4</v>
      </c>
    </row>
    <row r="2219" spans="1:53" ht="39.950000000000003" customHeight="1">
      <c r="E2219" s="271"/>
      <c r="F2219" s="272"/>
      <c r="G2219" s="509"/>
      <c r="H2219" s="486"/>
      <c r="I2219" s="487"/>
      <c r="J2219" s="487"/>
      <c r="K2219" s="487"/>
      <c r="L2219" s="487"/>
      <c r="M2219" s="263"/>
      <c r="N2219" s="490"/>
      <c r="O2219" s="490"/>
      <c r="P2219" s="490"/>
      <c r="Q2219" s="490"/>
      <c r="R2219" s="490"/>
      <c r="S2219" s="490"/>
      <c r="T2219" s="490"/>
      <c r="U2219" s="263"/>
      <c r="V2219" s="493"/>
      <c r="W2219" s="267"/>
      <c r="X2219" s="263"/>
      <c r="AZ2219" s="269" t="s">
        <v>40</v>
      </c>
      <c r="BA2219" s="269">
        <v>5</v>
      </c>
    </row>
    <row r="2220" spans="1:53" ht="39.950000000000003" customHeight="1">
      <c r="E2220" s="264" t="s">
        <v>66</v>
      </c>
      <c r="F2220" s="265" t="s">
        <v>65</v>
      </c>
      <c r="G2220" s="263"/>
      <c r="H2220" s="263"/>
      <c r="I2220" s="263"/>
      <c r="J2220" s="263"/>
      <c r="K2220" s="263"/>
      <c r="L2220" s="263"/>
      <c r="M2220" s="263"/>
      <c r="N2220" s="263"/>
      <c r="O2220" s="263"/>
      <c r="P2220" s="263"/>
      <c r="Q2220" s="263"/>
      <c r="R2220" s="263"/>
      <c r="S2220" s="263"/>
      <c r="T2220" s="263"/>
      <c r="U2220" s="263"/>
      <c r="V2220" s="263"/>
      <c r="W2220" s="267"/>
      <c r="X2220" s="263"/>
      <c r="AZ2220" s="269" t="s">
        <v>41</v>
      </c>
      <c r="BA2220" s="269">
        <v>6</v>
      </c>
    </row>
    <row r="2221" spans="1:53" ht="39.950000000000003" customHeight="1">
      <c r="E2221" s="271"/>
      <c r="F2221" s="272"/>
      <c r="G2221" s="263"/>
      <c r="H2221" s="263"/>
      <c r="I2221" s="263" t="s">
        <v>32</v>
      </c>
      <c r="J2221" s="263"/>
      <c r="K2221" s="263"/>
      <c r="L2221" s="263"/>
      <c r="M2221" s="263"/>
      <c r="N2221" s="273"/>
      <c r="O2221" s="266"/>
      <c r="P2221" s="266" t="s">
        <v>34</v>
      </c>
      <c r="Q2221" s="266"/>
      <c r="R2221" s="266"/>
      <c r="S2221" s="266"/>
      <c r="T2221" s="266"/>
      <c r="U2221" s="263"/>
      <c r="V2221" s="263"/>
      <c r="W2221" s="267"/>
      <c r="X2221" s="263"/>
      <c r="AZ2221" s="269" t="s">
        <v>42</v>
      </c>
      <c r="BA2221" s="269">
        <v>7</v>
      </c>
    </row>
    <row r="2222" spans="1:53" ht="39.950000000000003" customHeight="1">
      <c r="E2222" s="264" t="s">
        <v>26</v>
      </c>
      <c r="F2222" s="265" t="s">
        <v>128</v>
      </c>
      <c r="G2222" s="263"/>
      <c r="H2222" s="263"/>
      <c r="I2222" s="486"/>
      <c r="J2222" s="486"/>
      <c r="K2222" s="486"/>
      <c r="L2222" s="486"/>
      <c r="M2222" s="263"/>
      <c r="N2222" s="486" t="str">
        <f>IF(V2215&gt;V2218,I2215,IF(V2218&gt;V2215,I2218,""))</f>
        <v>CYPRICH Samuel</v>
      </c>
      <c r="O2222" s="486"/>
      <c r="P2222" s="486"/>
      <c r="Q2222" s="486"/>
      <c r="R2222" s="486"/>
      <c r="S2222" s="486"/>
      <c r="T2222" s="263"/>
      <c r="U2222" s="263"/>
      <c r="V2222" s="263"/>
      <c r="W2222" s="267"/>
      <c r="X2222" s="263"/>
      <c r="AZ2222" s="269" t="s">
        <v>43</v>
      </c>
      <c r="BA2222" s="269">
        <v>8</v>
      </c>
    </row>
    <row r="2223" spans="1:53" ht="39.950000000000003" customHeight="1">
      <c r="E2223" s="271"/>
      <c r="F2223" s="272"/>
      <c r="G2223" s="263"/>
      <c r="H2223" s="263"/>
      <c r="I2223" s="486"/>
      <c r="J2223" s="486"/>
      <c r="K2223" s="486"/>
      <c r="L2223" s="486"/>
      <c r="M2223" s="263"/>
      <c r="N2223" s="486"/>
      <c r="O2223" s="486"/>
      <c r="P2223" s="486"/>
      <c r="Q2223" s="486"/>
      <c r="R2223" s="486"/>
      <c r="S2223" s="486"/>
      <c r="T2223" s="263"/>
      <c r="U2223" s="263"/>
      <c r="V2223" s="263"/>
      <c r="W2223" s="267"/>
      <c r="X2223" s="263"/>
    </row>
    <row r="2224" spans="1:53" ht="39.950000000000003" customHeight="1">
      <c r="E2224" s="264" t="s">
        <v>27</v>
      </c>
      <c r="F2224" s="274" t="s">
        <v>162</v>
      </c>
      <c r="G2224" s="263"/>
      <c r="H2224" s="263"/>
      <c r="I2224" s="263"/>
      <c r="J2224" s="263"/>
      <c r="K2224" s="263"/>
      <c r="L2224" s="263"/>
      <c r="M2224" s="263"/>
      <c r="N2224" s="263"/>
      <c r="O2224" s="263"/>
      <c r="P2224" s="263"/>
      <c r="Q2224" s="263"/>
      <c r="R2224" s="263"/>
      <c r="S2224" s="263"/>
      <c r="T2224" s="263"/>
      <c r="U2224" s="263"/>
      <c r="V2224" s="263"/>
      <c r="W2224" s="267"/>
      <c r="X2224" s="263"/>
    </row>
    <row r="2225" spans="1:53" ht="39.950000000000003" customHeight="1">
      <c r="E2225" s="271"/>
      <c r="F2225" s="272"/>
      <c r="G2225" s="263"/>
      <c r="H2225" s="263" t="s">
        <v>33</v>
      </c>
      <c r="I2225" s="263"/>
      <c r="J2225" s="263"/>
      <c r="K2225" s="263"/>
      <c r="L2225" s="263"/>
      <c r="M2225" s="263"/>
      <c r="N2225" s="263"/>
      <c r="O2225" s="263"/>
      <c r="P2225" s="263"/>
      <c r="Q2225" s="263"/>
      <c r="R2225" s="263"/>
      <c r="S2225" s="263"/>
      <c r="T2225" s="263"/>
      <c r="U2225" s="263"/>
      <c r="V2225" s="263"/>
      <c r="W2225" s="267"/>
      <c r="X2225" s="263"/>
    </row>
    <row r="2226" spans="1:53" ht="39.950000000000003" customHeight="1">
      <c r="E2226" s="271"/>
      <c r="F2226" s="272"/>
      <c r="G2226" s="263"/>
      <c r="H2226" s="263"/>
      <c r="I2226" s="263"/>
      <c r="J2226" s="263"/>
      <c r="K2226" s="263"/>
      <c r="L2226" s="263"/>
      <c r="M2226" s="263"/>
      <c r="N2226" s="263"/>
      <c r="O2226" s="263"/>
      <c r="P2226" s="263"/>
      <c r="Q2226" s="263"/>
      <c r="R2226" s="263"/>
      <c r="S2226" s="263"/>
      <c r="T2226" s="263"/>
      <c r="U2226" s="263"/>
      <c r="V2226" s="263"/>
      <c r="W2226" s="267"/>
      <c r="X2226" s="263"/>
    </row>
    <row r="2227" spans="1:53" ht="39.950000000000003" customHeight="1">
      <c r="E2227" s="271"/>
      <c r="F2227" s="272"/>
      <c r="G2227" s="263"/>
      <c r="H2227" s="263"/>
      <c r="I2227" s="496" t="str">
        <f>I2215</f>
        <v>SUCHA Tomáš</v>
      </c>
      <c r="J2227" s="496"/>
      <c r="K2227" s="496"/>
      <c r="L2227" s="496"/>
      <c r="M2227" s="263"/>
      <c r="N2227" s="263"/>
      <c r="O2227" s="263"/>
      <c r="P2227" s="496" t="str">
        <f>I2218</f>
        <v>CYPRICH Samuel</v>
      </c>
      <c r="Q2227" s="496"/>
      <c r="R2227" s="496"/>
      <c r="S2227" s="496"/>
      <c r="T2227" s="497"/>
      <c r="U2227" s="497"/>
      <c r="V2227" s="263"/>
      <c r="W2227" s="267"/>
      <c r="X2227" s="263"/>
    </row>
    <row r="2228" spans="1:53" ht="69.95" customHeight="1">
      <c r="E2228" s="264"/>
      <c r="F2228" s="265"/>
      <c r="G2228" s="263"/>
      <c r="H2228" s="275" t="s">
        <v>36</v>
      </c>
      <c r="I2228" s="483"/>
      <c r="J2228" s="494"/>
      <c r="K2228" s="494"/>
      <c r="L2228" s="495"/>
      <c r="M2228" s="263"/>
      <c r="N2228" s="263"/>
      <c r="O2228" s="275" t="s">
        <v>36</v>
      </c>
      <c r="P2228" s="486"/>
      <c r="Q2228" s="486"/>
      <c r="R2228" s="486"/>
      <c r="S2228" s="486"/>
      <c r="T2228" s="486"/>
      <c r="U2228" s="486"/>
      <c r="V2228" s="263"/>
      <c r="W2228" s="267"/>
      <c r="X2228" s="263"/>
    </row>
    <row r="2229" spans="1:53" ht="69.95" customHeight="1">
      <c r="E2229" s="264"/>
      <c r="F2229" s="265"/>
      <c r="G2229" s="263"/>
      <c r="H2229" s="275" t="s">
        <v>37</v>
      </c>
      <c r="I2229" s="486"/>
      <c r="J2229" s="486"/>
      <c r="K2229" s="486"/>
      <c r="L2229" s="486"/>
      <c r="M2229" s="263"/>
      <c r="N2229" s="263"/>
      <c r="O2229" s="275" t="s">
        <v>37</v>
      </c>
      <c r="P2229" s="486"/>
      <c r="Q2229" s="486"/>
      <c r="R2229" s="486"/>
      <c r="S2229" s="486"/>
      <c r="T2229" s="486"/>
      <c r="U2229" s="486"/>
      <c r="V2229" s="263"/>
      <c r="W2229" s="267"/>
      <c r="X2229" s="263"/>
    </row>
    <row r="2230" spans="1:53" ht="69.95" customHeight="1">
      <c r="E2230" s="264"/>
      <c r="F2230" s="265"/>
      <c r="G2230" s="263"/>
      <c r="H2230" s="275" t="s">
        <v>37</v>
      </c>
      <c r="I2230" s="486"/>
      <c r="J2230" s="486"/>
      <c r="K2230" s="486"/>
      <c r="L2230" s="486"/>
      <c r="M2230" s="263"/>
      <c r="N2230" s="263"/>
      <c r="O2230" s="275" t="s">
        <v>37</v>
      </c>
      <c r="P2230" s="486"/>
      <c r="Q2230" s="486"/>
      <c r="R2230" s="486"/>
      <c r="S2230" s="486"/>
      <c r="T2230" s="486"/>
      <c r="U2230" s="486"/>
      <c r="V2230" s="263"/>
      <c r="W2230" s="267"/>
      <c r="X2230" s="263"/>
    </row>
    <row r="2231" spans="1:53" ht="39.950000000000003" customHeight="1" thickBot="1">
      <c r="E2231" s="276"/>
      <c r="F2231" s="277"/>
      <c r="G2231" s="278"/>
      <c r="H2231" s="278"/>
      <c r="I2231" s="278"/>
      <c r="J2231" s="278"/>
      <c r="K2231" s="278"/>
      <c r="L2231" s="278"/>
      <c r="M2231" s="278"/>
      <c r="N2231" s="278"/>
      <c r="O2231" s="278"/>
      <c r="P2231" s="278"/>
      <c r="Q2231" s="278"/>
      <c r="R2231" s="278"/>
      <c r="S2231" s="278"/>
      <c r="T2231" s="279"/>
      <c r="U2231" s="279"/>
      <c r="V2231" s="279"/>
      <c r="W2231" s="280"/>
      <c r="X2231" s="263"/>
    </row>
    <row r="2232" spans="1:53" ht="62.25" thickBot="1"/>
    <row r="2233" spans="1:53" ht="39.950000000000003" customHeight="1">
      <c r="A2233" s="252" t="str">
        <f>CONCATENATE(F2240,F2242,F2244)</f>
        <v>CHP3</v>
      </c>
      <c r="E2233" s="259" t="s">
        <v>70</v>
      </c>
      <c r="F2233" s="260">
        <f>VLOOKUP(CONCATENATE(A2233,1),'zoznam zapasov'!$A$6:$K$160,3,0)</f>
        <v>111</v>
      </c>
      <c r="G2233" s="261"/>
      <c r="H2233" s="322" t="s">
        <v>501</v>
      </c>
      <c r="I2233" s="261"/>
      <c r="J2233" s="261"/>
      <c r="K2233" s="261"/>
      <c r="L2233" s="261"/>
      <c r="M2233" s="261"/>
      <c r="N2233" s="261"/>
      <c r="O2233" s="261"/>
      <c r="P2233" s="261"/>
      <c r="Q2233" s="261"/>
      <c r="R2233" s="261"/>
      <c r="S2233" s="261"/>
      <c r="T2233" s="261"/>
      <c r="U2233" s="261"/>
      <c r="V2233" s="261" t="s">
        <v>30</v>
      </c>
      <c r="W2233" s="262"/>
      <c r="X2233" s="263"/>
      <c r="Y2233" s="253" t="str">
        <f>A2235</f>
        <v>CHP31</v>
      </c>
      <c r="Z2233" s="258" t="str">
        <f>CONCATENATE(V2235,":",V2238)</f>
        <v>0:3</v>
      </c>
      <c r="AA2233" s="255" t="str">
        <f>N2242</f>
        <v>HURKA Rastislav</v>
      </c>
      <c r="AB2233" s="255" t="str">
        <f>IF(V2235&gt;V2238,AV2233,IF(V2238&gt;V2235,AV2234,""))</f>
        <v xml:space="preserve">3:0 ( 7,7,3,,,, ) </v>
      </c>
      <c r="AC2233" s="255" t="str">
        <f>CONCATENATE("Tbl.: ",F2235,"   H: ",F2238,"   D: ",F2237)</f>
        <v>Tbl.: 3   H: 16.00   D: So</v>
      </c>
      <c r="AE2233" s="253" t="s">
        <v>11</v>
      </c>
      <c r="AV2233" s="256" t="str">
        <f>CONCATENATE(V2235,":",V2238, " ( ",AN2235,",",AO2235,",",AP2235,",",AQ2235,",",AR2235,",",AS2235,",",AT2235," ) ")</f>
        <v xml:space="preserve">0:3 ( -7,-7,-3,,,, ) </v>
      </c>
    </row>
    <row r="2234" spans="1:53" ht="39.950000000000003" customHeight="1">
      <c r="E2234" s="264"/>
      <c r="F2234" s="265"/>
      <c r="G2234" s="321" t="s">
        <v>500</v>
      </c>
      <c r="H2234" s="323" t="s">
        <v>502</v>
      </c>
      <c r="I2234" s="263"/>
      <c r="J2234" s="263"/>
      <c r="K2234" s="263"/>
      <c r="L2234" s="263"/>
      <c r="M2234" s="263"/>
      <c r="N2234" s="266">
        <v>1</v>
      </c>
      <c r="O2234" s="266">
        <v>2</v>
      </c>
      <c r="P2234" s="266">
        <v>3</v>
      </c>
      <c r="Q2234" s="266">
        <v>4</v>
      </c>
      <c r="R2234" s="266">
        <v>5</v>
      </c>
      <c r="S2234" s="266">
        <v>6</v>
      </c>
      <c r="T2234" s="266">
        <v>7</v>
      </c>
      <c r="U2234" s="263"/>
      <c r="V2234" s="266" t="s">
        <v>31</v>
      </c>
      <c r="W2234" s="267"/>
      <c r="X2234" s="263"/>
      <c r="AE2234" s="253" t="s">
        <v>68</v>
      </c>
      <c r="AV2234" s="256" t="str">
        <f>CONCATENATE(V2238,":",V2235, " ( ",AN2236,",",AO2236,",",AP2236,",",AQ2236,",",AR2236,",",AS2236,",",AT2236," ) ")</f>
        <v xml:space="preserve">3:0 ( 7,7,3,,,, ) </v>
      </c>
    </row>
    <row r="2235" spans="1:53" ht="39.950000000000003" customHeight="1">
      <c r="A2235" s="252" t="str">
        <f>CONCATENATE(A2233,1)</f>
        <v>CHP31</v>
      </c>
      <c r="E2235" s="264" t="s">
        <v>29</v>
      </c>
      <c r="F2235" s="265">
        <f>VLOOKUP(CONCATENATE(A2233,1),'zoznam zapasov'!$A$6:$K$160,11,0)</f>
        <v>3</v>
      </c>
      <c r="G2235" s="508"/>
      <c r="H2235" s="495"/>
      <c r="I2235" s="487" t="str">
        <f>IF(ISERROR(VLOOKUP(A2235,'KO KODY SPOLU'!$A$3:$B$189,2,0))=TRUE,"",VLOOKUP(A2235,'KO KODY SPOLU'!$A$3:$B$189,2,0))</f>
        <v>PAPÁNEK Martin</v>
      </c>
      <c r="J2235" s="487"/>
      <c r="K2235" s="487"/>
      <c r="L2235" s="487"/>
      <c r="M2235" s="263"/>
      <c r="N2235" s="489">
        <v>7</v>
      </c>
      <c r="O2235" s="489">
        <v>7</v>
      </c>
      <c r="P2235" s="489">
        <v>3</v>
      </c>
      <c r="Q2235" s="489"/>
      <c r="R2235" s="489"/>
      <c r="S2235" s="489"/>
      <c r="T2235" s="489"/>
      <c r="U2235" s="263"/>
      <c r="V2235" s="493">
        <f>IF(SUM(AF2235:AL2236)=0,"",SUM(AF2235:AL2235))</f>
        <v>0</v>
      </c>
      <c r="W2235" s="267"/>
      <c r="X2235" s="263"/>
      <c r="AE2235" s="253" t="str">
        <f>VLOOKUP(I2235,vylosovanie!$F$8:$L$190,7,0)</f>
        <v>CH81</v>
      </c>
      <c r="AF2235" s="268">
        <f>IF(N2235&gt;N2238,1,0)</f>
        <v>0</v>
      </c>
      <c r="AG2235" s="268">
        <f t="shared" ref="AG2235" si="1986">IF(O2235&gt;O2238,1,0)</f>
        <v>0</v>
      </c>
      <c r="AH2235" s="268">
        <f t="shared" ref="AH2235" si="1987">IF(P2235&gt;P2238,1,0)</f>
        <v>0</v>
      </c>
      <c r="AI2235" s="268">
        <f t="shared" ref="AI2235" si="1988">IF(Q2235&gt;Q2238,1,0)</f>
        <v>0</v>
      </c>
      <c r="AJ2235" s="268">
        <f t="shared" ref="AJ2235" si="1989">IF(R2235&gt;R2238,1,0)</f>
        <v>0</v>
      </c>
      <c r="AK2235" s="268">
        <f t="shared" ref="AK2235" si="1990">IF(S2235&gt;S2238,1,0)</f>
        <v>0</v>
      </c>
      <c r="AL2235" s="268">
        <f t="shared" ref="AL2235" si="1991">IF(T2235&gt;T2238,1,0)</f>
        <v>0</v>
      </c>
      <c r="AN2235" s="268">
        <f t="shared" ref="AN2235" si="1992">IF(ISBLANK(N2235)=TRUE,"",IF(AF2235=1,N2238,-N2235))</f>
        <v>-7</v>
      </c>
      <c r="AO2235" s="268">
        <f t="shared" ref="AO2235" si="1993">IF(ISBLANK(O2235)=TRUE,"",IF(AG2235=1,O2238,-O2235))</f>
        <v>-7</v>
      </c>
      <c r="AP2235" s="268">
        <f t="shared" ref="AP2235" si="1994">IF(ISBLANK(P2235)=TRUE,"",IF(AH2235=1,P2238,-P2235))</f>
        <v>-3</v>
      </c>
      <c r="AQ2235" s="268" t="str">
        <f t="shared" ref="AQ2235" si="1995">IF(ISBLANK(Q2235)=TRUE,"",IF(AI2235=1,Q2238,-Q2235))</f>
        <v/>
      </c>
      <c r="AR2235" s="268" t="str">
        <f t="shared" ref="AR2235" si="1996">IF(ISBLANK(R2235)=TRUE,"",IF(AJ2235=1,R2238,-R2235))</f>
        <v/>
      </c>
      <c r="AS2235" s="268" t="str">
        <f t="shared" ref="AS2235" si="1997">IF(ISBLANK(S2235)=TRUE,"",IF(AK2235=1,S2238,-S2235))</f>
        <v/>
      </c>
      <c r="AT2235" s="268" t="str">
        <f t="shared" ref="AT2235" si="1998">IF(ISBLANK(T2235)=TRUE,"",IF(AL2235=1,T2238,-T2235))</f>
        <v/>
      </c>
      <c r="AZ2235" s="269" t="s">
        <v>12</v>
      </c>
      <c r="BA2235" s="269">
        <v>1</v>
      </c>
    </row>
    <row r="2236" spans="1:53" ht="39.950000000000003" customHeight="1">
      <c r="E2236" s="264"/>
      <c r="F2236" s="265"/>
      <c r="G2236" s="509"/>
      <c r="H2236" s="495"/>
      <c r="I2236" s="487"/>
      <c r="J2236" s="487"/>
      <c r="K2236" s="487"/>
      <c r="L2236" s="487"/>
      <c r="M2236" s="263"/>
      <c r="N2236" s="490"/>
      <c r="O2236" s="490"/>
      <c r="P2236" s="490"/>
      <c r="Q2236" s="490"/>
      <c r="R2236" s="490"/>
      <c r="S2236" s="490"/>
      <c r="T2236" s="490"/>
      <c r="U2236" s="263"/>
      <c r="V2236" s="493"/>
      <c r="W2236" s="267"/>
      <c r="X2236" s="263"/>
      <c r="AE2236" s="253" t="str">
        <f>VLOOKUP(I2238,vylosovanie!$F$8:$L$190,7,0)</f>
        <v>CH42</v>
      </c>
      <c r="AF2236" s="268">
        <f>IF(N2238&gt;N2235,1,0)</f>
        <v>1</v>
      </c>
      <c r="AG2236" s="268">
        <f t="shared" ref="AG2236" si="1999">IF(O2238&gt;O2235,1,0)</f>
        <v>1</v>
      </c>
      <c r="AH2236" s="268">
        <f t="shared" ref="AH2236" si="2000">IF(P2238&gt;P2235,1,0)</f>
        <v>1</v>
      </c>
      <c r="AI2236" s="268">
        <f t="shared" ref="AI2236" si="2001">IF(Q2238&gt;Q2235,1,0)</f>
        <v>0</v>
      </c>
      <c r="AJ2236" s="268">
        <f t="shared" ref="AJ2236" si="2002">IF(R2238&gt;R2235,1,0)</f>
        <v>0</v>
      </c>
      <c r="AK2236" s="268">
        <f t="shared" ref="AK2236" si="2003">IF(S2238&gt;S2235,1,0)</f>
        <v>0</v>
      </c>
      <c r="AL2236" s="268">
        <f t="shared" ref="AL2236" si="2004">IF(T2238&gt;T2235,1,0)</f>
        <v>0</v>
      </c>
      <c r="AN2236" s="268">
        <f t="shared" ref="AN2236" si="2005">IF(ISBLANK(N2238)=TRUE,"",IF(AF2236=1,N2235,-N2238))</f>
        <v>7</v>
      </c>
      <c r="AO2236" s="268">
        <f t="shared" ref="AO2236" si="2006">IF(ISBLANK(O2238)=TRUE,"",IF(AG2236=1,O2235,-O2238))</f>
        <v>7</v>
      </c>
      <c r="AP2236" s="268">
        <f t="shared" ref="AP2236" si="2007">IF(ISBLANK(P2238)=TRUE,"",IF(AH2236=1,P2235,-P2238))</f>
        <v>3</v>
      </c>
      <c r="AQ2236" s="268" t="str">
        <f t="shared" ref="AQ2236" si="2008">IF(ISBLANK(Q2238)=TRUE,"",IF(AI2236=1,Q2235,-Q2238))</f>
        <v/>
      </c>
      <c r="AR2236" s="268" t="str">
        <f t="shared" ref="AR2236" si="2009">IF(ISBLANK(R2238)=TRUE,"",IF(AJ2236=1,R2235,-R2238))</f>
        <v/>
      </c>
      <c r="AS2236" s="268" t="str">
        <f t="shared" ref="AS2236" si="2010">IF(ISBLANK(S2238)=TRUE,"",IF(AK2236=1,S2235,-S2238))</f>
        <v/>
      </c>
      <c r="AT2236" s="268" t="str">
        <f t="shared" ref="AT2236" si="2011">IF(ISBLANK(T2238)=TRUE,"",IF(AL2236=1,T2235,-T2238))</f>
        <v/>
      </c>
      <c r="AZ2236" s="269" t="s">
        <v>18</v>
      </c>
      <c r="BA2236" s="269">
        <v>2</v>
      </c>
    </row>
    <row r="2237" spans="1:53" ht="39.950000000000003" customHeight="1">
      <c r="E2237" s="264" t="s">
        <v>35</v>
      </c>
      <c r="F2237" s="265" t="str">
        <f>VLOOKUP(CONCATENATE(A2233,1),'zoznam zapasov'!$A$6:$K$160,9,0)</f>
        <v>So</v>
      </c>
      <c r="G2237" s="263"/>
      <c r="H2237" s="263"/>
      <c r="I2237" s="263"/>
      <c r="J2237" s="263"/>
      <c r="K2237" s="263"/>
      <c r="L2237" s="263"/>
      <c r="M2237" s="263"/>
      <c r="N2237" s="263"/>
      <c r="O2237" s="263"/>
      <c r="P2237" s="263"/>
      <c r="Q2237" s="263"/>
      <c r="R2237" s="263"/>
      <c r="S2237" s="263"/>
      <c r="T2237" s="263"/>
      <c r="U2237" s="263"/>
      <c r="V2237" s="263"/>
      <c r="W2237" s="267"/>
      <c r="X2237" s="263"/>
      <c r="AZ2237" s="269" t="s">
        <v>38</v>
      </c>
      <c r="BA2237" s="269">
        <v>3</v>
      </c>
    </row>
    <row r="2238" spans="1:53" ht="39.950000000000003" customHeight="1">
      <c r="A2238" s="252" t="str">
        <f>CONCATENATE(A2233,2)</f>
        <v>CHP32</v>
      </c>
      <c r="E2238" s="264" t="s">
        <v>28</v>
      </c>
      <c r="F2238" s="270" t="str">
        <f>VLOOKUP(CONCATENATE(A2233,1),'zoznam zapasov'!$A$6:$K$160,10,0)</f>
        <v>16.00</v>
      </c>
      <c r="G2238" s="508"/>
      <c r="H2238" s="486"/>
      <c r="I2238" s="487" t="str">
        <f>IF(ISERROR(VLOOKUP(A2238,'KO KODY SPOLU'!$A$3:$B$189,2,0))=TRUE,"",VLOOKUP(A2238,'KO KODY SPOLU'!$A$3:$B$189,2,0))</f>
        <v>HURKA Rastislav</v>
      </c>
      <c r="J2238" s="487"/>
      <c r="K2238" s="487"/>
      <c r="L2238" s="487"/>
      <c r="M2238" s="263"/>
      <c r="N2238" s="489">
        <v>11</v>
      </c>
      <c r="O2238" s="489">
        <v>11</v>
      </c>
      <c r="P2238" s="489">
        <v>11</v>
      </c>
      <c r="Q2238" s="489"/>
      <c r="R2238" s="489"/>
      <c r="S2238" s="489"/>
      <c r="T2238" s="489"/>
      <c r="U2238" s="263"/>
      <c r="V2238" s="493">
        <f>IF(SUM(AF2235:AL2236)=0,"",SUM(AF2236:AL2236))</f>
        <v>3</v>
      </c>
      <c r="W2238" s="267"/>
      <c r="X2238" s="263"/>
      <c r="AZ2238" s="269" t="s">
        <v>39</v>
      </c>
      <c r="BA2238" s="269">
        <v>4</v>
      </c>
    </row>
    <row r="2239" spans="1:53" ht="39.950000000000003" customHeight="1">
      <c r="E2239" s="271"/>
      <c r="F2239" s="272"/>
      <c r="G2239" s="509"/>
      <c r="H2239" s="486"/>
      <c r="I2239" s="487"/>
      <c r="J2239" s="487"/>
      <c r="K2239" s="487"/>
      <c r="L2239" s="487"/>
      <c r="M2239" s="263"/>
      <c r="N2239" s="490"/>
      <c r="O2239" s="490"/>
      <c r="P2239" s="490"/>
      <c r="Q2239" s="490"/>
      <c r="R2239" s="490"/>
      <c r="S2239" s="490"/>
      <c r="T2239" s="490"/>
      <c r="U2239" s="263"/>
      <c r="V2239" s="493"/>
      <c r="W2239" s="267"/>
      <c r="X2239" s="263"/>
      <c r="AZ2239" s="269" t="s">
        <v>40</v>
      </c>
      <c r="BA2239" s="269">
        <v>5</v>
      </c>
    </row>
    <row r="2240" spans="1:53" ht="39.950000000000003" customHeight="1">
      <c r="E2240" s="264" t="s">
        <v>66</v>
      </c>
      <c r="F2240" s="265" t="s">
        <v>65</v>
      </c>
      <c r="G2240" s="263"/>
      <c r="H2240" s="263"/>
      <c r="I2240" s="263"/>
      <c r="J2240" s="263"/>
      <c r="K2240" s="263"/>
      <c r="L2240" s="263"/>
      <c r="M2240" s="263"/>
      <c r="N2240" s="263"/>
      <c r="O2240" s="263"/>
      <c r="P2240" s="263"/>
      <c r="Q2240" s="263"/>
      <c r="R2240" s="263"/>
      <c r="S2240" s="263"/>
      <c r="T2240" s="263"/>
      <c r="U2240" s="263"/>
      <c r="V2240" s="263"/>
      <c r="W2240" s="267"/>
      <c r="X2240" s="263"/>
      <c r="AZ2240" s="269" t="s">
        <v>41</v>
      </c>
      <c r="BA2240" s="269">
        <v>6</v>
      </c>
    </row>
    <row r="2241" spans="1:53" ht="39.950000000000003" customHeight="1">
      <c r="E2241" s="271"/>
      <c r="F2241" s="272"/>
      <c r="G2241" s="263"/>
      <c r="H2241" s="263"/>
      <c r="I2241" s="263" t="s">
        <v>32</v>
      </c>
      <c r="J2241" s="263"/>
      <c r="K2241" s="263"/>
      <c r="L2241" s="263"/>
      <c r="M2241" s="263"/>
      <c r="N2241" s="273"/>
      <c r="O2241" s="266"/>
      <c r="P2241" s="266" t="s">
        <v>34</v>
      </c>
      <c r="Q2241" s="266"/>
      <c r="R2241" s="266"/>
      <c r="S2241" s="266"/>
      <c r="T2241" s="266"/>
      <c r="U2241" s="263"/>
      <c r="V2241" s="263"/>
      <c r="W2241" s="267"/>
      <c r="X2241" s="263"/>
      <c r="AZ2241" s="269" t="s">
        <v>42</v>
      </c>
      <c r="BA2241" s="269">
        <v>7</v>
      </c>
    </row>
    <row r="2242" spans="1:53" ht="39.950000000000003" customHeight="1">
      <c r="E2242" s="264" t="s">
        <v>26</v>
      </c>
      <c r="F2242" s="265" t="s">
        <v>128</v>
      </c>
      <c r="G2242" s="263"/>
      <c r="H2242" s="263"/>
      <c r="I2242" s="486"/>
      <c r="J2242" s="486"/>
      <c r="K2242" s="486"/>
      <c r="L2242" s="486"/>
      <c r="M2242" s="263"/>
      <c r="N2242" s="486" t="str">
        <f>IF(V2235&gt;V2238,I2235,IF(V2238&gt;V2235,I2238,""))</f>
        <v>HURKA Rastislav</v>
      </c>
      <c r="O2242" s="486"/>
      <c r="P2242" s="486"/>
      <c r="Q2242" s="486"/>
      <c r="R2242" s="486"/>
      <c r="S2242" s="486"/>
      <c r="T2242" s="263"/>
      <c r="U2242" s="263"/>
      <c r="V2242" s="263"/>
      <c r="W2242" s="267"/>
      <c r="X2242" s="263"/>
      <c r="AZ2242" s="269" t="s">
        <v>43</v>
      </c>
      <c r="BA2242" s="269">
        <v>8</v>
      </c>
    </row>
    <row r="2243" spans="1:53" ht="39.950000000000003" customHeight="1">
      <c r="E2243" s="271"/>
      <c r="F2243" s="272"/>
      <c r="G2243" s="263"/>
      <c r="H2243" s="263"/>
      <c r="I2243" s="486"/>
      <c r="J2243" s="486"/>
      <c r="K2243" s="486"/>
      <c r="L2243" s="486"/>
      <c r="M2243" s="263"/>
      <c r="N2243" s="486"/>
      <c r="O2243" s="486"/>
      <c r="P2243" s="486"/>
      <c r="Q2243" s="486"/>
      <c r="R2243" s="486"/>
      <c r="S2243" s="486"/>
      <c r="T2243" s="263"/>
      <c r="U2243" s="263"/>
      <c r="V2243" s="263"/>
      <c r="W2243" s="267"/>
      <c r="X2243" s="263"/>
    </row>
    <row r="2244" spans="1:53" ht="39.950000000000003" customHeight="1">
      <c r="E2244" s="264" t="s">
        <v>27</v>
      </c>
      <c r="F2244" s="274" t="s">
        <v>163</v>
      </c>
      <c r="G2244" s="263"/>
      <c r="H2244" s="263"/>
      <c r="I2244" s="263"/>
      <c r="J2244" s="263"/>
      <c r="K2244" s="263"/>
      <c r="L2244" s="263"/>
      <c r="M2244" s="263"/>
      <c r="N2244" s="263"/>
      <c r="O2244" s="263"/>
      <c r="P2244" s="263"/>
      <c r="Q2244" s="263"/>
      <c r="R2244" s="263"/>
      <c r="S2244" s="263"/>
      <c r="T2244" s="263"/>
      <c r="U2244" s="263"/>
      <c r="V2244" s="263"/>
      <c r="W2244" s="267"/>
      <c r="X2244" s="263"/>
    </row>
    <row r="2245" spans="1:53" ht="39.950000000000003" customHeight="1">
      <c r="E2245" s="271"/>
      <c r="F2245" s="272"/>
      <c r="G2245" s="263"/>
      <c r="H2245" s="263" t="s">
        <v>33</v>
      </c>
      <c r="I2245" s="263"/>
      <c r="J2245" s="263"/>
      <c r="K2245" s="263"/>
      <c r="L2245" s="263"/>
      <c r="M2245" s="263"/>
      <c r="N2245" s="263"/>
      <c r="O2245" s="263"/>
      <c r="P2245" s="263"/>
      <c r="Q2245" s="263"/>
      <c r="R2245" s="263"/>
      <c r="S2245" s="263"/>
      <c r="T2245" s="263"/>
      <c r="U2245" s="263"/>
      <c r="V2245" s="263"/>
      <c r="W2245" s="267"/>
      <c r="X2245" s="263"/>
    </row>
    <row r="2246" spans="1:53" ht="39.950000000000003" customHeight="1">
      <c r="E2246" s="271"/>
      <c r="F2246" s="272"/>
      <c r="G2246" s="263"/>
      <c r="H2246" s="263"/>
      <c r="I2246" s="263"/>
      <c r="J2246" s="263"/>
      <c r="K2246" s="263"/>
      <c r="L2246" s="263"/>
      <c r="M2246" s="263"/>
      <c r="N2246" s="263"/>
      <c r="O2246" s="263"/>
      <c r="P2246" s="263"/>
      <c r="Q2246" s="263"/>
      <c r="R2246" s="263"/>
      <c r="S2246" s="263"/>
      <c r="T2246" s="263"/>
      <c r="U2246" s="263"/>
      <c r="V2246" s="263"/>
      <c r="W2246" s="267"/>
      <c r="X2246" s="263"/>
    </row>
    <row r="2247" spans="1:53" ht="39.950000000000003" customHeight="1">
      <c r="E2247" s="271"/>
      <c r="F2247" s="272"/>
      <c r="G2247" s="263"/>
      <c r="H2247" s="263"/>
      <c r="I2247" s="496" t="str">
        <f>I2235</f>
        <v>PAPÁNEK Martin</v>
      </c>
      <c r="J2247" s="496"/>
      <c r="K2247" s="496"/>
      <c r="L2247" s="496"/>
      <c r="M2247" s="263"/>
      <c r="N2247" s="263"/>
      <c r="O2247" s="263"/>
      <c r="P2247" s="496" t="str">
        <f>I2238</f>
        <v>HURKA Rastislav</v>
      </c>
      <c r="Q2247" s="496"/>
      <c r="R2247" s="496"/>
      <c r="S2247" s="496"/>
      <c r="T2247" s="497"/>
      <c r="U2247" s="497"/>
      <c r="V2247" s="263"/>
      <c r="W2247" s="267"/>
      <c r="X2247" s="263"/>
    </row>
    <row r="2248" spans="1:53" ht="69.95" customHeight="1">
      <c r="E2248" s="264"/>
      <c r="F2248" s="265"/>
      <c r="G2248" s="263"/>
      <c r="H2248" s="275" t="s">
        <v>36</v>
      </c>
      <c r="I2248" s="483"/>
      <c r="J2248" s="494"/>
      <c r="K2248" s="494"/>
      <c r="L2248" s="495"/>
      <c r="M2248" s="263"/>
      <c r="N2248" s="263"/>
      <c r="O2248" s="275" t="s">
        <v>36</v>
      </c>
      <c r="P2248" s="486"/>
      <c r="Q2248" s="486"/>
      <c r="R2248" s="486"/>
      <c r="S2248" s="486"/>
      <c r="T2248" s="486"/>
      <c r="U2248" s="486"/>
      <c r="V2248" s="263"/>
      <c r="W2248" s="267"/>
      <c r="X2248" s="263"/>
    </row>
    <row r="2249" spans="1:53" ht="69.95" customHeight="1">
      <c r="E2249" s="264"/>
      <c r="F2249" s="265"/>
      <c r="G2249" s="263"/>
      <c r="H2249" s="275" t="s">
        <v>37</v>
      </c>
      <c r="I2249" s="486"/>
      <c r="J2249" s="486"/>
      <c r="K2249" s="486"/>
      <c r="L2249" s="486"/>
      <c r="M2249" s="263"/>
      <c r="N2249" s="263"/>
      <c r="O2249" s="275" t="s">
        <v>37</v>
      </c>
      <c r="P2249" s="486"/>
      <c r="Q2249" s="486"/>
      <c r="R2249" s="486"/>
      <c r="S2249" s="486"/>
      <c r="T2249" s="486"/>
      <c r="U2249" s="486"/>
      <c r="V2249" s="263"/>
      <c r="W2249" s="267"/>
      <c r="X2249" s="263"/>
    </row>
    <row r="2250" spans="1:53" ht="69.95" customHeight="1">
      <c r="E2250" s="264"/>
      <c r="F2250" s="265"/>
      <c r="G2250" s="263"/>
      <c r="H2250" s="275" t="s">
        <v>37</v>
      </c>
      <c r="I2250" s="486"/>
      <c r="J2250" s="486"/>
      <c r="K2250" s="486"/>
      <c r="L2250" s="486"/>
      <c r="M2250" s="263"/>
      <c r="N2250" s="263"/>
      <c r="O2250" s="275" t="s">
        <v>37</v>
      </c>
      <c r="P2250" s="486"/>
      <c r="Q2250" s="486"/>
      <c r="R2250" s="486"/>
      <c r="S2250" s="486"/>
      <c r="T2250" s="486"/>
      <c r="U2250" s="486"/>
      <c r="V2250" s="263"/>
      <c r="W2250" s="267"/>
      <c r="X2250" s="263"/>
    </row>
    <row r="2251" spans="1:53" ht="39.950000000000003" customHeight="1" thickBot="1">
      <c r="E2251" s="276"/>
      <c r="F2251" s="277"/>
      <c r="G2251" s="278"/>
      <c r="H2251" s="278"/>
      <c r="I2251" s="278"/>
      <c r="J2251" s="278"/>
      <c r="K2251" s="278"/>
      <c r="L2251" s="278"/>
      <c r="M2251" s="278"/>
      <c r="N2251" s="278"/>
      <c r="O2251" s="278"/>
      <c r="P2251" s="278"/>
      <c r="Q2251" s="278"/>
      <c r="R2251" s="278"/>
      <c r="S2251" s="278"/>
      <c r="T2251" s="279"/>
      <c r="U2251" s="279"/>
      <c r="V2251" s="279"/>
      <c r="W2251" s="280"/>
      <c r="X2251" s="263"/>
    </row>
    <row r="2252" spans="1:53" ht="62.25" thickBot="1"/>
    <row r="2253" spans="1:53" ht="39.950000000000003" customHeight="1">
      <c r="A2253" s="252" t="str">
        <f>CONCATENATE(F2260,F2262,F2264)</f>
        <v>CHP4</v>
      </c>
      <c r="E2253" s="259" t="s">
        <v>70</v>
      </c>
      <c r="F2253" s="260">
        <f>VLOOKUP(CONCATENATE(A2253,1),'zoznam zapasov'!$A$6:$K$160,3,0)</f>
        <v>112</v>
      </c>
      <c r="G2253" s="261"/>
      <c r="H2253" s="322" t="s">
        <v>501</v>
      </c>
      <c r="I2253" s="261"/>
      <c r="J2253" s="261"/>
      <c r="K2253" s="261"/>
      <c r="L2253" s="261"/>
      <c r="M2253" s="261"/>
      <c r="N2253" s="261"/>
      <c r="O2253" s="261"/>
      <c r="P2253" s="261"/>
      <c r="Q2253" s="261"/>
      <c r="R2253" s="261"/>
      <c r="S2253" s="261"/>
      <c r="T2253" s="261"/>
      <c r="U2253" s="261"/>
      <c r="V2253" s="261" t="s">
        <v>30</v>
      </c>
      <c r="W2253" s="262"/>
      <c r="X2253" s="263"/>
      <c r="Y2253" s="253" t="str">
        <f>A2255</f>
        <v>CHP41</v>
      </c>
      <c r="Z2253" s="258" t="str">
        <f>CONCATENATE(V2255,":",V2258)</f>
        <v>0:3</v>
      </c>
      <c r="AA2253" s="255" t="str">
        <f>N2262</f>
        <v>FEČO Samuel</v>
      </c>
      <c r="AB2253" s="255" t="str">
        <f>IF(V2255&gt;V2258,AV2253,IF(V2258&gt;V2255,AV2254,""))</f>
        <v xml:space="preserve">3:0 ( 3,9,4,,,, ) </v>
      </c>
      <c r="AC2253" s="255" t="str">
        <f>CONCATENATE("Tbl.: ",F2255,"   H: ",F2258,"   D: ",F2257)</f>
        <v>Tbl.: 4   H: 16.00   D: So</v>
      </c>
      <c r="AE2253" s="253" t="s">
        <v>11</v>
      </c>
      <c r="AV2253" s="256" t="str">
        <f>CONCATENATE(V2255,":",V2258, " ( ",AN2255,",",AO2255,",",AP2255,",",AQ2255,",",AR2255,",",AS2255,",",AT2255," ) ")</f>
        <v xml:space="preserve">0:3 ( -3,-9,-4,,,, ) </v>
      </c>
    </row>
    <row r="2254" spans="1:53" ht="39.950000000000003" customHeight="1">
      <c r="E2254" s="264"/>
      <c r="F2254" s="265"/>
      <c r="G2254" s="321" t="s">
        <v>500</v>
      </c>
      <c r="H2254" s="323" t="s">
        <v>502</v>
      </c>
      <c r="I2254" s="263"/>
      <c r="J2254" s="263"/>
      <c r="K2254" s="263"/>
      <c r="L2254" s="263"/>
      <c r="M2254" s="263"/>
      <c r="N2254" s="266">
        <v>1</v>
      </c>
      <c r="O2254" s="266">
        <v>2</v>
      </c>
      <c r="P2254" s="266">
        <v>3</v>
      </c>
      <c r="Q2254" s="266">
        <v>4</v>
      </c>
      <c r="R2254" s="266">
        <v>5</v>
      </c>
      <c r="S2254" s="266">
        <v>6</v>
      </c>
      <c r="T2254" s="266">
        <v>7</v>
      </c>
      <c r="U2254" s="263"/>
      <c r="V2254" s="266" t="s">
        <v>31</v>
      </c>
      <c r="W2254" s="267"/>
      <c r="X2254" s="263"/>
      <c r="AE2254" s="253" t="s">
        <v>68</v>
      </c>
      <c r="AV2254" s="256" t="str">
        <f>CONCATENATE(V2258,":",V2255, " ( ",AN2256,",",AO2256,",",AP2256,",",AQ2256,",",AR2256,",",AS2256,",",AT2256," ) ")</f>
        <v xml:space="preserve">3:0 ( 3,9,4,,,, ) </v>
      </c>
    </row>
    <row r="2255" spans="1:53" ht="39.950000000000003" customHeight="1">
      <c r="A2255" s="252" t="str">
        <f>CONCATENATE(A2253,1)</f>
        <v>CHP41</v>
      </c>
      <c r="E2255" s="264" t="s">
        <v>29</v>
      </c>
      <c r="F2255" s="265">
        <f>VLOOKUP(CONCATENATE(A2253,1),'zoznam zapasov'!$A$6:$K$160,11,0)</f>
        <v>4</v>
      </c>
      <c r="G2255" s="508"/>
      <c r="H2255" s="495"/>
      <c r="I2255" s="487" t="str">
        <f>IF(ISERROR(VLOOKUP(A2255,'KO KODY SPOLU'!$A$3:$B$189,2,0))=TRUE,"",VLOOKUP(A2255,'KO KODY SPOLU'!$A$3:$B$189,2,0))</f>
        <v>GREGOR Jakub</v>
      </c>
      <c r="J2255" s="487"/>
      <c r="K2255" s="487"/>
      <c r="L2255" s="487"/>
      <c r="M2255" s="263"/>
      <c r="N2255" s="489">
        <v>3</v>
      </c>
      <c r="O2255" s="489">
        <v>9</v>
      </c>
      <c r="P2255" s="489">
        <v>4</v>
      </c>
      <c r="Q2255" s="489"/>
      <c r="R2255" s="489"/>
      <c r="S2255" s="489"/>
      <c r="T2255" s="489"/>
      <c r="U2255" s="263"/>
      <c r="V2255" s="493">
        <f>IF(SUM(AF2255:AL2256)=0,"",SUM(AF2255:AL2255))</f>
        <v>0</v>
      </c>
      <c r="W2255" s="267"/>
      <c r="X2255" s="263"/>
      <c r="AE2255" s="253" t="str">
        <f>VLOOKUP(I2255,vylosovanie!$F$8:$L$190,7,0)</f>
        <v>CH74</v>
      </c>
      <c r="AF2255" s="268">
        <f>IF(N2255&gt;N2258,1,0)</f>
        <v>0</v>
      </c>
      <c r="AG2255" s="268">
        <f t="shared" ref="AG2255" si="2012">IF(O2255&gt;O2258,1,0)</f>
        <v>0</v>
      </c>
      <c r="AH2255" s="268">
        <f t="shared" ref="AH2255" si="2013">IF(P2255&gt;P2258,1,0)</f>
        <v>0</v>
      </c>
      <c r="AI2255" s="268">
        <f t="shared" ref="AI2255" si="2014">IF(Q2255&gt;Q2258,1,0)</f>
        <v>0</v>
      </c>
      <c r="AJ2255" s="268">
        <f t="shared" ref="AJ2255" si="2015">IF(R2255&gt;R2258,1,0)</f>
        <v>0</v>
      </c>
      <c r="AK2255" s="268">
        <f t="shared" ref="AK2255" si="2016">IF(S2255&gt;S2258,1,0)</f>
        <v>0</v>
      </c>
      <c r="AL2255" s="268">
        <f t="shared" ref="AL2255" si="2017">IF(T2255&gt;T2258,1,0)</f>
        <v>0</v>
      </c>
      <c r="AN2255" s="268">
        <f t="shared" ref="AN2255" si="2018">IF(ISBLANK(N2255)=TRUE,"",IF(AF2255=1,N2258,-N2255))</f>
        <v>-3</v>
      </c>
      <c r="AO2255" s="268">
        <f t="shared" ref="AO2255" si="2019">IF(ISBLANK(O2255)=TRUE,"",IF(AG2255=1,O2258,-O2255))</f>
        <v>-9</v>
      </c>
      <c r="AP2255" s="268">
        <f t="shared" ref="AP2255" si="2020">IF(ISBLANK(P2255)=TRUE,"",IF(AH2255=1,P2258,-P2255))</f>
        <v>-4</v>
      </c>
      <c r="AQ2255" s="268" t="str">
        <f t="shared" ref="AQ2255" si="2021">IF(ISBLANK(Q2255)=TRUE,"",IF(AI2255=1,Q2258,-Q2255))</f>
        <v/>
      </c>
      <c r="AR2255" s="268" t="str">
        <f t="shared" ref="AR2255" si="2022">IF(ISBLANK(R2255)=TRUE,"",IF(AJ2255=1,R2258,-R2255))</f>
        <v/>
      </c>
      <c r="AS2255" s="268" t="str">
        <f t="shared" ref="AS2255" si="2023">IF(ISBLANK(S2255)=TRUE,"",IF(AK2255=1,S2258,-S2255))</f>
        <v/>
      </c>
      <c r="AT2255" s="268" t="str">
        <f t="shared" ref="AT2255" si="2024">IF(ISBLANK(T2255)=TRUE,"",IF(AL2255=1,T2258,-T2255))</f>
        <v/>
      </c>
      <c r="AZ2255" s="269" t="s">
        <v>12</v>
      </c>
      <c r="BA2255" s="269">
        <v>1</v>
      </c>
    </row>
    <row r="2256" spans="1:53" ht="39.950000000000003" customHeight="1">
      <c r="E2256" s="264"/>
      <c r="F2256" s="265"/>
      <c r="G2256" s="509"/>
      <c r="H2256" s="495"/>
      <c r="I2256" s="487"/>
      <c r="J2256" s="487"/>
      <c r="K2256" s="487"/>
      <c r="L2256" s="487"/>
      <c r="M2256" s="263"/>
      <c r="N2256" s="490"/>
      <c r="O2256" s="490"/>
      <c r="P2256" s="490"/>
      <c r="Q2256" s="490"/>
      <c r="R2256" s="490"/>
      <c r="S2256" s="490"/>
      <c r="T2256" s="490"/>
      <c r="U2256" s="263"/>
      <c r="V2256" s="493"/>
      <c r="W2256" s="267"/>
      <c r="X2256" s="263"/>
      <c r="AE2256" s="253" t="str">
        <f>VLOOKUP(I2258,vylosovanie!$F$8:$L$190,7,0)</f>
        <v>CH31</v>
      </c>
      <c r="AF2256" s="268">
        <f>IF(N2258&gt;N2255,1,0)</f>
        <v>1</v>
      </c>
      <c r="AG2256" s="268">
        <f t="shared" ref="AG2256" si="2025">IF(O2258&gt;O2255,1,0)</f>
        <v>1</v>
      </c>
      <c r="AH2256" s="268">
        <f t="shared" ref="AH2256" si="2026">IF(P2258&gt;P2255,1,0)</f>
        <v>1</v>
      </c>
      <c r="AI2256" s="268">
        <f t="shared" ref="AI2256" si="2027">IF(Q2258&gt;Q2255,1,0)</f>
        <v>0</v>
      </c>
      <c r="AJ2256" s="268">
        <f t="shared" ref="AJ2256" si="2028">IF(R2258&gt;R2255,1,0)</f>
        <v>0</v>
      </c>
      <c r="AK2256" s="268">
        <f t="shared" ref="AK2256" si="2029">IF(S2258&gt;S2255,1,0)</f>
        <v>0</v>
      </c>
      <c r="AL2256" s="268">
        <f t="shared" ref="AL2256" si="2030">IF(T2258&gt;T2255,1,0)</f>
        <v>0</v>
      </c>
      <c r="AN2256" s="268">
        <f t="shared" ref="AN2256" si="2031">IF(ISBLANK(N2258)=TRUE,"",IF(AF2256=1,N2255,-N2258))</f>
        <v>3</v>
      </c>
      <c r="AO2256" s="268">
        <f t="shared" ref="AO2256" si="2032">IF(ISBLANK(O2258)=TRUE,"",IF(AG2256=1,O2255,-O2258))</f>
        <v>9</v>
      </c>
      <c r="AP2256" s="268">
        <f t="shared" ref="AP2256" si="2033">IF(ISBLANK(P2258)=TRUE,"",IF(AH2256=1,P2255,-P2258))</f>
        <v>4</v>
      </c>
      <c r="AQ2256" s="268" t="str">
        <f t="shared" ref="AQ2256" si="2034">IF(ISBLANK(Q2258)=TRUE,"",IF(AI2256=1,Q2255,-Q2258))</f>
        <v/>
      </c>
      <c r="AR2256" s="268" t="str">
        <f t="shared" ref="AR2256" si="2035">IF(ISBLANK(R2258)=TRUE,"",IF(AJ2256=1,R2255,-R2258))</f>
        <v/>
      </c>
      <c r="AS2256" s="268" t="str">
        <f t="shared" ref="AS2256" si="2036">IF(ISBLANK(S2258)=TRUE,"",IF(AK2256=1,S2255,-S2258))</f>
        <v/>
      </c>
      <c r="AT2256" s="268" t="str">
        <f t="shared" ref="AT2256" si="2037">IF(ISBLANK(T2258)=TRUE,"",IF(AL2256=1,T2255,-T2258))</f>
        <v/>
      </c>
      <c r="AZ2256" s="269" t="s">
        <v>18</v>
      </c>
      <c r="BA2256" s="269">
        <v>2</v>
      </c>
    </row>
    <row r="2257" spans="1:53" ht="39.950000000000003" customHeight="1">
      <c r="E2257" s="264" t="s">
        <v>35</v>
      </c>
      <c r="F2257" s="265" t="str">
        <f>VLOOKUP(CONCATENATE(A2253,1),'zoznam zapasov'!$A$6:$K$160,9,0)</f>
        <v>So</v>
      </c>
      <c r="G2257" s="263"/>
      <c r="H2257" s="263"/>
      <c r="I2257" s="263"/>
      <c r="J2257" s="263"/>
      <c r="K2257" s="263"/>
      <c r="L2257" s="263"/>
      <c r="M2257" s="263"/>
      <c r="N2257" s="263"/>
      <c r="O2257" s="263"/>
      <c r="P2257" s="263">
        <v>11</v>
      </c>
      <c r="Q2257" s="263"/>
      <c r="R2257" s="263"/>
      <c r="S2257" s="263"/>
      <c r="T2257" s="263"/>
      <c r="U2257" s="263"/>
      <c r="V2257" s="263"/>
      <c r="W2257" s="267"/>
      <c r="X2257" s="263"/>
      <c r="AZ2257" s="269" t="s">
        <v>38</v>
      </c>
      <c r="BA2257" s="269">
        <v>3</v>
      </c>
    </row>
    <row r="2258" spans="1:53" ht="39.950000000000003" customHeight="1">
      <c r="A2258" s="252" t="str">
        <f>CONCATENATE(A2253,2)</f>
        <v>CHP42</v>
      </c>
      <c r="E2258" s="264" t="s">
        <v>28</v>
      </c>
      <c r="F2258" s="270" t="str">
        <f>VLOOKUP(CONCATENATE(A2253,1),'zoznam zapasov'!$A$6:$K$160,10,0)</f>
        <v>16.00</v>
      </c>
      <c r="G2258" s="508"/>
      <c r="H2258" s="486"/>
      <c r="I2258" s="487" t="str">
        <f>IF(ISERROR(VLOOKUP(A2258,'KO KODY SPOLU'!$A$3:$B$189,2,0))=TRUE,"",VLOOKUP(A2258,'KO KODY SPOLU'!$A$3:$B$189,2,0))</f>
        <v>FEČO Samuel</v>
      </c>
      <c r="J2258" s="487"/>
      <c r="K2258" s="487"/>
      <c r="L2258" s="487"/>
      <c r="M2258" s="263"/>
      <c r="N2258" s="489">
        <v>11</v>
      </c>
      <c r="O2258" s="489">
        <v>11</v>
      </c>
      <c r="P2258" s="489">
        <v>11</v>
      </c>
      <c r="Q2258" s="489"/>
      <c r="R2258" s="489"/>
      <c r="S2258" s="489"/>
      <c r="T2258" s="489"/>
      <c r="U2258" s="263"/>
      <c r="V2258" s="493">
        <f>IF(SUM(AF2255:AL2256)=0,"",SUM(AF2256:AL2256))</f>
        <v>3</v>
      </c>
      <c r="W2258" s="267"/>
      <c r="X2258" s="263"/>
      <c r="AZ2258" s="269" t="s">
        <v>39</v>
      </c>
      <c r="BA2258" s="269">
        <v>4</v>
      </c>
    </row>
    <row r="2259" spans="1:53" ht="39.950000000000003" customHeight="1">
      <c r="E2259" s="271"/>
      <c r="F2259" s="272"/>
      <c r="G2259" s="509"/>
      <c r="H2259" s="486"/>
      <c r="I2259" s="487"/>
      <c r="J2259" s="487"/>
      <c r="K2259" s="487"/>
      <c r="L2259" s="487"/>
      <c r="M2259" s="263"/>
      <c r="N2259" s="490"/>
      <c r="O2259" s="490"/>
      <c r="P2259" s="490"/>
      <c r="Q2259" s="490"/>
      <c r="R2259" s="490"/>
      <c r="S2259" s="490"/>
      <c r="T2259" s="490"/>
      <c r="U2259" s="263"/>
      <c r="V2259" s="493"/>
      <c r="W2259" s="267"/>
      <c r="X2259" s="263"/>
      <c r="AZ2259" s="269" t="s">
        <v>40</v>
      </c>
      <c r="BA2259" s="269">
        <v>5</v>
      </c>
    </row>
    <row r="2260" spans="1:53" ht="39.950000000000003" customHeight="1">
      <c r="E2260" s="264" t="s">
        <v>66</v>
      </c>
      <c r="F2260" s="265" t="s">
        <v>65</v>
      </c>
      <c r="G2260" s="263"/>
      <c r="H2260" s="263"/>
      <c r="I2260" s="263"/>
      <c r="J2260" s="263"/>
      <c r="K2260" s="263"/>
      <c r="L2260" s="263"/>
      <c r="M2260" s="263"/>
      <c r="N2260" s="263"/>
      <c r="O2260" s="263"/>
      <c r="P2260" s="263"/>
      <c r="Q2260" s="263"/>
      <c r="R2260" s="263"/>
      <c r="S2260" s="263"/>
      <c r="T2260" s="263"/>
      <c r="U2260" s="263"/>
      <c r="V2260" s="263"/>
      <c r="W2260" s="267"/>
      <c r="X2260" s="263"/>
      <c r="AZ2260" s="269" t="s">
        <v>41</v>
      </c>
      <c r="BA2260" s="269">
        <v>6</v>
      </c>
    </row>
    <row r="2261" spans="1:53" ht="39.950000000000003" customHeight="1">
      <c r="E2261" s="271"/>
      <c r="F2261" s="272"/>
      <c r="G2261" s="263"/>
      <c r="H2261" s="263"/>
      <c r="I2261" s="263" t="s">
        <v>32</v>
      </c>
      <c r="J2261" s="263"/>
      <c r="K2261" s="263"/>
      <c r="L2261" s="263"/>
      <c r="M2261" s="263"/>
      <c r="N2261" s="273"/>
      <c r="O2261" s="266"/>
      <c r="P2261" s="266" t="s">
        <v>34</v>
      </c>
      <c r="Q2261" s="266"/>
      <c r="R2261" s="266"/>
      <c r="S2261" s="266"/>
      <c r="T2261" s="266"/>
      <c r="U2261" s="263"/>
      <c r="V2261" s="263"/>
      <c r="W2261" s="267"/>
      <c r="X2261" s="263"/>
      <c r="AZ2261" s="269" t="s">
        <v>42</v>
      </c>
      <c r="BA2261" s="269">
        <v>7</v>
      </c>
    </row>
    <row r="2262" spans="1:53" ht="39.950000000000003" customHeight="1">
      <c r="E2262" s="264" t="s">
        <v>26</v>
      </c>
      <c r="F2262" s="265" t="s">
        <v>128</v>
      </c>
      <c r="G2262" s="263"/>
      <c r="H2262" s="263"/>
      <c r="I2262" s="486"/>
      <c r="J2262" s="486"/>
      <c r="K2262" s="486"/>
      <c r="L2262" s="486"/>
      <c r="M2262" s="263"/>
      <c r="N2262" s="486" t="str">
        <f>IF(V2255&gt;V2258,I2255,IF(V2258&gt;V2255,I2258,""))</f>
        <v>FEČO Samuel</v>
      </c>
      <c r="O2262" s="486"/>
      <c r="P2262" s="486"/>
      <c r="Q2262" s="486"/>
      <c r="R2262" s="486"/>
      <c r="S2262" s="486"/>
      <c r="T2262" s="263"/>
      <c r="U2262" s="263"/>
      <c r="V2262" s="263"/>
      <c r="W2262" s="267"/>
      <c r="X2262" s="263"/>
      <c r="AZ2262" s="269" t="s">
        <v>43</v>
      </c>
      <c r="BA2262" s="269">
        <v>8</v>
      </c>
    </row>
    <row r="2263" spans="1:53" ht="39.950000000000003" customHeight="1">
      <c r="E2263" s="271"/>
      <c r="F2263" s="272"/>
      <c r="G2263" s="263"/>
      <c r="H2263" s="263"/>
      <c r="I2263" s="486"/>
      <c r="J2263" s="486"/>
      <c r="K2263" s="486"/>
      <c r="L2263" s="486"/>
      <c r="M2263" s="263"/>
      <c r="N2263" s="486"/>
      <c r="O2263" s="486"/>
      <c r="P2263" s="486"/>
      <c r="Q2263" s="486"/>
      <c r="R2263" s="486"/>
      <c r="S2263" s="486"/>
      <c r="T2263" s="263"/>
      <c r="U2263" s="263"/>
      <c r="V2263" s="263"/>
      <c r="W2263" s="267"/>
      <c r="X2263" s="263"/>
    </row>
    <row r="2264" spans="1:53" ht="39.950000000000003" customHeight="1">
      <c r="E2264" s="264" t="s">
        <v>27</v>
      </c>
      <c r="F2264" s="274" t="s">
        <v>164</v>
      </c>
      <c r="G2264" s="263"/>
      <c r="H2264" s="263"/>
      <c r="I2264" s="263"/>
      <c r="J2264" s="263"/>
      <c r="K2264" s="263"/>
      <c r="L2264" s="263"/>
      <c r="M2264" s="263"/>
      <c r="N2264" s="263"/>
      <c r="O2264" s="263"/>
      <c r="P2264" s="263"/>
      <c r="Q2264" s="263"/>
      <c r="R2264" s="263"/>
      <c r="S2264" s="263"/>
      <c r="T2264" s="263"/>
      <c r="U2264" s="263"/>
      <c r="V2264" s="263"/>
      <c r="W2264" s="267"/>
      <c r="X2264" s="263"/>
    </row>
    <row r="2265" spans="1:53" ht="39.950000000000003" customHeight="1">
      <c r="E2265" s="271"/>
      <c r="F2265" s="272"/>
      <c r="G2265" s="263"/>
      <c r="H2265" s="263" t="s">
        <v>33</v>
      </c>
      <c r="I2265" s="263"/>
      <c r="J2265" s="263"/>
      <c r="K2265" s="263"/>
      <c r="L2265" s="263"/>
      <c r="M2265" s="263"/>
      <c r="N2265" s="263"/>
      <c r="O2265" s="263"/>
      <c r="P2265" s="263"/>
      <c r="Q2265" s="263"/>
      <c r="R2265" s="263"/>
      <c r="S2265" s="263"/>
      <c r="T2265" s="263"/>
      <c r="U2265" s="263"/>
      <c r="V2265" s="263"/>
      <c r="W2265" s="267"/>
      <c r="X2265" s="263"/>
    </row>
    <row r="2266" spans="1:53" ht="39.950000000000003" customHeight="1">
      <c r="E2266" s="271"/>
      <c r="F2266" s="272"/>
      <c r="G2266" s="263"/>
      <c r="H2266" s="263"/>
      <c r="I2266" s="263"/>
      <c r="J2266" s="263"/>
      <c r="K2266" s="263"/>
      <c r="L2266" s="263"/>
      <c r="M2266" s="263"/>
      <c r="N2266" s="263"/>
      <c r="O2266" s="263"/>
      <c r="P2266" s="263"/>
      <c r="Q2266" s="263"/>
      <c r="R2266" s="263"/>
      <c r="S2266" s="263"/>
      <c r="T2266" s="263"/>
      <c r="U2266" s="263"/>
      <c r="V2266" s="263"/>
      <c r="W2266" s="267"/>
      <c r="X2266" s="263"/>
    </row>
    <row r="2267" spans="1:53" ht="39.950000000000003" customHeight="1">
      <c r="E2267" s="271"/>
      <c r="F2267" s="272"/>
      <c r="G2267" s="263"/>
      <c r="H2267" s="263"/>
      <c r="I2267" s="496" t="str">
        <f>I2255</f>
        <v>GREGOR Jakub</v>
      </c>
      <c r="J2267" s="496"/>
      <c r="K2267" s="496"/>
      <c r="L2267" s="496"/>
      <c r="M2267" s="263"/>
      <c r="N2267" s="263"/>
      <c r="O2267" s="263"/>
      <c r="P2267" s="496" t="str">
        <f>I2258</f>
        <v>FEČO Samuel</v>
      </c>
      <c r="Q2267" s="496"/>
      <c r="R2267" s="496"/>
      <c r="S2267" s="496"/>
      <c r="T2267" s="497"/>
      <c r="U2267" s="497"/>
      <c r="V2267" s="263"/>
      <c r="W2267" s="267"/>
      <c r="X2267" s="263"/>
    </row>
    <row r="2268" spans="1:53" ht="69.95" customHeight="1">
      <c r="E2268" s="264"/>
      <c r="F2268" s="265"/>
      <c r="G2268" s="263"/>
      <c r="H2268" s="275" t="s">
        <v>36</v>
      </c>
      <c r="I2268" s="483"/>
      <c r="J2268" s="494"/>
      <c r="K2268" s="494"/>
      <c r="L2268" s="495"/>
      <c r="M2268" s="263"/>
      <c r="N2268" s="263"/>
      <c r="O2268" s="275" t="s">
        <v>36</v>
      </c>
      <c r="P2268" s="486"/>
      <c r="Q2268" s="486"/>
      <c r="R2268" s="486"/>
      <c r="S2268" s="486"/>
      <c r="T2268" s="486"/>
      <c r="U2268" s="486"/>
      <c r="V2268" s="263"/>
      <c r="W2268" s="267"/>
      <c r="X2268" s="263"/>
    </row>
    <row r="2269" spans="1:53" ht="69.95" customHeight="1">
      <c r="E2269" s="264"/>
      <c r="F2269" s="265"/>
      <c r="G2269" s="263"/>
      <c r="H2269" s="275" t="s">
        <v>37</v>
      </c>
      <c r="I2269" s="486"/>
      <c r="J2269" s="486"/>
      <c r="K2269" s="486"/>
      <c r="L2269" s="486"/>
      <c r="M2269" s="263"/>
      <c r="N2269" s="263"/>
      <c r="O2269" s="275" t="s">
        <v>37</v>
      </c>
      <c r="P2269" s="486"/>
      <c r="Q2269" s="486"/>
      <c r="R2269" s="486"/>
      <c r="S2269" s="486"/>
      <c r="T2269" s="486"/>
      <c r="U2269" s="486"/>
      <c r="V2269" s="263"/>
      <c r="W2269" s="267"/>
      <c r="X2269" s="263"/>
    </row>
    <row r="2270" spans="1:53" ht="69.95" customHeight="1">
      <c r="E2270" s="264"/>
      <c r="F2270" s="265"/>
      <c r="G2270" s="263"/>
      <c r="H2270" s="275" t="s">
        <v>37</v>
      </c>
      <c r="I2270" s="486"/>
      <c r="J2270" s="486"/>
      <c r="K2270" s="486"/>
      <c r="L2270" s="486"/>
      <c r="M2270" s="263"/>
      <c r="N2270" s="263"/>
      <c r="O2270" s="275" t="s">
        <v>37</v>
      </c>
      <c r="P2270" s="486"/>
      <c r="Q2270" s="486"/>
      <c r="R2270" s="486"/>
      <c r="S2270" s="486"/>
      <c r="T2270" s="486"/>
      <c r="U2270" s="486"/>
      <c r="V2270" s="263"/>
      <c r="W2270" s="267"/>
      <c r="X2270" s="263"/>
    </row>
    <row r="2271" spans="1:53" ht="39.950000000000003" customHeight="1" thickBot="1">
      <c r="E2271" s="276"/>
      <c r="F2271" s="277"/>
      <c r="G2271" s="278"/>
      <c r="H2271" s="278"/>
      <c r="I2271" s="278"/>
      <c r="J2271" s="278"/>
      <c r="K2271" s="278"/>
      <c r="L2271" s="278"/>
      <c r="M2271" s="278"/>
      <c r="N2271" s="278"/>
      <c r="O2271" s="278"/>
      <c r="P2271" s="278"/>
      <c r="Q2271" s="278"/>
      <c r="R2271" s="278"/>
      <c r="S2271" s="278"/>
      <c r="T2271" s="279"/>
      <c r="U2271" s="279"/>
      <c r="V2271" s="279"/>
      <c r="W2271" s="280"/>
      <c r="X2271" s="263"/>
    </row>
    <row r="2272" spans="1:53" ht="62.25" thickBot="1"/>
    <row r="2273" spans="1:53" ht="39.950000000000003" customHeight="1">
      <c r="A2273" s="252" t="str">
        <f>CONCATENATE(F2280,F2282,F2284)</f>
        <v>CHP5</v>
      </c>
      <c r="E2273" s="259" t="s">
        <v>70</v>
      </c>
      <c r="F2273" s="260">
        <f>VLOOKUP(CONCATENATE(A2273,1),'zoznam zapasov'!$A$6:$K$160,3,0)</f>
        <v>113</v>
      </c>
      <c r="G2273" s="261"/>
      <c r="H2273" s="322" t="s">
        <v>501</v>
      </c>
      <c r="I2273" s="261"/>
      <c r="J2273" s="261"/>
      <c r="K2273" s="261"/>
      <c r="L2273" s="261"/>
      <c r="M2273" s="261"/>
      <c r="N2273" s="261"/>
      <c r="O2273" s="261"/>
      <c r="P2273" s="261"/>
      <c r="Q2273" s="261"/>
      <c r="R2273" s="261"/>
      <c r="S2273" s="261"/>
      <c r="T2273" s="261"/>
      <c r="U2273" s="261"/>
      <c r="V2273" s="261" t="s">
        <v>30</v>
      </c>
      <c r="W2273" s="262"/>
      <c r="X2273" s="263"/>
      <c r="Y2273" s="253" t="str">
        <f>A2275</f>
        <v>CHP51</v>
      </c>
      <c r="Z2273" s="258" t="str">
        <f>CONCATENATE(V2275,":",V2278)</f>
        <v>3:0</v>
      </c>
      <c r="AA2273" s="255" t="str">
        <f>N2282</f>
        <v>PINDURA Tobiáš</v>
      </c>
      <c r="AB2273" s="255" t="str">
        <f>IF(V2275&gt;V2278,AV2273,IF(V2278&gt;V2275,AV2274,""))</f>
        <v xml:space="preserve">3:0 ( 9,5,8,,,, ) </v>
      </c>
      <c r="AC2273" s="255" t="str">
        <f>CONCATENATE("Tbl.: ",F2275,"   H: ",F2278,"   D: ",F2277)</f>
        <v>Tbl.: 5   H: 16.00   D: So</v>
      </c>
      <c r="AE2273" s="253" t="s">
        <v>11</v>
      </c>
      <c r="AV2273" s="256" t="str">
        <f>CONCATENATE(V2275,":",V2278, " ( ",AN2275,",",AO2275,",",AP2275,",",AQ2275,",",AR2275,",",AS2275,",",AT2275," ) ")</f>
        <v xml:space="preserve">3:0 ( 9,5,8,,,, ) </v>
      </c>
    </row>
    <row r="2274" spans="1:53" ht="39.950000000000003" customHeight="1">
      <c r="E2274" s="264"/>
      <c r="F2274" s="265"/>
      <c r="G2274" s="321" t="s">
        <v>500</v>
      </c>
      <c r="H2274" s="323" t="s">
        <v>502</v>
      </c>
      <c r="I2274" s="263"/>
      <c r="J2274" s="263"/>
      <c r="K2274" s="263"/>
      <c r="L2274" s="263"/>
      <c r="M2274" s="263"/>
      <c r="N2274" s="266">
        <v>1</v>
      </c>
      <c r="O2274" s="266">
        <v>2</v>
      </c>
      <c r="P2274" s="266">
        <v>3</v>
      </c>
      <c r="Q2274" s="266">
        <v>4</v>
      </c>
      <c r="R2274" s="266">
        <v>5</v>
      </c>
      <c r="S2274" s="266">
        <v>6</v>
      </c>
      <c r="T2274" s="266">
        <v>7</v>
      </c>
      <c r="U2274" s="263"/>
      <c r="V2274" s="266" t="s">
        <v>31</v>
      </c>
      <c r="W2274" s="267"/>
      <c r="X2274" s="263"/>
      <c r="AE2274" s="253" t="s">
        <v>68</v>
      </c>
      <c r="AV2274" s="256" t="str">
        <f>CONCATENATE(V2278,":",V2275, " ( ",AN2276,",",AO2276,",",AP2276,",",AQ2276,",",AR2276,",",AS2276,",",AT2276," ) ")</f>
        <v xml:space="preserve">0:3 ( -9,-5,-8,,,, ) </v>
      </c>
    </row>
    <row r="2275" spans="1:53" ht="39.950000000000003" customHeight="1">
      <c r="A2275" s="252" t="str">
        <f>CONCATENATE(A2273,1)</f>
        <v>CHP51</v>
      </c>
      <c r="E2275" s="264" t="s">
        <v>29</v>
      </c>
      <c r="F2275" s="265">
        <f>VLOOKUP(CONCATENATE(A2273,1),'zoznam zapasov'!$A$6:$K$160,11,0)</f>
        <v>5</v>
      </c>
      <c r="G2275" s="508"/>
      <c r="H2275" s="495"/>
      <c r="I2275" s="487" t="str">
        <f>IF(ISERROR(VLOOKUP(A2275,'KO KODY SPOLU'!$A$3:$B$189,2,0))=TRUE,"",VLOOKUP(A2275,'KO KODY SPOLU'!$A$3:$B$189,2,0))</f>
        <v>PINDURA Tobiáš</v>
      </c>
      <c r="J2275" s="487"/>
      <c r="K2275" s="487"/>
      <c r="L2275" s="487"/>
      <c r="M2275" s="263"/>
      <c r="N2275" s="489">
        <v>11</v>
      </c>
      <c r="O2275" s="489">
        <v>11</v>
      </c>
      <c r="P2275" s="489">
        <v>11</v>
      </c>
      <c r="Q2275" s="489"/>
      <c r="R2275" s="489"/>
      <c r="S2275" s="489"/>
      <c r="T2275" s="489"/>
      <c r="U2275" s="263"/>
      <c r="V2275" s="493">
        <f>IF(SUM(AF2275:AL2276)=0,"",SUM(AF2275:AL2275))</f>
        <v>3</v>
      </c>
      <c r="W2275" s="267"/>
      <c r="X2275" s="263"/>
      <c r="AE2275" s="253" t="str">
        <f>VLOOKUP(I2275,vylosovanie!$F$8:$L$190,7,0)</f>
        <v>CH41</v>
      </c>
      <c r="AF2275" s="268">
        <f>IF(N2275&gt;N2278,1,0)</f>
        <v>1</v>
      </c>
      <c r="AG2275" s="268">
        <f t="shared" ref="AG2275" si="2038">IF(O2275&gt;O2278,1,0)</f>
        <v>1</v>
      </c>
      <c r="AH2275" s="268">
        <f t="shared" ref="AH2275" si="2039">IF(P2275&gt;P2278,1,0)</f>
        <v>1</v>
      </c>
      <c r="AI2275" s="268">
        <f t="shared" ref="AI2275" si="2040">IF(Q2275&gt;Q2278,1,0)</f>
        <v>0</v>
      </c>
      <c r="AJ2275" s="268">
        <f t="shared" ref="AJ2275" si="2041">IF(R2275&gt;R2278,1,0)</f>
        <v>0</v>
      </c>
      <c r="AK2275" s="268">
        <f t="shared" ref="AK2275" si="2042">IF(S2275&gt;S2278,1,0)</f>
        <v>0</v>
      </c>
      <c r="AL2275" s="268">
        <f t="shared" ref="AL2275" si="2043">IF(T2275&gt;T2278,1,0)</f>
        <v>0</v>
      </c>
      <c r="AN2275" s="268">
        <f t="shared" ref="AN2275" si="2044">IF(ISBLANK(N2275)=TRUE,"",IF(AF2275=1,N2278,-N2275))</f>
        <v>9</v>
      </c>
      <c r="AO2275" s="268">
        <f t="shared" ref="AO2275" si="2045">IF(ISBLANK(O2275)=TRUE,"",IF(AG2275=1,O2278,-O2275))</f>
        <v>5</v>
      </c>
      <c r="AP2275" s="268">
        <f t="shared" ref="AP2275" si="2046">IF(ISBLANK(P2275)=TRUE,"",IF(AH2275=1,P2278,-P2275))</f>
        <v>8</v>
      </c>
      <c r="AQ2275" s="268" t="str">
        <f t="shared" ref="AQ2275" si="2047">IF(ISBLANK(Q2275)=TRUE,"",IF(AI2275=1,Q2278,-Q2275))</f>
        <v/>
      </c>
      <c r="AR2275" s="268" t="str">
        <f t="shared" ref="AR2275" si="2048">IF(ISBLANK(R2275)=TRUE,"",IF(AJ2275=1,R2278,-R2275))</f>
        <v/>
      </c>
      <c r="AS2275" s="268" t="str">
        <f t="shared" ref="AS2275" si="2049">IF(ISBLANK(S2275)=TRUE,"",IF(AK2275=1,S2278,-S2275))</f>
        <v/>
      </c>
      <c r="AT2275" s="268" t="str">
        <f t="shared" ref="AT2275" si="2050">IF(ISBLANK(T2275)=TRUE,"",IF(AL2275=1,T2278,-T2275))</f>
        <v/>
      </c>
      <c r="AZ2275" s="269" t="s">
        <v>12</v>
      </c>
      <c r="BA2275" s="269">
        <v>1</v>
      </c>
    </row>
    <row r="2276" spans="1:53" ht="39.950000000000003" customHeight="1">
      <c r="E2276" s="264"/>
      <c r="F2276" s="265"/>
      <c r="G2276" s="509"/>
      <c r="H2276" s="495"/>
      <c r="I2276" s="487"/>
      <c r="J2276" s="487"/>
      <c r="K2276" s="487"/>
      <c r="L2276" s="487"/>
      <c r="M2276" s="263"/>
      <c r="N2276" s="490"/>
      <c r="O2276" s="490"/>
      <c r="P2276" s="490"/>
      <c r="Q2276" s="490"/>
      <c r="R2276" s="490"/>
      <c r="S2276" s="490"/>
      <c r="T2276" s="490"/>
      <c r="U2276" s="263"/>
      <c r="V2276" s="493"/>
      <c r="W2276" s="267"/>
      <c r="X2276" s="263"/>
      <c r="AE2276" s="253" t="str">
        <f>VLOOKUP(I2278,vylosovanie!$F$8:$L$190,7,0)</f>
        <v>CH62</v>
      </c>
      <c r="AF2276" s="268">
        <f>IF(N2278&gt;N2275,1,0)</f>
        <v>0</v>
      </c>
      <c r="AG2276" s="268">
        <f t="shared" ref="AG2276" si="2051">IF(O2278&gt;O2275,1,0)</f>
        <v>0</v>
      </c>
      <c r="AH2276" s="268">
        <f t="shared" ref="AH2276" si="2052">IF(P2278&gt;P2275,1,0)</f>
        <v>0</v>
      </c>
      <c r="AI2276" s="268">
        <f t="shared" ref="AI2276" si="2053">IF(Q2278&gt;Q2275,1,0)</f>
        <v>0</v>
      </c>
      <c r="AJ2276" s="268">
        <f t="shared" ref="AJ2276" si="2054">IF(R2278&gt;R2275,1,0)</f>
        <v>0</v>
      </c>
      <c r="AK2276" s="268">
        <f t="shared" ref="AK2276" si="2055">IF(S2278&gt;S2275,1,0)</f>
        <v>0</v>
      </c>
      <c r="AL2276" s="268">
        <f t="shared" ref="AL2276" si="2056">IF(T2278&gt;T2275,1,0)</f>
        <v>0</v>
      </c>
      <c r="AN2276" s="268">
        <f t="shared" ref="AN2276" si="2057">IF(ISBLANK(N2278)=TRUE,"",IF(AF2276=1,N2275,-N2278))</f>
        <v>-9</v>
      </c>
      <c r="AO2276" s="268">
        <f t="shared" ref="AO2276" si="2058">IF(ISBLANK(O2278)=TRUE,"",IF(AG2276=1,O2275,-O2278))</f>
        <v>-5</v>
      </c>
      <c r="AP2276" s="268">
        <f t="shared" ref="AP2276" si="2059">IF(ISBLANK(P2278)=TRUE,"",IF(AH2276=1,P2275,-P2278))</f>
        <v>-8</v>
      </c>
      <c r="AQ2276" s="268" t="str">
        <f t="shared" ref="AQ2276" si="2060">IF(ISBLANK(Q2278)=TRUE,"",IF(AI2276=1,Q2275,-Q2278))</f>
        <v/>
      </c>
      <c r="AR2276" s="268" t="str">
        <f t="shared" ref="AR2276" si="2061">IF(ISBLANK(R2278)=TRUE,"",IF(AJ2276=1,R2275,-R2278))</f>
        <v/>
      </c>
      <c r="AS2276" s="268" t="str">
        <f t="shared" ref="AS2276" si="2062">IF(ISBLANK(S2278)=TRUE,"",IF(AK2276=1,S2275,-S2278))</f>
        <v/>
      </c>
      <c r="AT2276" s="268" t="str">
        <f t="shared" ref="AT2276" si="2063">IF(ISBLANK(T2278)=TRUE,"",IF(AL2276=1,T2275,-T2278))</f>
        <v/>
      </c>
      <c r="AZ2276" s="269" t="s">
        <v>18</v>
      </c>
      <c r="BA2276" s="269">
        <v>2</v>
      </c>
    </row>
    <row r="2277" spans="1:53" ht="39.950000000000003" customHeight="1">
      <c r="E2277" s="264" t="s">
        <v>35</v>
      </c>
      <c r="F2277" s="265" t="str">
        <f>VLOOKUP(CONCATENATE(A2273,1),'zoznam zapasov'!$A$6:$K$160,9,0)</f>
        <v>So</v>
      </c>
      <c r="G2277" s="263"/>
      <c r="H2277" s="263"/>
      <c r="I2277" s="263"/>
      <c r="J2277" s="263"/>
      <c r="K2277" s="263"/>
      <c r="L2277" s="263"/>
      <c r="M2277" s="263"/>
      <c r="N2277" s="263"/>
      <c r="O2277" s="263"/>
      <c r="P2277" s="263"/>
      <c r="Q2277" s="263"/>
      <c r="R2277" s="263"/>
      <c r="S2277" s="263"/>
      <c r="T2277" s="263"/>
      <c r="U2277" s="263"/>
      <c r="V2277" s="263"/>
      <c r="W2277" s="267"/>
      <c r="X2277" s="263"/>
      <c r="AZ2277" s="269" t="s">
        <v>38</v>
      </c>
      <c r="BA2277" s="269">
        <v>3</v>
      </c>
    </row>
    <row r="2278" spans="1:53" ht="39.950000000000003" customHeight="1">
      <c r="A2278" s="252" t="str">
        <f>CONCATENATE(A2273,2)</f>
        <v>CHP52</v>
      </c>
      <c r="E2278" s="264" t="s">
        <v>28</v>
      </c>
      <c r="F2278" s="270" t="str">
        <f>VLOOKUP(CONCATENATE(A2273,1),'zoznam zapasov'!$A$6:$K$160,10,0)</f>
        <v>16.00</v>
      </c>
      <c r="G2278" s="508"/>
      <c r="H2278" s="486"/>
      <c r="I2278" s="487" t="str">
        <f>IF(ISERROR(VLOOKUP(A2278,'KO KODY SPOLU'!$A$3:$B$189,2,0))=TRUE,"",VLOOKUP(A2278,'KO KODY SPOLU'!$A$3:$B$189,2,0))</f>
        <v>MILAN Martin</v>
      </c>
      <c r="J2278" s="487"/>
      <c r="K2278" s="487"/>
      <c r="L2278" s="487"/>
      <c r="M2278" s="263"/>
      <c r="N2278" s="489">
        <v>9</v>
      </c>
      <c r="O2278" s="489">
        <v>5</v>
      </c>
      <c r="P2278" s="489">
        <v>8</v>
      </c>
      <c r="Q2278" s="489"/>
      <c r="R2278" s="489"/>
      <c r="S2278" s="489"/>
      <c r="T2278" s="489"/>
      <c r="U2278" s="263"/>
      <c r="V2278" s="493">
        <f>IF(SUM(AF2275:AL2276)=0,"",SUM(AF2276:AL2276))</f>
        <v>0</v>
      </c>
      <c r="W2278" s="267"/>
      <c r="X2278" s="263"/>
      <c r="AZ2278" s="269" t="s">
        <v>39</v>
      </c>
      <c r="BA2278" s="269">
        <v>4</v>
      </c>
    </row>
    <row r="2279" spans="1:53" ht="39.950000000000003" customHeight="1">
      <c r="E2279" s="271"/>
      <c r="F2279" s="272"/>
      <c r="G2279" s="509"/>
      <c r="H2279" s="486"/>
      <c r="I2279" s="487"/>
      <c r="J2279" s="487"/>
      <c r="K2279" s="487"/>
      <c r="L2279" s="487"/>
      <c r="M2279" s="263"/>
      <c r="N2279" s="490"/>
      <c r="O2279" s="490"/>
      <c r="P2279" s="490"/>
      <c r="Q2279" s="490"/>
      <c r="R2279" s="490"/>
      <c r="S2279" s="490"/>
      <c r="T2279" s="490"/>
      <c r="U2279" s="263"/>
      <c r="V2279" s="493"/>
      <c r="W2279" s="267"/>
      <c r="X2279" s="263"/>
      <c r="AZ2279" s="269" t="s">
        <v>40</v>
      </c>
      <c r="BA2279" s="269">
        <v>5</v>
      </c>
    </row>
    <row r="2280" spans="1:53" ht="39.950000000000003" customHeight="1">
      <c r="E2280" s="264" t="s">
        <v>66</v>
      </c>
      <c r="F2280" s="265" t="s">
        <v>65</v>
      </c>
      <c r="G2280" s="263"/>
      <c r="H2280" s="263"/>
      <c r="I2280" s="263"/>
      <c r="J2280" s="263"/>
      <c r="K2280" s="263"/>
      <c r="L2280" s="263"/>
      <c r="M2280" s="263"/>
      <c r="N2280" s="263"/>
      <c r="O2280" s="263"/>
      <c r="P2280" s="263"/>
      <c r="Q2280" s="263"/>
      <c r="R2280" s="263"/>
      <c r="S2280" s="263"/>
      <c r="T2280" s="263"/>
      <c r="U2280" s="263"/>
      <c r="V2280" s="263"/>
      <c r="W2280" s="267"/>
      <c r="X2280" s="263"/>
      <c r="AZ2280" s="269" t="s">
        <v>41</v>
      </c>
      <c r="BA2280" s="269">
        <v>6</v>
      </c>
    </row>
    <row r="2281" spans="1:53" ht="39.950000000000003" customHeight="1">
      <c r="E2281" s="271"/>
      <c r="F2281" s="272"/>
      <c r="G2281" s="263"/>
      <c r="H2281" s="263"/>
      <c r="I2281" s="263" t="s">
        <v>32</v>
      </c>
      <c r="J2281" s="263"/>
      <c r="K2281" s="263"/>
      <c r="L2281" s="263"/>
      <c r="M2281" s="263"/>
      <c r="N2281" s="273"/>
      <c r="O2281" s="266"/>
      <c r="P2281" s="266" t="s">
        <v>34</v>
      </c>
      <c r="Q2281" s="266"/>
      <c r="R2281" s="266"/>
      <c r="S2281" s="266"/>
      <c r="T2281" s="266"/>
      <c r="U2281" s="263"/>
      <c r="V2281" s="263"/>
      <c r="W2281" s="267"/>
      <c r="X2281" s="263"/>
      <c r="AZ2281" s="269" t="s">
        <v>42</v>
      </c>
      <c r="BA2281" s="269">
        <v>7</v>
      </c>
    </row>
    <row r="2282" spans="1:53" ht="39.950000000000003" customHeight="1">
      <c r="E2282" s="264" t="s">
        <v>26</v>
      </c>
      <c r="F2282" s="265" t="s">
        <v>128</v>
      </c>
      <c r="G2282" s="263"/>
      <c r="H2282" s="263"/>
      <c r="I2282" s="486"/>
      <c r="J2282" s="486"/>
      <c r="K2282" s="486"/>
      <c r="L2282" s="486"/>
      <c r="M2282" s="263"/>
      <c r="N2282" s="486" t="str">
        <f>IF(V2275&gt;V2278,I2275,IF(V2278&gt;V2275,I2278,""))</f>
        <v>PINDURA Tobiáš</v>
      </c>
      <c r="O2282" s="486"/>
      <c r="P2282" s="486"/>
      <c r="Q2282" s="486"/>
      <c r="R2282" s="486"/>
      <c r="S2282" s="486"/>
      <c r="T2282" s="263"/>
      <c r="U2282" s="263"/>
      <c r="V2282" s="263"/>
      <c r="W2282" s="267"/>
      <c r="X2282" s="263"/>
      <c r="AZ2282" s="269" t="s">
        <v>43</v>
      </c>
      <c r="BA2282" s="269">
        <v>8</v>
      </c>
    </row>
    <row r="2283" spans="1:53" ht="39.950000000000003" customHeight="1">
      <c r="E2283" s="271"/>
      <c r="F2283" s="272"/>
      <c r="G2283" s="263"/>
      <c r="H2283" s="263"/>
      <c r="I2283" s="486"/>
      <c r="J2283" s="486"/>
      <c r="K2283" s="486"/>
      <c r="L2283" s="486"/>
      <c r="M2283" s="263"/>
      <c r="N2283" s="486"/>
      <c r="O2283" s="486"/>
      <c r="P2283" s="486"/>
      <c r="Q2283" s="486"/>
      <c r="R2283" s="486"/>
      <c r="S2283" s="486"/>
      <c r="T2283" s="263"/>
      <c r="U2283" s="263"/>
      <c r="V2283" s="263"/>
      <c r="W2283" s="267"/>
      <c r="X2283" s="263"/>
    </row>
    <row r="2284" spans="1:53" ht="39.950000000000003" customHeight="1">
      <c r="E2284" s="264" t="s">
        <v>27</v>
      </c>
      <c r="F2284" s="274" t="s">
        <v>310</v>
      </c>
      <c r="G2284" s="263"/>
      <c r="H2284" s="263"/>
      <c r="I2284" s="263"/>
      <c r="J2284" s="263"/>
      <c r="K2284" s="263"/>
      <c r="L2284" s="263"/>
      <c r="M2284" s="263"/>
      <c r="N2284" s="263"/>
      <c r="O2284" s="263"/>
      <c r="P2284" s="263"/>
      <c r="Q2284" s="263"/>
      <c r="R2284" s="263"/>
      <c r="S2284" s="263"/>
      <c r="T2284" s="263"/>
      <c r="U2284" s="263"/>
      <c r="V2284" s="263"/>
      <c r="W2284" s="267"/>
      <c r="X2284" s="263"/>
    </row>
    <row r="2285" spans="1:53" ht="39.950000000000003" customHeight="1">
      <c r="E2285" s="271"/>
      <c r="F2285" s="272"/>
      <c r="G2285" s="263"/>
      <c r="H2285" s="263" t="s">
        <v>33</v>
      </c>
      <c r="I2285" s="263"/>
      <c r="J2285" s="263"/>
      <c r="K2285" s="263"/>
      <c r="L2285" s="263"/>
      <c r="M2285" s="263"/>
      <c r="N2285" s="263"/>
      <c r="O2285" s="263"/>
      <c r="P2285" s="263"/>
      <c r="Q2285" s="263"/>
      <c r="R2285" s="263"/>
      <c r="S2285" s="263"/>
      <c r="T2285" s="263"/>
      <c r="U2285" s="263"/>
      <c r="V2285" s="263"/>
      <c r="W2285" s="267"/>
      <c r="X2285" s="263"/>
    </row>
    <row r="2286" spans="1:53" ht="39.950000000000003" customHeight="1">
      <c r="E2286" s="271"/>
      <c r="F2286" s="272"/>
      <c r="G2286" s="263"/>
      <c r="H2286" s="263"/>
      <c r="I2286" s="263"/>
      <c r="J2286" s="263"/>
      <c r="K2286" s="263"/>
      <c r="L2286" s="263"/>
      <c r="M2286" s="263"/>
      <c r="N2286" s="263"/>
      <c r="O2286" s="263"/>
      <c r="P2286" s="263"/>
      <c r="Q2286" s="263"/>
      <c r="R2286" s="263"/>
      <c r="S2286" s="263"/>
      <c r="T2286" s="263"/>
      <c r="U2286" s="263"/>
      <c r="V2286" s="263"/>
      <c r="W2286" s="267"/>
      <c r="X2286" s="263"/>
    </row>
    <row r="2287" spans="1:53" ht="39.950000000000003" customHeight="1">
      <c r="E2287" s="271"/>
      <c r="F2287" s="272"/>
      <c r="G2287" s="263"/>
      <c r="H2287" s="263"/>
      <c r="I2287" s="496" t="str">
        <f>I2275</f>
        <v>PINDURA Tobiáš</v>
      </c>
      <c r="J2287" s="496"/>
      <c r="K2287" s="496"/>
      <c r="L2287" s="496"/>
      <c r="M2287" s="263"/>
      <c r="N2287" s="263"/>
      <c r="O2287" s="263"/>
      <c r="P2287" s="496" t="str">
        <f>I2278</f>
        <v>MILAN Martin</v>
      </c>
      <c r="Q2287" s="496"/>
      <c r="R2287" s="496"/>
      <c r="S2287" s="496"/>
      <c r="T2287" s="497"/>
      <c r="U2287" s="497"/>
      <c r="V2287" s="263"/>
      <c r="W2287" s="267"/>
      <c r="X2287" s="263"/>
    </row>
    <row r="2288" spans="1:53" ht="69.95" customHeight="1">
      <c r="E2288" s="264"/>
      <c r="F2288" s="265"/>
      <c r="G2288" s="263"/>
      <c r="H2288" s="275" t="s">
        <v>36</v>
      </c>
      <c r="I2288" s="483"/>
      <c r="J2288" s="494"/>
      <c r="K2288" s="494"/>
      <c r="L2288" s="495"/>
      <c r="M2288" s="263"/>
      <c r="N2288" s="263"/>
      <c r="O2288" s="275" t="s">
        <v>36</v>
      </c>
      <c r="P2288" s="486"/>
      <c r="Q2288" s="486"/>
      <c r="R2288" s="486"/>
      <c r="S2288" s="486"/>
      <c r="T2288" s="486"/>
      <c r="U2288" s="486"/>
      <c r="V2288" s="263"/>
      <c r="W2288" s="267"/>
      <c r="X2288" s="263"/>
    </row>
    <row r="2289" spans="1:53" ht="69.95" customHeight="1">
      <c r="E2289" s="264"/>
      <c r="F2289" s="265"/>
      <c r="G2289" s="263"/>
      <c r="H2289" s="275" t="s">
        <v>37</v>
      </c>
      <c r="I2289" s="486"/>
      <c r="J2289" s="486"/>
      <c r="K2289" s="486"/>
      <c r="L2289" s="486"/>
      <c r="M2289" s="263"/>
      <c r="N2289" s="263"/>
      <c r="O2289" s="275" t="s">
        <v>37</v>
      </c>
      <c r="P2289" s="486"/>
      <c r="Q2289" s="486"/>
      <c r="R2289" s="486"/>
      <c r="S2289" s="486"/>
      <c r="T2289" s="486"/>
      <c r="U2289" s="486"/>
      <c r="V2289" s="263"/>
      <c r="W2289" s="267"/>
      <c r="X2289" s="263"/>
    </row>
    <row r="2290" spans="1:53" ht="69.95" customHeight="1">
      <c r="E2290" s="264"/>
      <c r="F2290" s="265"/>
      <c r="G2290" s="263"/>
      <c r="H2290" s="275" t="s">
        <v>37</v>
      </c>
      <c r="I2290" s="486"/>
      <c r="J2290" s="486"/>
      <c r="K2290" s="486"/>
      <c r="L2290" s="486"/>
      <c r="M2290" s="263"/>
      <c r="N2290" s="263"/>
      <c r="O2290" s="275" t="s">
        <v>37</v>
      </c>
      <c r="P2290" s="486"/>
      <c r="Q2290" s="486"/>
      <c r="R2290" s="486"/>
      <c r="S2290" s="486"/>
      <c r="T2290" s="486"/>
      <c r="U2290" s="486"/>
      <c r="V2290" s="263"/>
      <c r="W2290" s="267"/>
      <c r="X2290" s="263"/>
    </row>
    <row r="2291" spans="1:53" ht="39.950000000000003" customHeight="1" thickBot="1">
      <c r="E2291" s="276"/>
      <c r="F2291" s="277"/>
      <c r="G2291" s="278"/>
      <c r="H2291" s="278"/>
      <c r="I2291" s="278"/>
      <c r="J2291" s="278"/>
      <c r="K2291" s="278"/>
      <c r="L2291" s="278"/>
      <c r="M2291" s="278"/>
      <c r="N2291" s="278"/>
      <c r="O2291" s="278"/>
      <c r="P2291" s="278"/>
      <c r="Q2291" s="278"/>
      <c r="R2291" s="278"/>
      <c r="S2291" s="278"/>
      <c r="T2291" s="279"/>
      <c r="U2291" s="279"/>
      <c r="V2291" s="279"/>
      <c r="W2291" s="280"/>
      <c r="X2291" s="263"/>
    </row>
    <row r="2292" spans="1:53" ht="62.25" thickBot="1"/>
    <row r="2293" spans="1:53" ht="39.950000000000003" customHeight="1">
      <c r="A2293" s="252" t="str">
        <f>CONCATENATE(F2300,F2302,F2304)</f>
        <v>CHP6</v>
      </c>
      <c r="E2293" s="259" t="s">
        <v>70</v>
      </c>
      <c r="F2293" s="260">
        <f>VLOOKUP(CONCATENATE(A2293,1),'zoznam zapasov'!$A$6:$K$160,3,0)</f>
        <v>114</v>
      </c>
      <c r="G2293" s="261"/>
      <c r="H2293" s="322" t="s">
        <v>501</v>
      </c>
      <c r="I2293" s="261"/>
      <c r="J2293" s="261"/>
      <c r="K2293" s="261"/>
      <c r="L2293" s="261"/>
      <c r="M2293" s="261"/>
      <c r="N2293" s="261"/>
      <c r="O2293" s="261"/>
      <c r="P2293" s="261"/>
      <c r="Q2293" s="261"/>
      <c r="R2293" s="261"/>
      <c r="S2293" s="261"/>
      <c r="T2293" s="261"/>
      <c r="U2293" s="261"/>
      <c r="V2293" s="261" t="s">
        <v>30</v>
      </c>
      <c r="W2293" s="262"/>
      <c r="X2293" s="263"/>
      <c r="Y2293" s="253" t="str">
        <f>A2295</f>
        <v>CHP61</v>
      </c>
      <c r="Z2293" s="258" t="str">
        <f>CONCATENATE(V2295,":",V2298)</f>
        <v>1:3</v>
      </c>
      <c r="AA2293" s="255" t="str">
        <f>N2302</f>
        <v>PETRÍK Filip</v>
      </c>
      <c r="AB2293" s="255" t="str">
        <f>IF(V2295&gt;V2298,AV2293,IF(V2298&gt;V2295,AV2294,""))</f>
        <v xml:space="preserve">3:1 ( 6,6,-10,10,,, ) </v>
      </c>
      <c r="AC2293" s="255" t="str">
        <f>CONCATENATE("Tbl.: ",F2295,"   H: ",F2298,"   D: ",F2297)</f>
        <v>Tbl.: 6   H: 16.00   D: So</v>
      </c>
      <c r="AE2293" s="253" t="s">
        <v>11</v>
      </c>
      <c r="AV2293" s="256" t="str">
        <f>CONCATENATE(V2295,":",V2298, " ( ",AN2295,",",AO2295,",",AP2295,",",AQ2295,",",AR2295,",",AS2295,",",AT2295," ) ")</f>
        <v xml:space="preserve">1:3 ( -6,-6,10,-10,,, ) </v>
      </c>
    </row>
    <row r="2294" spans="1:53" ht="39.950000000000003" customHeight="1">
      <c r="E2294" s="264"/>
      <c r="F2294" s="265"/>
      <c r="G2294" s="321" t="s">
        <v>500</v>
      </c>
      <c r="H2294" s="323" t="s">
        <v>502</v>
      </c>
      <c r="I2294" s="263"/>
      <c r="J2294" s="263"/>
      <c r="K2294" s="263"/>
      <c r="L2294" s="263"/>
      <c r="M2294" s="263"/>
      <c r="N2294" s="266">
        <v>1</v>
      </c>
      <c r="O2294" s="266">
        <v>2</v>
      </c>
      <c r="P2294" s="266">
        <v>3</v>
      </c>
      <c r="Q2294" s="266">
        <v>4</v>
      </c>
      <c r="R2294" s="266">
        <v>5</v>
      </c>
      <c r="S2294" s="266">
        <v>6</v>
      </c>
      <c r="T2294" s="266">
        <v>7</v>
      </c>
      <c r="U2294" s="263"/>
      <c r="V2294" s="266" t="s">
        <v>31</v>
      </c>
      <c r="W2294" s="267"/>
      <c r="X2294" s="263"/>
      <c r="AE2294" s="253" t="s">
        <v>68</v>
      </c>
      <c r="AV2294" s="256" t="str">
        <f>CONCATENATE(V2298,":",V2295, " ( ",AN2296,",",AO2296,",",AP2296,",",AQ2296,",",AR2296,",",AS2296,",",AT2296," ) ")</f>
        <v xml:space="preserve">3:1 ( 6,6,-10,10,,, ) </v>
      </c>
    </row>
    <row r="2295" spans="1:53" ht="39.950000000000003" customHeight="1">
      <c r="A2295" s="252" t="str">
        <f>CONCATENATE(A2293,1)</f>
        <v>CHP61</v>
      </c>
      <c r="E2295" s="264" t="s">
        <v>29</v>
      </c>
      <c r="F2295" s="265">
        <f>VLOOKUP(CONCATENATE(A2293,1),'zoznam zapasov'!$A$6:$K$160,11,0)</f>
        <v>6</v>
      </c>
      <c r="G2295" s="508"/>
      <c r="H2295" s="495"/>
      <c r="I2295" s="487" t="str">
        <f>IF(ISERROR(VLOOKUP(A2295,'KO KODY SPOLU'!$A$3:$B$189,2,0))=TRUE,"",VLOOKUP(A2295,'KO KODY SPOLU'!$A$3:$B$189,2,0))</f>
        <v>FUSEK Patrik</v>
      </c>
      <c r="J2295" s="487"/>
      <c r="K2295" s="487"/>
      <c r="L2295" s="487"/>
      <c r="M2295" s="263"/>
      <c r="N2295" s="489">
        <v>6</v>
      </c>
      <c r="O2295" s="489">
        <v>6</v>
      </c>
      <c r="P2295" s="489">
        <v>12</v>
      </c>
      <c r="Q2295" s="489">
        <v>10</v>
      </c>
      <c r="R2295" s="489"/>
      <c r="S2295" s="489"/>
      <c r="T2295" s="489"/>
      <c r="U2295" s="263"/>
      <c r="V2295" s="493">
        <f>IF(SUM(AF2295:AL2296)=0,"",SUM(AF2295:AL2295))</f>
        <v>1</v>
      </c>
      <c r="W2295" s="267"/>
      <c r="X2295" s="263"/>
      <c r="AE2295" s="253" t="str">
        <f>VLOOKUP(I2295,vylosovanie!$F$8:$L$190,7,0)</f>
        <v>CH82</v>
      </c>
      <c r="AF2295" s="268">
        <f>IF(N2295&gt;N2298,1,0)</f>
        <v>0</v>
      </c>
      <c r="AG2295" s="268">
        <f t="shared" ref="AG2295" si="2064">IF(O2295&gt;O2298,1,0)</f>
        <v>0</v>
      </c>
      <c r="AH2295" s="268">
        <f t="shared" ref="AH2295" si="2065">IF(P2295&gt;P2298,1,0)</f>
        <v>1</v>
      </c>
      <c r="AI2295" s="268">
        <f t="shared" ref="AI2295" si="2066">IF(Q2295&gt;Q2298,1,0)</f>
        <v>0</v>
      </c>
      <c r="AJ2295" s="268">
        <f t="shared" ref="AJ2295" si="2067">IF(R2295&gt;R2298,1,0)</f>
        <v>0</v>
      </c>
      <c r="AK2295" s="268">
        <f t="shared" ref="AK2295" si="2068">IF(S2295&gt;S2298,1,0)</f>
        <v>0</v>
      </c>
      <c r="AL2295" s="268">
        <f t="shared" ref="AL2295" si="2069">IF(T2295&gt;T2298,1,0)</f>
        <v>0</v>
      </c>
      <c r="AN2295" s="268">
        <f t="shared" ref="AN2295" si="2070">IF(ISBLANK(N2295)=TRUE,"",IF(AF2295=1,N2298,-N2295))</f>
        <v>-6</v>
      </c>
      <c r="AO2295" s="268">
        <f t="shared" ref="AO2295" si="2071">IF(ISBLANK(O2295)=TRUE,"",IF(AG2295=1,O2298,-O2295))</f>
        <v>-6</v>
      </c>
      <c r="AP2295" s="268">
        <f t="shared" ref="AP2295" si="2072">IF(ISBLANK(P2295)=TRUE,"",IF(AH2295=1,P2298,-P2295))</f>
        <v>10</v>
      </c>
      <c r="AQ2295" s="268">
        <f t="shared" ref="AQ2295" si="2073">IF(ISBLANK(Q2295)=TRUE,"",IF(AI2295=1,Q2298,-Q2295))</f>
        <v>-10</v>
      </c>
      <c r="AR2295" s="268" t="str">
        <f t="shared" ref="AR2295" si="2074">IF(ISBLANK(R2295)=TRUE,"",IF(AJ2295=1,R2298,-R2295))</f>
        <v/>
      </c>
      <c r="AS2295" s="268" t="str">
        <f t="shared" ref="AS2295" si="2075">IF(ISBLANK(S2295)=TRUE,"",IF(AK2295=1,S2298,-S2295))</f>
        <v/>
      </c>
      <c r="AT2295" s="268" t="str">
        <f t="shared" ref="AT2295" si="2076">IF(ISBLANK(T2295)=TRUE,"",IF(AL2295=1,T2298,-T2295))</f>
        <v/>
      </c>
      <c r="AZ2295" s="269" t="s">
        <v>12</v>
      </c>
      <c r="BA2295" s="269">
        <v>1</v>
      </c>
    </row>
    <row r="2296" spans="1:53" ht="39.950000000000003" customHeight="1">
      <c r="E2296" s="264"/>
      <c r="F2296" s="265"/>
      <c r="G2296" s="509"/>
      <c r="H2296" s="495"/>
      <c r="I2296" s="487"/>
      <c r="J2296" s="487"/>
      <c r="K2296" s="487"/>
      <c r="L2296" s="487"/>
      <c r="M2296" s="263"/>
      <c r="N2296" s="490"/>
      <c r="O2296" s="490"/>
      <c r="P2296" s="490"/>
      <c r="Q2296" s="490"/>
      <c r="R2296" s="490"/>
      <c r="S2296" s="490"/>
      <c r="T2296" s="490"/>
      <c r="U2296" s="263"/>
      <c r="V2296" s="493"/>
      <c r="W2296" s="267"/>
      <c r="X2296" s="263"/>
      <c r="AE2296" s="253" t="str">
        <f>VLOOKUP(I2298,vylosovanie!$F$8:$L$190,7,0)</f>
        <v>CH51</v>
      </c>
      <c r="AF2296" s="268">
        <f>IF(N2298&gt;N2295,1,0)</f>
        <v>1</v>
      </c>
      <c r="AG2296" s="268">
        <f t="shared" ref="AG2296" si="2077">IF(O2298&gt;O2295,1,0)</f>
        <v>1</v>
      </c>
      <c r="AH2296" s="268">
        <f t="shared" ref="AH2296" si="2078">IF(P2298&gt;P2295,1,0)</f>
        <v>0</v>
      </c>
      <c r="AI2296" s="268">
        <f t="shared" ref="AI2296" si="2079">IF(Q2298&gt;Q2295,1,0)</f>
        <v>1</v>
      </c>
      <c r="AJ2296" s="268">
        <f t="shared" ref="AJ2296" si="2080">IF(R2298&gt;R2295,1,0)</f>
        <v>0</v>
      </c>
      <c r="AK2296" s="268">
        <f t="shared" ref="AK2296" si="2081">IF(S2298&gt;S2295,1,0)</f>
        <v>0</v>
      </c>
      <c r="AL2296" s="268">
        <f t="shared" ref="AL2296" si="2082">IF(T2298&gt;T2295,1,0)</f>
        <v>0</v>
      </c>
      <c r="AN2296" s="268">
        <f t="shared" ref="AN2296" si="2083">IF(ISBLANK(N2298)=TRUE,"",IF(AF2296=1,N2295,-N2298))</f>
        <v>6</v>
      </c>
      <c r="AO2296" s="268">
        <f t="shared" ref="AO2296" si="2084">IF(ISBLANK(O2298)=TRUE,"",IF(AG2296=1,O2295,-O2298))</f>
        <v>6</v>
      </c>
      <c r="AP2296" s="268">
        <f t="shared" ref="AP2296" si="2085">IF(ISBLANK(P2298)=TRUE,"",IF(AH2296=1,P2295,-P2298))</f>
        <v>-10</v>
      </c>
      <c r="AQ2296" s="268">
        <f t="shared" ref="AQ2296" si="2086">IF(ISBLANK(Q2298)=TRUE,"",IF(AI2296=1,Q2295,-Q2298))</f>
        <v>10</v>
      </c>
      <c r="AR2296" s="268" t="str">
        <f t="shared" ref="AR2296" si="2087">IF(ISBLANK(R2298)=TRUE,"",IF(AJ2296=1,R2295,-R2298))</f>
        <v/>
      </c>
      <c r="AS2296" s="268" t="str">
        <f t="shared" ref="AS2296" si="2088">IF(ISBLANK(S2298)=TRUE,"",IF(AK2296=1,S2295,-S2298))</f>
        <v/>
      </c>
      <c r="AT2296" s="268" t="str">
        <f t="shared" ref="AT2296" si="2089">IF(ISBLANK(T2298)=TRUE,"",IF(AL2296=1,T2295,-T2298))</f>
        <v/>
      </c>
      <c r="AZ2296" s="269" t="s">
        <v>18</v>
      </c>
      <c r="BA2296" s="269">
        <v>2</v>
      </c>
    </row>
    <row r="2297" spans="1:53" ht="39.950000000000003" customHeight="1">
      <c r="E2297" s="264" t="s">
        <v>35</v>
      </c>
      <c r="F2297" s="265" t="str">
        <f>VLOOKUP(CONCATENATE(A2293,1),'zoznam zapasov'!$A$6:$K$160,9,0)</f>
        <v>So</v>
      </c>
      <c r="G2297" s="263"/>
      <c r="H2297" s="263"/>
      <c r="I2297" s="263"/>
      <c r="J2297" s="263"/>
      <c r="K2297" s="263"/>
      <c r="L2297" s="263"/>
      <c r="M2297" s="263"/>
      <c r="N2297" s="263"/>
      <c r="O2297" s="263"/>
      <c r="P2297" s="263"/>
      <c r="Q2297" s="263"/>
      <c r="R2297" s="263"/>
      <c r="S2297" s="263"/>
      <c r="T2297" s="263"/>
      <c r="U2297" s="263"/>
      <c r="V2297" s="263"/>
      <c r="W2297" s="267"/>
      <c r="X2297" s="263"/>
      <c r="AZ2297" s="269" t="s">
        <v>38</v>
      </c>
      <c r="BA2297" s="269">
        <v>3</v>
      </c>
    </row>
    <row r="2298" spans="1:53" ht="39.950000000000003" customHeight="1">
      <c r="A2298" s="252" t="str">
        <f>CONCATENATE(A2293,2)</f>
        <v>CHP62</v>
      </c>
      <c r="E2298" s="264" t="s">
        <v>28</v>
      </c>
      <c r="F2298" s="270" t="str">
        <f>VLOOKUP(CONCATENATE(A2293,1),'zoznam zapasov'!$A$6:$K$160,10,0)</f>
        <v>16.00</v>
      </c>
      <c r="G2298" s="508"/>
      <c r="H2298" s="486"/>
      <c r="I2298" s="487" t="str">
        <f>IF(ISERROR(VLOOKUP(A2298,'KO KODY SPOLU'!$A$3:$B$189,2,0))=TRUE,"",VLOOKUP(A2298,'KO KODY SPOLU'!$A$3:$B$189,2,0))</f>
        <v>PETRÍK Filip</v>
      </c>
      <c r="J2298" s="487"/>
      <c r="K2298" s="487"/>
      <c r="L2298" s="487"/>
      <c r="M2298" s="263"/>
      <c r="N2298" s="489">
        <v>11</v>
      </c>
      <c r="O2298" s="489">
        <v>11</v>
      </c>
      <c r="P2298" s="489">
        <v>10</v>
      </c>
      <c r="Q2298" s="489">
        <v>12</v>
      </c>
      <c r="R2298" s="489"/>
      <c r="S2298" s="489"/>
      <c r="T2298" s="489"/>
      <c r="U2298" s="263"/>
      <c r="V2298" s="493">
        <f>IF(SUM(AF2295:AL2296)=0,"",SUM(AF2296:AL2296))</f>
        <v>3</v>
      </c>
      <c r="W2298" s="267"/>
      <c r="X2298" s="263"/>
      <c r="AZ2298" s="269" t="s">
        <v>39</v>
      </c>
      <c r="BA2298" s="269">
        <v>4</v>
      </c>
    </row>
    <row r="2299" spans="1:53" ht="39.950000000000003" customHeight="1">
      <c r="E2299" s="271"/>
      <c r="F2299" s="272"/>
      <c r="G2299" s="509"/>
      <c r="H2299" s="486"/>
      <c r="I2299" s="487"/>
      <c r="J2299" s="487"/>
      <c r="K2299" s="487"/>
      <c r="L2299" s="487"/>
      <c r="M2299" s="263"/>
      <c r="N2299" s="490"/>
      <c r="O2299" s="490"/>
      <c r="P2299" s="490"/>
      <c r="Q2299" s="490"/>
      <c r="R2299" s="490"/>
      <c r="S2299" s="490"/>
      <c r="T2299" s="490"/>
      <c r="U2299" s="263"/>
      <c r="V2299" s="493"/>
      <c r="W2299" s="267"/>
      <c r="X2299" s="263"/>
      <c r="AZ2299" s="269" t="s">
        <v>40</v>
      </c>
      <c r="BA2299" s="269">
        <v>5</v>
      </c>
    </row>
    <row r="2300" spans="1:53" ht="39.950000000000003" customHeight="1">
      <c r="E2300" s="264" t="s">
        <v>66</v>
      </c>
      <c r="F2300" s="265" t="s">
        <v>65</v>
      </c>
      <c r="G2300" s="263"/>
      <c r="H2300" s="263"/>
      <c r="I2300" s="263"/>
      <c r="J2300" s="263"/>
      <c r="K2300" s="263"/>
      <c r="L2300" s="263"/>
      <c r="M2300" s="263"/>
      <c r="N2300" s="263"/>
      <c r="O2300" s="263"/>
      <c r="P2300" s="263"/>
      <c r="Q2300" s="263"/>
      <c r="R2300" s="263"/>
      <c r="S2300" s="263"/>
      <c r="T2300" s="263"/>
      <c r="U2300" s="263"/>
      <c r="V2300" s="263"/>
      <c r="W2300" s="267"/>
      <c r="X2300" s="263"/>
      <c r="AZ2300" s="269" t="s">
        <v>41</v>
      </c>
      <c r="BA2300" s="269">
        <v>6</v>
      </c>
    </row>
    <row r="2301" spans="1:53" ht="39.950000000000003" customHeight="1">
      <c r="E2301" s="271"/>
      <c r="F2301" s="272"/>
      <c r="G2301" s="263"/>
      <c r="H2301" s="263"/>
      <c r="I2301" s="263" t="s">
        <v>32</v>
      </c>
      <c r="J2301" s="263"/>
      <c r="K2301" s="263"/>
      <c r="L2301" s="263"/>
      <c r="M2301" s="263"/>
      <c r="N2301" s="273"/>
      <c r="O2301" s="266"/>
      <c r="P2301" s="266" t="s">
        <v>34</v>
      </c>
      <c r="Q2301" s="266"/>
      <c r="R2301" s="266"/>
      <c r="S2301" s="266"/>
      <c r="T2301" s="266"/>
      <c r="U2301" s="263"/>
      <c r="V2301" s="263"/>
      <c r="W2301" s="267"/>
      <c r="X2301" s="263"/>
      <c r="AZ2301" s="269" t="s">
        <v>42</v>
      </c>
      <c r="BA2301" s="269">
        <v>7</v>
      </c>
    </row>
    <row r="2302" spans="1:53" ht="39.950000000000003" customHeight="1">
      <c r="E2302" s="264" t="s">
        <v>26</v>
      </c>
      <c r="F2302" s="265" t="s">
        <v>128</v>
      </c>
      <c r="G2302" s="263"/>
      <c r="H2302" s="263"/>
      <c r="I2302" s="486"/>
      <c r="J2302" s="486"/>
      <c r="K2302" s="486"/>
      <c r="L2302" s="486"/>
      <c r="M2302" s="263"/>
      <c r="N2302" s="486" t="str">
        <f>IF(V2295&gt;V2298,I2295,IF(V2298&gt;V2295,I2298,""))</f>
        <v>PETRÍK Filip</v>
      </c>
      <c r="O2302" s="486"/>
      <c r="P2302" s="486"/>
      <c r="Q2302" s="486"/>
      <c r="R2302" s="486"/>
      <c r="S2302" s="486"/>
      <c r="T2302" s="263"/>
      <c r="U2302" s="263"/>
      <c r="V2302" s="263"/>
      <c r="W2302" s="267"/>
      <c r="X2302" s="263"/>
      <c r="AZ2302" s="269" t="s">
        <v>43</v>
      </c>
      <c r="BA2302" s="269">
        <v>8</v>
      </c>
    </row>
    <row r="2303" spans="1:53" ht="39.950000000000003" customHeight="1">
      <c r="E2303" s="271"/>
      <c r="F2303" s="272"/>
      <c r="G2303" s="263"/>
      <c r="H2303" s="263"/>
      <c r="I2303" s="486"/>
      <c r="J2303" s="486"/>
      <c r="K2303" s="486"/>
      <c r="L2303" s="486"/>
      <c r="M2303" s="263"/>
      <c r="N2303" s="486"/>
      <c r="O2303" s="486"/>
      <c r="P2303" s="486"/>
      <c r="Q2303" s="486"/>
      <c r="R2303" s="486"/>
      <c r="S2303" s="486"/>
      <c r="T2303" s="263"/>
      <c r="U2303" s="263"/>
      <c r="V2303" s="263"/>
      <c r="W2303" s="267"/>
      <c r="X2303" s="263"/>
    </row>
    <row r="2304" spans="1:53" ht="39.950000000000003" customHeight="1">
      <c r="E2304" s="264" t="s">
        <v>27</v>
      </c>
      <c r="F2304" s="274" t="s">
        <v>311</v>
      </c>
      <c r="G2304" s="263"/>
      <c r="H2304" s="263"/>
      <c r="I2304" s="263"/>
      <c r="J2304" s="263"/>
      <c r="K2304" s="263"/>
      <c r="L2304" s="263"/>
      <c r="M2304" s="263"/>
      <c r="N2304" s="263"/>
      <c r="O2304" s="263"/>
      <c r="P2304" s="263"/>
      <c r="Q2304" s="263"/>
      <c r="R2304" s="263"/>
      <c r="S2304" s="263"/>
      <c r="T2304" s="263"/>
      <c r="U2304" s="263"/>
      <c r="V2304" s="263"/>
      <c r="W2304" s="267"/>
      <c r="X2304" s="263"/>
    </row>
    <row r="2305" spans="1:53" ht="39.950000000000003" customHeight="1">
      <c r="E2305" s="271"/>
      <c r="F2305" s="272"/>
      <c r="G2305" s="263"/>
      <c r="H2305" s="263" t="s">
        <v>33</v>
      </c>
      <c r="I2305" s="263"/>
      <c r="J2305" s="263"/>
      <c r="K2305" s="263"/>
      <c r="L2305" s="263"/>
      <c r="M2305" s="263"/>
      <c r="N2305" s="263"/>
      <c r="O2305" s="263"/>
      <c r="P2305" s="263"/>
      <c r="Q2305" s="263"/>
      <c r="R2305" s="263"/>
      <c r="S2305" s="263"/>
      <c r="T2305" s="263"/>
      <c r="U2305" s="263"/>
      <c r="V2305" s="263"/>
      <c r="W2305" s="267"/>
      <c r="X2305" s="263"/>
    </row>
    <row r="2306" spans="1:53" ht="39.950000000000003" customHeight="1">
      <c r="E2306" s="271"/>
      <c r="F2306" s="272"/>
      <c r="G2306" s="263"/>
      <c r="H2306" s="263"/>
      <c r="I2306" s="263"/>
      <c r="J2306" s="263"/>
      <c r="K2306" s="263"/>
      <c r="L2306" s="263"/>
      <c r="M2306" s="263"/>
      <c r="N2306" s="263"/>
      <c r="O2306" s="263"/>
      <c r="P2306" s="263"/>
      <c r="Q2306" s="263"/>
      <c r="R2306" s="263"/>
      <c r="S2306" s="263"/>
      <c r="T2306" s="263"/>
      <c r="U2306" s="263"/>
      <c r="V2306" s="263"/>
      <c r="W2306" s="267"/>
      <c r="X2306" s="263"/>
    </row>
    <row r="2307" spans="1:53" ht="39.950000000000003" customHeight="1">
      <c r="E2307" s="271"/>
      <c r="F2307" s="272"/>
      <c r="G2307" s="263"/>
      <c r="H2307" s="263"/>
      <c r="I2307" s="496" t="str">
        <f>I2295</f>
        <v>FUSEK Patrik</v>
      </c>
      <c r="J2307" s="496"/>
      <c r="K2307" s="496"/>
      <c r="L2307" s="496"/>
      <c r="M2307" s="263"/>
      <c r="N2307" s="263"/>
      <c r="O2307" s="263"/>
      <c r="P2307" s="496" t="str">
        <f>I2298</f>
        <v>PETRÍK Filip</v>
      </c>
      <c r="Q2307" s="496"/>
      <c r="R2307" s="496"/>
      <c r="S2307" s="496"/>
      <c r="T2307" s="497"/>
      <c r="U2307" s="497"/>
      <c r="V2307" s="263"/>
      <c r="W2307" s="267"/>
      <c r="X2307" s="263"/>
    </row>
    <row r="2308" spans="1:53" ht="69.95" customHeight="1">
      <c r="E2308" s="264"/>
      <c r="F2308" s="265"/>
      <c r="G2308" s="263"/>
      <c r="H2308" s="275" t="s">
        <v>36</v>
      </c>
      <c r="I2308" s="483"/>
      <c r="J2308" s="494"/>
      <c r="K2308" s="494"/>
      <c r="L2308" s="495"/>
      <c r="M2308" s="263"/>
      <c r="N2308" s="263"/>
      <c r="O2308" s="275" t="s">
        <v>36</v>
      </c>
      <c r="P2308" s="486"/>
      <c r="Q2308" s="486"/>
      <c r="R2308" s="486"/>
      <c r="S2308" s="486"/>
      <c r="T2308" s="486"/>
      <c r="U2308" s="486"/>
      <c r="V2308" s="263"/>
      <c r="W2308" s="267"/>
      <c r="X2308" s="263"/>
    </row>
    <row r="2309" spans="1:53" ht="69.95" customHeight="1">
      <c r="E2309" s="264"/>
      <c r="F2309" s="265"/>
      <c r="G2309" s="263"/>
      <c r="H2309" s="275" t="s">
        <v>37</v>
      </c>
      <c r="I2309" s="486"/>
      <c r="J2309" s="486"/>
      <c r="K2309" s="486"/>
      <c r="L2309" s="486"/>
      <c r="M2309" s="263"/>
      <c r="N2309" s="263"/>
      <c r="O2309" s="275" t="s">
        <v>37</v>
      </c>
      <c r="P2309" s="486"/>
      <c r="Q2309" s="486"/>
      <c r="R2309" s="486"/>
      <c r="S2309" s="486"/>
      <c r="T2309" s="486"/>
      <c r="U2309" s="486"/>
      <c r="V2309" s="263"/>
      <c r="W2309" s="267"/>
      <c r="X2309" s="263"/>
    </row>
    <row r="2310" spans="1:53" ht="69.95" customHeight="1">
      <c r="E2310" s="264"/>
      <c r="F2310" s="265"/>
      <c r="G2310" s="263"/>
      <c r="H2310" s="275" t="s">
        <v>37</v>
      </c>
      <c r="I2310" s="486"/>
      <c r="J2310" s="486"/>
      <c r="K2310" s="486"/>
      <c r="L2310" s="486"/>
      <c r="M2310" s="263"/>
      <c r="N2310" s="263"/>
      <c r="O2310" s="275" t="s">
        <v>37</v>
      </c>
      <c r="P2310" s="486"/>
      <c r="Q2310" s="486"/>
      <c r="R2310" s="486"/>
      <c r="S2310" s="486"/>
      <c r="T2310" s="486"/>
      <c r="U2310" s="486"/>
      <c r="V2310" s="263"/>
      <c r="W2310" s="267"/>
      <c r="X2310" s="263"/>
    </row>
    <row r="2311" spans="1:53" ht="39.950000000000003" customHeight="1" thickBot="1">
      <c r="E2311" s="276"/>
      <c r="F2311" s="277"/>
      <c r="G2311" s="278"/>
      <c r="H2311" s="278"/>
      <c r="I2311" s="278"/>
      <c r="J2311" s="278"/>
      <c r="K2311" s="278"/>
      <c r="L2311" s="278"/>
      <c r="M2311" s="278"/>
      <c r="N2311" s="278"/>
      <c r="O2311" s="278"/>
      <c r="P2311" s="278"/>
      <c r="Q2311" s="278"/>
      <c r="R2311" s="278"/>
      <c r="S2311" s="278"/>
      <c r="T2311" s="279"/>
      <c r="U2311" s="279"/>
      <c r="V2311" s="279"/>
      <c r="W2311" s="280"/>
      <c r="X2311" s="263"/>
    </row>
    <row r="2312" spans="1:53" ht="62.25" thickBot="1"/>
    <row r="2313" spans="1:53" ht="39.950000000000003" customHeight="1">
      <c r="A2313" s="252" t="str">
        <f>CONCATENATE(F2320,F2322,F2324)</f>
        <v>CHP7</v>
      </c>
      <c r="E2313" s="259" t="s">
        <v>70</v>
      </c>
      <c r="F2313" s="260">
        <f>VLOOKUP(CONCATENATE(A2313,1),'zoznam zapasov'!$A$6:$K$160,3,0)</f>
        <v>115</v>
      </c>
      <c r="G2313" s="261"/>
      <c r="H2313" s="322" t="s">
        <v>501</v>
      </c>
      <c r="I2313" s="261"/>
      <c r="J2313" s="261"/>
      <c r="K2313" s="261"/>
      <c r="L2313" s="261"/>
      <c r="M2313" s="261"/>
      <c r="N2313" s="261"/>
      <c r="O2313" s="261"/>
      <c r="P2313" s="261"/>
      <c r="Q2313" s="261"/>
      <c r="R2313" s="261"/>
      <c r="S2313" s="261"/>
      <c r="T2313" s="261"/>
      <c r="U2313" s="261"/>
      <c r="V2313" s="261" t="s">
        <v>30</v>
      </c>
      <c r="W2313" s="262"/>
      <c r="X2313" s="263"/>
      <c r="Y2313" s="253" t="str">
        <f>A2315</f>
        <v>CHP71</v>
      </c>
      <c r="Z2313" s="258" t="str">
        <f>CONCATENATE(V2315,":",V2318)</f>
        <v>2:3</v>
      </c>
      <c r="AA2313" s="255" t="str">
        <f>N2322</f>
        <v>KLAJBER Adam</v>
      </c>
      <c r="AB2313" s="255" t="str">
        <f>IF(V2315&gt;V2318,AV2313,IF(V2318&gt;V2315,AV2314,""))</f>
        <v xml:space="preserve">3:2 ( 12,-8,3,-8,7,, ) </v>
      </c>
      <c r="AC2313" s="255" t="str">
        <f>CONCATENATE("Tbl.: ",F2315,"   H: ",F2318,"   D: ",F2317)</f>
        <v>Tbl.: 7   H: 16.00   D: So</v>
      </c>
      <c r="AE2313" s="253" t="s">
        <v>11</v>
      </c>
      <c r="AV2313" s="256" t="str">
        <f>CONCATENATE(V2315,":",V2318, " ( ",AN2315,",",AO2315,",",AP2315,",",AQ2315,",",AR2315,",",AS2315,",",AT2315," ) ")</f>
        <v xml:space="preserve">2:3 ( -12,8,-3,8,-7,, ) </v>
      </c>
    </row>
    <row r="2314" spans="1:53" ht="39.950000000000003" customHeight="1">
      <c r="E2314" s="264"/>
      <c r="F2314" s="265"/>
      <c r="G2314" s="321" t="s">
        <v>500</v>
      </c>
      <c r="H2314" s="323" t="s">
        <v>502</v>
      </c>
      <c r="I2314" s="263"/>
      <c r="J2314" s="263"/>
      <c r="K2314" s="263"/>
      <c r="L2314" s="263"/>
      <c r="M2314" s="263"/>
      <c r="N2314" s="266">
        <v>1</v>
      </c>
      <c r="O2314" s="266">
        <v>2</v>
      </c>
      <c r="P2314" s="266">
        <v>3</v>
      </c>
      <c r="Q2314" s="266">
        <v>4</v>
      </c>
      <c r="R2314" s="266">
        <v>5</v>
      </c>
      <c r="S2314" s="266">
        <v>6</v>
      </c>
      <c r="T2314" s="266">
        <v>7</v>
      </c>
      <c r="U2314" s="263"/>
      <c r="V2314" s="266" t="s">
        <v>31</v>
      </c>
      <c r="W2314" s="267"/>
      <c r="X2314" s="263"/>
      <c r="AE2314" s="253" t="s">
        <v>68</v>
      </c>
      <c r="AV2314" s="256" t="str">
        <f>CONCATENATE(V2318,":",V2315, " ( ",AN2316,",",AO2316,",",AP2316,",",AQ2316,",",AR2316,",",AS2316,",",AT2316," ) ")</f>
        <v xml:space="preserve">3:2 ( 12,-8,3,-8,7,, ) </v>
      </c>
    </row>
    <row r="2315" spans="1:53" ht="39.950000000000003" customHeight="1">
      <c r="A2315" s="252" t="str">
        <f>CONCATENATE(A2313,1)</f>
        <v>CHP71</v>
      </c>
      <c r="E2315" s="264" t="s">
        <v>29</v>
      </c>
      <c r="F2315" s="265">
        <f>VLOOKUP(CONCATENATE(A2313,1),'zoznam zapasov'!$A$6:$K$160,11,0)</f>
        <v>7</v>
      </c>
      <c r="G2315" s="508"/>
      <c r="H2315" s="495"/>
      <c r="I2315" s="487" t="str">
        <f>IF(ISERROR(VLOOKUP(A2315,'KO KODY SPOLU'!$A$3:$B$189,2,0))=TRUE,"",VLOOKUP(A2315,'KO KODY SPOLU'!$A$3:$B$189,2,0))</f>
        <v>FEČO Michal</v>
      </c>
      <c r="J2315" s="487"/>
      <c r="K2315" s="487"/>
      <c r="L2315" s="487"/>
      <c r="M2315" s="263"/>
      <c r="N2315" s="489">
        <v>12</v>
      </c>
      <c r="O2315" s="489">
        <v>11</v>
      </c>
      <c r="P2315" s="489">
        <v>3</v>
      </c>
      <c r="Q2315" s="489">
        <v>11</v>
      </c>
      <c r="R2315" s="489">
        <v>7</v>
      </c>
      <c r="S2315" s="489"/>
      <c r="T2315" s="489"/>
      <c r="U2315" s="263"/>
      <c r="V2315" s="493">
        <f>IF(SUM(AF2315:AL2316)=0,"",SUM(AF2315:AL2315))</f>
        <v>2</v>
      </c>
      <c r="W2315" s="267"/>
      <c r="X2315" s="263"/>
      <c r="AE2315" s="253" t="str">
        <f>VLOOKUP(I2315,vylosovanie!$F$8:$L$190,7,0)</f>
        <v>CH73</v>
      </c>
      <c r="AF2315" s="268">
        <f>IF(N2315&gt;N2318,1,0)</f>
        <v>0</v>
      </c>
      <c r="AG2315" s="268">
        <f t="shared" ref="AG2315" si="2090">IF(O2315&gt;O2318,1,0)</f>
        <v>1</v>
      </c>
      <c r="AH2315" s="268">
        <f t="shared" ref="AH2315" si="2091">IF(P2315&gt;P2318,1,0)</f>
        <v>0</v>
      </c>
      <c r="AI2315" s="268">
        <f t="shared" ref="AI2315" si="2092">IF(Q2315&gt;Q2318,1,0)</f>
        <v>1</v>
      </c>
      <c r="AJ2315" s="268">
        <f t="shared" ref="AJ2315" si="2093">IF(R2315&gt;R2318,1,0)</f>
        <v>0</v>
      </c>
      <c r="AK2315" s="268">
        <f t="shared" ref="AK2315" si="2094">IF(S2315&gt;S2318,1,0)</f>
        <v>0</v>
      </c>
      <c r="AL2315" s="268">
        <f t="shared" ref="AL2315" si="2095">IF(T2315&gt;T2318,1,0)</f>
        <v>0</v>
      </c>
      <c r="AN2315" s="268">
        <f t="shared" ref="AN2315" si="2096">IF(ISBLANK(N2315)=TRUE,"",IF(AF2315=1,N2318,-N2315))</f>
        <v>-12</v>
      </c>
      <c r="AO2315" s="268">
        <f t="shared" ref="AO2315" si="2097">IF(ISBLANK(O2315)=TRUE,"",IF(AG2315=1,O2318,-O2315))</f>
        <v>8</v>
      </c>
      <c r="AP2315" s="268">
        <f t="shared" ref="AP2315" si="2098">IF(ISBLANK(P2315)=TRUE,"",IF(AH2315=1,P2318,-P2315))</f>
        <v>-3</v>
      </c>
      <c r="AQ2315" s="268">
        <f t="shared" ref="AQ2315" si="2099">IF(ISBLANK(Q2315)=TRUE,"",IF(AI2315=1,Q2318,-Q2315))</f>
        <v>8</v>
      </c>
      <c r="AR2315" s="268">
        <f t="shared" ref="AR2315" si="2100">IF(ISBLANK(R2315)=TRUE,"",IF(AJ2315=1,R2318,-R2315))</f>
        <v>-7</v>
      </c>
      <c r="AS2315" s="268" t="str">
        <f t="shared" ref="AS2315" si="2101">IF(ISBLANK(S2315)=TRUE,"",IF(AK2315=1,S2318,-S2315))</f>
        <v/>
      </c>
      <c r="AT2315" s="268" t="str">
        <f t="shared" ref="AT2315" si="2102">IF(ISBLANK(T2315)=TRUE,"",IF(AL2315=1,T2318,-T2315))</f>
        <v/>
      </c>
      <c r="AZ2315" s="269" t="s">
        <v>12</v>
      </c>
      <c r="BA2315" s="269">
        <v>1</v>
      </c>
    </row>
    <row r="2316" spans="1:53" ht="39.950000000000003" customHeight="1">
      <c r="E2316" s="264"/>
      <c r="F2316" s="265"/>
      <c r="G2316" s="509"/>
      <c r="H2316" s="495"/>
      <c r="I2316" s="487"/>
      <c r="J2316" s="487"/>
      <c r="K2316" s="487"/>
      <c r="L2316" s="487"/>
      <c r="M2316" s="263"/>
      <c r="N2316" s="490"/>
      <c r="O2316" s="490"/>
      <c r="P2316" s="490"/>
      <c r="Q2316" s="490"/>
      <c r="R2316" s="490"/>
      <c r="S2316" s="490"/>
      <c r="T2316" s="490"/>
      <c r="U2316" s="263"/>
      <c r="V2316" s="493"/>
      <c r="W2316" s="267"/>
      <c r="X2316" s="263"/>
      <c r="AE2316" s="253" t="str">
        <f>VLOOKUP(I2318,vylosovanie!$F$8:$L$190,7,0)</f>
        <v>CH32</v>
      </c>
      <c r="AF2316" s="268">
        <f>IF(N2318&gt;N2315,1,0)</f>
        <v>1</v>
      </c>
      <c r="AG2316" s="268">
        <f t="shared" ref="AG2316" si="2103">IF(O2318&gt;O2315,1,0)</f>
        <v>0</v>
      </c>
      <c r="AH2316" s="268">
        <f t="shared" ref="AH2316" si="2104">IF(P2318&gt;P2315,1,0)</f>
        <v>1</v>
      </c>
      <c r="AI2316" s="268">
        <f t="shared" ref="AI2316" si="2105">IF(Q2318&gt;Q2315,1,0)</f>
        <v>0</v>
      </c>
      <c r="AJ2316" s="268">
        <f t="shared" ref="AJ2316" si="2106">IF(R2318&gt;R2315,1,0)</f>
        <v>1</v>
      </c>
      <c r="AK2316" s="268">
        <f t="shared" ref="AK2316" si="2107">IF(S2318&gt;S2315,1,0)</f>
        <v>0</v>
      </c>
      <c r="AL2316" s="268">
        <f t="shared" ref="AL2316" si="2108">IF(T2318&gt;T2315,1,0)</f>
        <v>0</v>
      </c>
      <c r="AN2316" s="268">
        <f t="shared" ref="AN2316" si="2109">IF(ISBLANK(N2318)=TRUE,"",IF(AF2316=1,N2315,-N2318))</f>
        <v>12</v>
      </c>
      <c r="AO2316" s="268">
        <f t="shared" ref="AO2316" si="2110">IF(ISBLANK(O2318)=TRUE,"",IF(AG2316=1,O2315,-O2318))</f>
        <v>-8</v>
      </c>
      <c r="AP2316" s="268">
        <f t="shared" ref="AP2316" si="2111">IF(ISBLANK(P2318)=TRUE,"",IF(AH2316=1,P2315,-P2318))</f>
        <v>3</v>
      </c>
      <c r="AQ2316" s="268">
        <f t="shared" ref="AQ2316" si="2112">IF(ISBLANK(Q2318)=TRUE,"",IF(AI2316=1,Q2315,-Q2318))</f>
        <v>-8</v>
      </c>
      <c r="AR2316" s="268">
        <f t="shared" ref="AR2316" si="2113">IF(ISBLANK(R2318)=TRUE,"",IF(AJ2316=1,R2315,-R2318))</f>
        <v>7</v>
      </c>
      <c r="AS2316" s="268" t="str">
        <f t="shared" ref="AS2316" si="2114">IF(ISBLANK(S2318)=TRUE,"",IF(AK2316=1,S2315,-S2318))</f>
        <v/>
      </c>
      <c r="AT2316" s="268" t="str">
        <f t="shared" ref="AT2316" si="2115">IF(ISBLANK(T2318)=TRUE,"",IF(AL2316=1,T2315,-T2318))</f>
        <v/>
      </c>
      <c r="AZ2316" s="269" t="s">
        <v>18</v>
      </c>
      <c r="BA2316" s="269">
        <v>2</v>
      </c>
    </row>
    <row r="2317" spans="1:53" ht="39.950000000000003" customHeight="1">
      <c r="E2317" s="264" t="s">
        <v>35</v>
      </c>
      <c r="F2317" s="265" t="str">
        <f>VLOOKUP(CONCATENATE(A2313,1),'zoznam zapasov'!$A$6:$K$160,9,0)</f>
        <v>So</v>
      </c>
      <c r="G2317" s="263"/>
      <c r="H2317" s="263"/>
      <c r="I2317" s="263"/>
      <c r="J2317" s="263"/>
      <c r="K2317" s="263"/>
      <c r="L2317" s="263"/>
      <c r="M2317" s="263"/>
      <c r="N2317" s="263"/>
      <c r="O2317" s="263"/>
      <c r="P2317" s="263"/>
      <c r="Q2317" s="263"/>
      <c r="R2317" s="263"/>
      <c r="S2317" s="263"/>
      <c r="T2317" s="263"/>
      <c r="U2317" s="263"/>
      <c r="V2317" s="263"/>
      <c r="W2317" s="267"/>
      <c r="X2317" s="263"/>
      <c r="AZ2317" s="269" t="s">
        <v>38</v>
      </c>
      <c r="BA2317" s="269">
        <v>3</v>
      </c>
    </row>
    <row r="2318" spans="1:53" ht="39.950000000000003" customHeight="1">
      <c r="A2318" s="252" t="str">
        <f>CONCATENATE(A2313,2)</f>
        <v>CHP72</v>
      </c>
      <c r="E2318" s="264" t="s">
        <v>28</v>
      </c>
      <c r="F2318" s="270" t="str">
        <f>VLOOKUP(CONCATENATE(A2313,1),'zoznam zapasov'!$A$6:$K$160,10,0)</f>
        <v>16.00</v>
      </c>
      <c r="G2318" s="508"/>
      <c r="H2318" s="486"/>
      <c r="I2318" s="487" t="str">
        <f>IF(ISERROR(VLOOKUP(A2318,'KO KODY SPOLU'!$A$3:$B$189,2,0))=TRUE,"",VLOOKUP(A2318,'KO KODY SPOLU'!$A$3:$B$189,2,0))</f>
        <v>KLAJBER Adam</v>
      </c>
      <c r="J2318" s="487"/>
      <c r="K2318" s="487"/>
      <c r="L2318" s="487"/>
      <c r="M2318" s="263"/>
      <c r="N2318" s="489">
        <v>14</v>
      </c>
      <c r="O2318" s="489">
        <v>8</v>
      </c>
      <c r="P2318" s="489">
        <v>11</v>
      </c>
      <c r="Q2318" s="489">
        <v>8</v>
      </c>
      <c r="R2318" s="489">
        <v>11</v>
      </c>
      <c r="S2318" s="489"/>
      <c r="T2318" s="489"/>
      <c r="U2318" s="263"/>
      <c r="V2318" s="493">
        <f>IF(SUM(AF2315:AL2316)=0,"",SUM(AF2316:AL2316))</f>
        <v>3</v>
      </c>
      <c r="W2318" s="267"/>
      <c r="X2318" s="263"/>
      <c r="AZ2318" s="269" t="s">
        <v>39</v>
      </c>
      <c r="BA2318" s="269">
        <v>4</v>
      </c>
    </row>
    <row r="2319" spans="1:53" ht="39.950000000000003" customHeight="1">
      <c r="E2319" s="271"/>
      <c r="F2319" s="272"/>
      <c r="G2319" s="509"/>
      <c r="H2319" s="486"/>
      <c r="I2319" s="487"/>
      <c r="J2319" s="487"/>
      <c r="K2319" s="487"/>
      <c r="L2319" s="487"/>
      <c r="M2319" s="263"/>
      <c r="N2319" s="490"/>
      <c r="O2319" s="490"/>
      <c r="P2319" s="490"/>
      <c r="Q2319" s="490"/>
      <c r="R2319" s="490"/>
      <c r="S2319" s="490"/>
      <c r="T2319" s="490"/>
      <c r="U2319" s="263"/>
      <c r="V2319" s="493"/>
      <c r="W2319" s="267"/>
      <c r="X2319" s="263"/>
      <c r="AZ2319" s="269" t="s">
        <v>40</v>
      </c>
      <c r="BA2319" s="269">
        <v>5</v>
      </c>
    </row>
    <row r="2320" spans="1:53" ht="39.950000000000003" customHeight="1">
      <c r="E2320" s="264" t="s">
        <v>66</v>
      </c>
      <c r="F2320" s="265" t="s">
        <v>65</v>
      </c>
      <c r="G2320" s="263"/>
      <c r="H2320" s="263"/>
      <c r="I2320" s="263"/>
      <c r="J2320" s="263"/>
      <c r="K2320" s="263"/>
      <c r="L2320" s="263"/>
      <c r="M2320" s="263"/>
      <c r="N2320" s="263"/>
      <c r="O2320" s="263"/>
      <c r="P2320" s="263"/>
      <c r="Q2320" s="263"/>
      <c r="R2320" s="263"/>
      <c r="S2320" s="263"/>
      <c r="T2320" s="263"/>
      <c r="U2320" s="263"/>
      <c r="V2320" s="263"/>
      <c r="W2320" s="267"/>
      <c r="X2320" s="263"/>
      <c r="AZ2320" s="269" t="s">
        <v>41</v>
      </c>
      <c r="BA2320" s="269">
        <v>6</v>
      </c>
    </row>
    <row r="2321" spans="1:53" ht="39.950000000000003" customHeight="1">
      <c r="E2321" s="271"/>
      <c r="F2321" s="272"/>
      <c r="G2321" s="263"/>
      <c r="H2321" s="263"/>
      <c r="I2321" s="263" t="s">
        <v>32</v>
      </c>
      <c r="J2321" s="263"/>
      <c r="K2321" s="263"/>
      <c r="L2321" s="263"/>
      <c r="M2321" s="263"/>
      <c r="N2321" s="273"/>
      <c r="O2321" s="266"/>
      <c r="P2321" s="266" t="s">
        <v>34</v>
      </c>
      <c r="Q2321" s="266"/>
      <c r="R2321" s="266"/>
      <c r="S2321" s="266"/>
      <c r="T2321" s="266"/>
      <c r="U2321" s="263"/>
      <c r="V2321" s="263"/>
      <c r="W2321" s="267"/>
      <c r="X2321" s="263"/>
      <c r="AZ2321" s="269" t="s">
        <v>42</v>
      </c>
      <c r="BA2321" s="269">
        <v>7</v>
      </c>
    </row>
    <row r="2322" spans="1:53" ht="39.950000000000003" customHeight="1">
      <c r="E2322" s="264" t="s">
        <v>26</v>
      </c>
      <c r="F2322" s="265" t="s">
        <v>128</v>
      </c>
      <c r="G2322" s="263"/>
      <c r="H2322" s="263"/>
      <c r="I2322" s="486"/>
      <c r="J2322" s="486"/>
      <c r="K2322" s="486"/>
      <c r="L2322" s="486"/>
      <c r="M2322" s="263"/>
      <c r="N2322" s="486" t="str">
        <f>IF(V2315&gt;V2318,I2315,IF(V2318&gt;V2315,I2318,""))</f>
        <v>KLAJBER Adam</v>
      </c>
      <c r="O2322" s="486"/>
      <c r="P2322" s="486"/>
      <c r="Q2322" s="486"/>
      <c r="R2322" s="486"/>
      <c r="S2322" s="486"/>
      <c r="T2322" s="263"/>
      <c r="U2322" s="263"/>
      <c r="V2322" s="263"/>
      <c r="W2322" s="267"/>
      <c r="X2322" s="263"/>
      <c r="AZ2322" s="269" t="s">
        <v>43</v>
      </c>
      <c r="BA2322" s="269">
        <v>8</v>
      </c>
    </row>
    <row r="2323" spans="1:53" ht="39.950000000000003" customHeight="1">
      <c r="E2323" s="271"/>
      <c r="F2323" s="272"/>
      <c r="G2323" s="263"/>
      <c r="H2323" s="263"/>
      <c r="I2323" s="486"/>
      <c r="J2323" s="486"/>
      <c r="K2323" s="486"/>
      <c r="L2323" s="486"/>
      <c r="M2323" s="263"/>
      <c r="N2323" s="486"/>
      <c r="O2323" s="486"/>
      <c r="P2323" s="486"/>
      <c r="Q2323" s="486"/>
      <c r="R2323" s="486"/>
      <c r="S2323" s="486"/>
      <c r="T2323" s="263"/>
      <c r="U2323" s="263"/>
      <c r="V2323" s="263"/>
      <c r="W2323" s="267"/>
      <c r="X2323" s="263"/>
    </row>
    <row r="2324" spans="1:53" ht="39.950000000000003" customHeight="1">
      <c r="E2324" s="264" t="s">
        <v>27</v>
      </c>
      <c r="F2324" s="274" t="s">
        <v>312</v>
      </c>
      <c r="G2324" s="263"/>
      <c r="H2324" s="263"/>
      <c r="I2324" s="263"/>
      <c r="J2324" s="263"/>
      <c r="K2324" s="263"/>
      <c r="L2324" s="263"/>
      <c r="M2324" s="263"/>
      <c r="N2324" s="263"/>
      <c r="O2324" s="263"/>
      <c r="P2324" s="263"/>
      <c r="Q2324" s="263"/>
      <c r="R2324" s="263"/>
      <c r="S2324" s="263"/>
      <c r="T2324" s="263"/>
      <c r="U2324" s="263"/>
      <c r="V2324" s="263"/>
      <c r="W2324" s="267"/>
      <c r="X2324" s="263"/>
    </row>
    <row r="2325" spans="1:53" ht="39.950000000000003" customHeight="1">
      <c r="E2325" s="271"/>
      <c r="F2325" s="272"/>
      <c r="G2325" s="263"/>
      <c r="H2325" s="263" t="s">
        <v>33</v>
      </c>
      <c r="I2325" s="263"/>
      <c r="J2325" s="263"/>
      <c r="K2325" s="263"/>
      <c r="L2325" s="263"/>
      <c r="M2325" s="263"/>
      <c r="N2325" s="263"/>
      <c r="O2325" s="263"/>
      <c r="P2325" s="263"/>
      <c r="Q2325" s="263"/>
      <c r="R2325" s="263"/>
      <c r="S2325" s="263"/>
      <c r="T2325" s="263"/>
      <c r="U2325" s="263"/>
      <c r="V2325" s="263"/>
      <c r="W2325" s="267"/>
      <c r="X2325" s="263"/>
    </row>
    <row r="2326" spans="1:53" ht="39.950000000000003" customHeight="1">
      <c r="E2326" s="271"/>
      <c r="F2326" s="272"/>
      <c r="G2326" s="263"/>
      <c r="H2326" s="263"/>
      <c r="I2326" s="263"/>
      <c r="J2326" s="263"/>
      <c r="K2326" s="263"/>
      <c r="L2326" s="263"/>
      <c r="M2326" s="263"/>
      <c r="N2326" s="263"/>
      <c r="O2326" s="263"/>
      <c r="P2326" s="263"/>
      <c r="Q2326" s="263"/>
      <c r="R2326" s="263"/>
      <c r="S2326" s="263"/>
      <c r="T2326" s="263"/>
      <c r="U2326" s="263"/>
      <c r="V2326" s="263"/>
      <c r="W2326" s="267"/>
      <c r="X2326" s="263"/>
    </row>
    <row r="2327" spans="1:53" ht="39.950000000000003" customHeight="1">
      <c r="E2327" s="271"/>
      <c r="F2327" s="272"/>
      <c r="G2327" s="263"/>
      <c r="H2327" s="263"/>
      <c r="I2327" s="496" t="str">
        <f>I2315</f>
        <v>FEČO Michal</v>
      </c>
      <c r="J2327" s="496"/>
      <c r="K2327" s="496"/>
      <c r="L2327" s="496"/>
      <c r="M2327" s="263"/>
      <c r="N2327" s="263"/>
      <c r="O2327" s="263"/>
      <c r="P2327" s="496" t="str">
        <f>I2318</f>
        <v>KLAJBER Adam</v>
      </c>
      <c r="Q2327" s="496"/>
      <c r="R2327" s="496"/>
      <c r="S2327" s="496"/>
      <c r="T2327" s="497"/>
      <c r="U2327" s="497"/>
      <c r="V2327" s="263"/>
      <c r="W2327" s="267"/>
      <c r="X2327" s="263"/>
    </row>
    <row r="2328" spans="1:53" ht="69.95" customHeight="1">
      <c r="E2328" s="264"/>
      <c r="F2328" s="265"/>
      <c r="G2328" s="263"/>
      <c r="H2328" s="275" t="s">
        <v>36</v>
      </c>
      <c r="I2328" s="483"/>
      <c r="J2328" s="494"/>
      <c r="K2328" s="494"/>
      <c r="L2328" s="495"/>
      <c r="M2328" s="263"/>
      <c r="N2328" s="263"/>
      <c r="O2328" s="275" t="s">
        <v>36</v>
      </c>
      <c r="P2328" s="486"/>
      <c r="Q2328" s="486"/>
      <c r="R2328" s="486"/>
      <c r="S2328" s="486"/>
      <c r="T2328" s="486"/>
      <c r="U2328" s="486"/>
      <c r="V2328" s="263"/>
      <c r="W2328" s="267"/>
      <c r="X2328" s="263"/>
    </row>
    <row r="2329" spans="1:53" ht="69.95" customHeight="1">
      <c r="E2329" s="264"/>
      <c r="F2329" s="265"/>
      <c r="G2329" s="263"/>
      <c r="H2329" s="275" t="s">
        <v>37</v>
      </c>
      <c r="I2329" s="486"/>
      <c r="J2329" s="486"/>
      <c r="K2329" s="486"/>
      <c r="L2329" s="486"/>
      <c r="M2329" s="263"/>
      <c r="N2329" s="263"/>
      <c r="O2329" s="275" t="s">
        <v>37</v>
      </c>
      <c r="P2329" s="486"/>
      <c r="Q2329" s="486"/>
      <c r="R2329" s="486"/>
      <c r="S2329" s="486"/>
      <c r="T2329" s="486"/>
      <c r="U2329" s="486"/>
      <c r="V2329" s="263"/>
      <c r="W2329" s="267"/>
      <c r="X2329" s="263"/>
    </row>
    <row r="2330" spans="1:53" ht="69.95" customHeight="1">
      <c r="E2330" s="264"/>
      <c r="F2330" s="265"/>
      <c r="G2330" s="263"/>
      <c r="H2330" s="275" t="s">
        <v>37</v>
      </c>
      <c r="I2330" s="486"/>
      <c r="J2330" s="486"/>
      <c r="K2330" s="486"/>
      <c r="L2330" s="486"/>
      <c r="M2330" s="263"/>
      <c r="N2330" s="263"/>
      <c r="O2330" s="275" t="s">
        <v>37</v>
      </c>
      <c r="P2330" s="486"/>
      <c r="Q2330" s="486"/>
      <c r="R2330" s="486"/>
      <c r="S2330" s="486"/>
      <c r="T2330" s="486"/>
      <c r="U2330" s="486"/>
      <c r="V2330" s="263"/>
      <c r="W2330" s="267"/>
      <c r="X2330" s="263"/>
    </row>
    <row r="2331" spans="1:53" ht="39.950000000000003" customHeight="1" thickBot="1">
      <c r="E2331" s="276"/>
      <c r="F2331" s="277"/>
      <c r="G2331" s="278"/>
      <c r="H2331" s="278"/>
      <c r="I2331" s="278"/>
      <c r="J2331" s="278"/>
      <c r="K2331" s="278"/>
      <c r="L2331" s="278"/>
      <c r="M2331" s="278"/>
      <c r="N2331" s="278"/>
      <c r="O2331" s="278"/>
      <c r="P2331" s="278"/>
      <c r="Q2331" s="278"/>
      <c r="R2331" s="278"/>
      <c r="S2331" s="278"/>
      <c r="T2331" s="279"/>
      <c r="U2331" s="279"/>
      <c r="V2331" s="279"/>
      <c r="W2331" s="280"/>
      <c r="X2331" s="263"/>
    </row>
    <row r="2332" spans="1:53" ht="62.25" thickBot="1"/>
    <row r="2333" spans="1:53" ht="39.950000000000003" customHeight="1">
      <c r="A2333" s="252" t="str">
        <f>CONCATENATE(F2340,F2342,F2344)</f>
        <v>CHP8</v>
      </c>
      <c r="E2333" s="259" t="s">
        <v>70</v>
      </c>
      <c r="F2333" s="260">
        <f>VLOOKUP(CONCATENATE(A2333,1),'zoznam zapasov'!$A$6:$K$160,3,0)</f>
        <v>116</v>
      </c>
      <c r="G2333" s="261"/>
      <c r="H2333" s="322" t="s">
        <v>501</v>
      </c>
      <c r="I2333" s="261"/>
      <c r="J2333" s="261"/>
      <c r="K2333" s="261"/>
      <c r="L2333" s="261"/>
      <c r="M2333" s="261"/>
      <c r="N2333" s="261"/>
      <c r="O2333" s="261"/>
      <c r="P2333" s="261"/>
      <c r="Q2333" s="261"/>
      <c r="R2333" s="261"/>
      <c r="S2333" s="261"/>
      <c r="T2333" s="261"/>
      <c r="U2333" s="261"/>
      <c r="V2333" s="261" t="s">
        <v>30</v>
      </c>
      <c r="W2333" s="262"/>
      <c r="X2333" s="263"/>
      <c r="Y2333" s="253" t="str">
        <f>A2335</f>
        <v>CHP81</v>
      </c>
      <c r="Z2333" s="258" t="str">
        <f>CONCATENATE(V2335,":",V2338)</f>
        <v>1:3</v>
      </c>
      <c r="AA2333" s="255" t="str">
        <f>N2342</f>
        <v>KYSEL Martin</v>
      </c>
      <c r="AB2333" s="255" t="str">
        <f>IF(V2335&gt;V2338,AV2333,IF(V2338&gt;V2335,AV2334,""))</f>
        <v xml:space="preserve">3:1 ( -8,4,8,4,,, ) </v>
      </c>
      <c r="AC2333" s="255" t="str">
        <f>CONCATENATE("Tbl.: ",F2335,"   H: ",F2338,"   D: ",F2337)</f>
        <v>Tbl.: 8   H: 16.00   D: So</v>
      </c>
      <c r="AE2333" s="253" t="s">
        <v>11</v>
      </c>
      <c r="AV2333" s="256" t="str">
        <f>CONCATENATE(V2335,":",V2338, " ( ",AN2335,",",AO2335,",",AP2335,",",AQ2335,",",AR2335,",",AS2335,",",AT2335," ) ")</f>
        <v xml:space="preserve">1:3 ( 8,-4,-8,-4,,, ) </v>
      </c>
    </row>
    <row r="2334" spans="1:53" ht="39.950000000000003" customHeight="1">
      <c r="E2334" s="264"/>
      <c r="F2334" s="265"/>
      <c r="G2334" s="321" t="s">
        <v>500</v>
      </c>
      <c r="H2334" s="323" t="s">
        <v>502</v>
      </c>
      <c r="I2334" s="263"/>
      <c r="J2334" s="263"/>
      <c r="K2334" s="263"/>
      <c r="L2334" s="263"/>
      <c r="M2334" s="263"/>
      <c r="N2334" s="266">
        <v>1</v>
      </c>
      <c r="O2334" s="266">
        <v>2</v>
      </c>
      <c r="P2334" s="266">
        <v>3</v>
      </c>
      <c r="Q2334" s="266">
        <v>4</v>
      </c>
      <c r="R2334" s="266">
        <v>5</v>
      </c>
      <c r="S2334" s="266">
        <v>6</v>
      </c>
      <c r="T2334" s="266">
        <v>7</v>
      </c>
      <c r="U2334" s="263"/>
      <c r="V2334" s="266" t="s">
        <v>31</v>
      </c>
      <c r="W2334" s="267"/>
      <c r="X2334" s="263"/>
      <c r="AE2334" s="253" t="s">
        <v>68</v>
      </c>
      <c r="AV2334" s="256" t="str">
        <f>CONCATENATE(V2338,":",V2335, " ( ",AN2336,",",AO2336,",",AP2336,",",AQ2336,",",AR2336,",",AS2336,",",AT2336," ) ")</f>
        <v xml:space="preserve">3:1 ( -8,4,8,4,,, ) </v>
      </c>
    </row>
    <row r="2335" spans="1:53" ht="39.950000000000003" customHeight="1">
      <c r="A2335" s="252" t="str">
        <f>CONCATENATE(A2333,1)</f>
        <v>CHP81</v>
      </c>
      <c r="E2335" s="264" t="s">
        <v>29</v>
      </c>
      <c r="F2335" s="265">
        <f>VLOOKUP(CONCATENATE(A2333,1),'zoznam zapasov'!$A$6:$K$160,11,0)</f>
        <v>8</v>
      </c>
      <c r="G2335" s="508"/>
      <c r="H2335" s="495"/>
      <c r="I2335" s="487" t="str">
        <f>IF(ISERROR(VLOOKUP(A2335,'KO KODY SPOLU'!$A$3:$B$189,2,0))=TRUE,"",VLOOKUP(A2335,'KO KODY SPOLU'!$A$3:$B$189,2,0))</f>
        <v>IVANČO Félix</v>
      </c>
      <c r="J2335" s="487"/>
      <c r="K2335" s="487"/>
      <c r="L2335" s="487"/>
      <c r="M2335" s="263"/>
      <c r="N2335" s="489">
        <v>11</v>
      </c>
      <c r="O2335" s="489">
        <v>4</v>
      </c>
      <c r="P2335" s="489">
        <v>8</v>
      </c>
      <c r="Q2335" s="489">
        <v>4</v>
      </c>
      <c r="R2335" s="489"/>
      <c r="S2335" s="489"/>
      <c r="T2335" s="489"/>
      <c r="U2335" s="263"/>
      <c r="V2335" s="493">
        <f>IF(SUM(AF2335:AL2336)=0,"",SUM(AF2335:AL2335))</f>
        <v>1</v>
      </c>
      <c r="W2335" s="267"/>
      <c r="X2335" s="263"/>
      <c r="AE2335" s="253" t="str">
        <f>VLOOKUP(I2335,vylosovanie!$F$8:$L$190,7,0)</f>
        <v>CH12</v>
      </c>
      <c r="AF2335" s="268">
        <f>IF(N2335&gt;N2338,1,0)</f>
        <v>1</v>
      </c>
      <c r="AG2335" s="268">
        <f t="shared" ref="AG2335" si="2116">IF(O2335&gt;O2338,1,0)</f>
        <v>0</v>
      </c>
      <c r="AH2335" s="268">
        <f t="shared" ref="AH2335" si="2117">IF(P2335&gt;P2338,1,0)</f>
        <v>0</v>
      </c>
      <c r="AI2335" s="268">
        <f t="shared" ref="AI2335" si="2118">IF(Q2335&gt;Q2338,1,0)</f>
        <v>0</v>
      </c>
      <c r="AJ2335" s="268">
        <f t="shared" ref="AJ2335" si="2119">IF(R2335&gt;R2338,1,0)</f>
        <v>0</v>
      </c>
      <c r="AK2335" s="268">
        <f t="shared" ref="AK2335" si="2120">IF(S2335&gt;S2338,1,0)</f>
        <v>0</v>
      </c>
      <c r="AL2335" s="268">
        <f t="shared" ref="AL2335" si="2121">IF(T2335&gt;T2338,1,0)</f>
        <v>0</v>
      </c>
      <c r="AN2335" s="268">
        <f t="shared" ref="AN2335" si="2122">IF(ISBLANK(N2335)=TRUE,"",IF(AF2335=1,N2338,-N2335))</f>
        <v>8</v>
      </c>
      <c r="AO2335" s="268">
        <f t="shared" ref="AO2335" si="2123">IF(ISBLANK(O2335)=TRUE,"",IF(AG2335=1,O2338,-O2335))</f>
        <v>-4</v>
      </c>
      <c r="AP2335" s="268">
        <f t="shared" ref="AP2335" si="2124">IF(ISBLANK(P2335)=TRUE,"",IF(AH2335=1,P2338,-P2335))</f>
        <v>-8</v>
      </c>
      <c r="AQ2335" s="268">
        <f t="shared" ref="AQ2335" si="2125">IF(ISBLANK(Q2335)=TRUE,"",IF(AI2335=1,Q2338,-Q2335))</f>
        <v>-4</v>
      </c>
      <c r="AR2335" s="268" t="str">
        <f t="shared" ref="AR2335" si="2126">IF(ISBLANK(R2335)=TRUE,"",IF(AJ2335=1,R2338,-R2335))</f>
        <v/>
      </c>
      <c r="AS2335" s="268" t="str">
        <f t="shared" ref="AS2335" si="2127">IF(ISBLANK(S2335)=TRUE,"",IF(AK2335=1,S2338,-S2335))</f>
        <v/>
      </c>
      <c r="AT2335" s="268" t="str">
        <f t="shared" ref="AT2335" si="2128">IF(ISBLANK(T2335)=TRUE,"",IF(AL2335=1,T2338,-T2335))</f>
        <v/>
      </c>
      <c r="AZ2335" s="269" t="s">
        <v>12</v>
      </c>
      <c r="BA2335" s="269">
        <v>1</v>
      </c>
    </row>
    <row r="2336" spans="1:53" ht="39.950000000000003" customHeight="1">
      <c r="E2336" s="264"/>
      <c r="F2336" s="265"/>
      <c r="G2336" s="509"/>
      <c r="H2336" s="495"/>
      <c r="I2336" s="487"/>
      <c r="J2336" s="487"/>
      <c r="K2336" s="487"/>
      <c r="L2336" s="487"/>
      <c r="M2336" s="263"/>
      <c r="N2336" s="490"/>
      <c r="O2336" s="490"/>
      <c r="P2336" s="490"/>
      <c r="Q2336" s="490"/>
      <c r="R2336" s="490"/>
      <c r="S2336" s="490"/>
      <c r="T2336" s="490"/>
      <c r="U2336" s="263"/>
      <c r="V2336" s="493"/>
      <c r="W2336" s="267"/>
      <c r="X2336" s="263"/>
      <c r="AE2336" s="253" t="str">
        <f>VLOOKUP(I2338,vylosovanie!$F$8:$L$190,7,0)</f>
        <v>CH21</v>
      </c>
      <c r="AF2336" s="268">
        <f>IF(N2338&gt;N2335,1,0)</f>
        <v>0</v>
      </c>
      <c r="AG2336" s="268">
        <f t="shared" ref="AG2336" si="2129">IF(O2338&gt;O2335,1,0)</f>
        <v>1</v>
      </c>
      <c r="AH2336" s="268">
        <f t="shared" ref="AH2336" si="2130">IF(P2338&gt;P2335,1,0)</f>
        <v>1</v>
      </c>
      <c r="AI2336" s="268">
        <f t="shared" ref="AI2336" si="2131">IF(Q2338&gt;Q2335,1,0)</f>
        <v>1</v>
      </c>
      <c r="AJ2336" s="268">
        <f t="shared" ref="AJ2336" si="2132">IF(R2338&gt;R2335,1,0)</f>
        <v>0</v>
      </c>
      <c r="AK2336" s="268">
        <f t="shared" ref="AK2336" si="2133">IF(S2338&gt;S2335,1,0)</f>
        <v>0</v>
      </c>
      <c r="AL2336" s="268">
        <f t="shared" ref="AL2336" si="2134">IF(T2338&gt;T2335,1,0)</f>
        <v>0</v>
      </c>
      <c r="AN2336" s="268">
        <f t="shared" ref="AN2336" si="2135">IF(ISBLANK(N2338)=TRUE,"",IF(AF2336=1,N2335,-N2338))</f>
        <v>-8</v>
      </c>
      <c r="AO2336" s="268">
        <f t="shared" ref="AO2336" si="2136">IF(ISBLANK(O2338)=TRUE,"",IF(AG2336=1,O2335,-O2338))</f>
        <v>4</v>
      </c>
      <c r="AP2336" s="268">
        <f t="shared" ref="AP2336" si="2137">IF(ISBLANK(P2338)=TRUE,"",IF(AH2336=1,P2335,-P2338))</f>
        <v>8</v>
      </c>
      <c r="AQ2336" s="268">
        <f t="shared" ref="AQ2336" si="2138">IF(ISBLANK(Q2338)=TRUE,"",IF(AI2336=1,Q2335,-Q2338))</f>
        <v>4</v>
      </c>
      <c r="AR2336" s="268" t="str">
        <f t="shared" ref="AR2336" si="2139">IF(ISBLANK(R2338)=TRUE,"",IF(AJ2336=1,R2335,-R2338))</f>
        <v/>
      </c>
      <c r="AS2336" s="268" t="str">
        <f t="shared" ref="AS2336" si="2140">IF(ISBLANK(S2338)=TRUE,"",IF(AK2336=1,S2335,-S2338))</f>
        <v/>
      </c>
      <c r="AT2336" s="268" t="str">
        <f t="shared" ref="AT2336" si="2141">IF(ISBLANK(T2338)=TRUE,"",IF(AL2336=1,T2335,-T2338))</f>
        <v/>
      </c>
      <c r="AZ2336" s="269" t="s">
        <v>18</v>
      </c>
      <c r="BA2336" s="269">
        <v>2</v>
      </c>
    </row>
    <row r="2337" spans="1:53" ht="39.950000000000003" customHeight="1">
      <c r="E2337" s="264" t="s">
        <v>35</v>
      </c>
      <c r="F2337" s="265" t="str">
        <f>VLOOKUP(CONCATENATE(A2333,1),'zoznam zapasov'!$A$6:$K$160,9,0)</f>
        <v>So</v>
      </c>
      <c r="G2337" s="263"/>
      <c r="H2337" s="263"/>
      <c r="I2337" s="263"/>
      <c r="J2337" s="263"/>
      <c r="K2337" s="263"/>
      <c r="L2337" s="263"/>
      <c r="M2337" s="263"/>
      <c r="N2337" s="263"/>
      <c r="O2337" s="263"/>
      <c r="P2337" s="263"/>
      <c r="Q2337" s="263"/>
      <c r="R2337" s="263"/>
      <c r="S2337" s="263"/>
      <c r="T2337" s="263"/>
      <c r="U2337" s="263"/>
      <c r="V2337" s="263"/>
      <c r="W2337" s="267"/>
      <c r="X2337" s="263"/>
      <c r="AZ2337" s="269" t="s">
        <v>38</v>
      </c>
      <c r="BA2337" s="269">
        <v>3</v>
      </c>
    </row>
    <row r="2338" spans="1:53" ht="39.950000000000003" customHeight="1">
      <c r="A2338" s="252" t="str">
        <f>CONCATENATE(A2333,2)</f>
        <v>CHP82</v>
      </c>
      <c r="E2338" s="264" t="s">
        <v>28</v>
      </c>
      <c r="F2338" s="270" t="str">
        <f>VLOOKUP(CONCATENATE(A2333,1),'zoznam zapasov'!$A$6:$K$160,10,0)</f>
        <v>16.00</v>
      </c>
      <c r="G2338" s="508"/>
      <c r="H2338" s="486"/>
      <c r="I2338" s="487" t="str">
        <f>IF(ISERROR(VLOOKUP(A2338,'KO KODY SPOLU'!$A$3:$B$189,2,0))=TRUE,"",VLOOKUP(A2338,'KO KODY SPOLU'!$A$3:$B$189,2,0))</f>
        <v>KYSEL Martin</v>
      </c>
      <c r="J2338" s="487"/>
      <c r="K2338" s="487"/>
      <c r="L2338" s="487"/>
      <c r="M2338" s="263"/>
      <c r="N2338" s="489">
        <v>8</v>
      </c>
      <c r="O2338" s="489">
        <v>11</v>
      </c>
      <c r="P2338" s="489">
        <v>11</v>
      </c>
      <c r="Q2338" s="489">
        <v>11</v>
      </c>
      <c r="R2338" s="489"/>
      <c r="S2338" s="489"/>
      <c r="T2338" s="489"/>
      <c r="U2338" s="263"/>
      <c r="V2338" s="493">
        <f>IF(SUM(AF2335:AL2336)=0,"",SUM(AF2336:AL2336))</f>
        <v>3</v>
      </c>
      <c r="W2338" s="267"/>
      <c r="X2338" s="263"/>
      <c r="AZ2338" s="269" t="s">
        <v>39</v>
      </c>
      <c r="BA2338" s="269">
        <v>4</v>
      </c>
    </row>
    <row r="2339" spans="1:53" ht="39.950000000000003" customHeight="1">
      <c r="E2339" s="271"/>
      <c r="F2339" s="272"/>
      <c r="G2339" s="509"/>
      <c r="H2339" s="486"/>
      <c r="I2339" s="487"/>
      <c r="J2339" s="487"/>
      <c r="K2339" s="487"/>
      <c r="L2339" s="487"/>
      <c r="M2339" s="263"/>
      <c r="N2339" s="490"/>
      <c r="O2339" s="490"/>
      <c r="P2339" s="490"/>
      <c r="Q2339" s="490"/>
      <c r="R2339" s="490"/>
      <c r="S2339" s="490"/>
      <c r="T2339" s="490"/>
      <c r="U2339" s="263"/>
      <c r="V2339" s="493"/>
      <c r="W2339" s="267"/>
      <c r="X2339" s="263"/>
      <c r="AZ2339" s="269" t="s">
        <v>40</v>
      </c>
      <c r="BA2339" s="269">
        <v>5</v>
      </c>
    </row>
    <row r="2340" spans="1:53" ht="39.950000000000003" customHeight="1">
      <c r="E2340" s="264" t="s">
        <v>66</v>
      </c>
      <c r="F2340" s="265" t="s">
        <v>65</v>
      </c>
      <c r="G2340" s="263"/>
      <c r="H2340" s="263"/>
      <c r="I2340" s="263"/>
      <c r="J2340" s="263"/>
      <c r="K2340" s="263"/>
      <c r="L2340" s="263"/>
      <c r="M2340" s="263"/>
      <c r="N2340" s="263"/>
      <c r="O2340" s="263"/>
      <c r="P2340" s="263"/>
      <c r="Q2340" s="263"/>
      <c r="R2340" s="263"/>
      <c r="S2340" s="263"/>
      <c r="T2340" s="263"/>
      <c r="U2340" s="263"/>
      <c r="V2340" s="263"/>
      <c r="W2340" s="267"/>
      <c r="X2340" s="263"/>
      <c r="AZ2340" s="269" t="s">
        <v>41</v>
      </c>
      <c r="BA2340" s="269">
        <v>6</v>
      </c>
    </row>
    <row r="2341" spans="1:53" ht="39.950000000000003" customHeight="1">
      <c r="E2341" s="271"/>
      <c r="F2341" s="272"/>
      <c r="G2341" s="263"/>
      <c r="H2341" s="263"/>
      <c r="I2341" s="263" t="s">
        <v>32</v>
      </c>
      <c r="J2341" s="263"/>
      <c r="K2341" s="263"/>
      <c r="L2341" s="263"/>
      <c r="M2341" s="263"/>
      <c r="N2341" s="273"/>
      <c r="O2341" s="266"/>
      <c r="P2341" s="266" t="s">
        <v>34</v>
      </c>
      <c r="Q2341" s="266"/>
      <c r="R2341" s="266"/>
      <c r="S2341" s="266"/>
      <c r="T2341" s="266"/>
      <c r="U2341" s="263"/>
      <c r="V2341" s="263"/>
      <c r="W2341" s="267"/>
      <c r="X2341" s="263"/>
      <c r="AZ2341" s="269" t="s">
        <v>42</v>
      </c>
      <c r="BA2341" s="269">
        <v>7</v>
      </c>
    </row>
    <row r="2342" spans="1:53" ht="39.950000000000003" customHeight="1">
      <c r="E2342" s="264" t="s">
        <v>26</v>
      </c>
      <c r="F2342" s="265" t="s">
        <v>128</v>
      </c>
      <c r="G2342" s="263"/>
      <c r="H2342" s="263"/>
      <c r="I2342" s="486"/>
      <c r="J2342" s="486"/>
      <c r="K2342" s="486"/>
      <c r="L2342" s="486"/>
      <c r="M2342" s="263"/>
      <c r="N2342" s="486" t="str">
        <f>IF(V2335&gt;V2338,I2335,IF(V2338&gt;V2335,I2338,""))</f>
        <v>KYSEL Martin</v>
      </c>
      <c r="O2342" s="486"/>
      <c r="P2342" s="486"/>
      <c r="Q2342" s="486"/>
      <c r="R2342" s="486"/>
      <c r="S2342" s="486"/>
      <c r="T2342" s="263"/>
      <c r="U2342" s="263"/>
      <c r="V2342" s="263"/>
      <c r="W2342" s="267"/>
      <c r="X2342" s="263"/>
      <c r="AZ2342" s="269" t="s">
        <v>43</v>
      </c>
      <c r="BA2342" s="269">
        <v>8</v>
      </c>
    </row>
    <row r="2343" spans="1:53" ht="39.950000000000003" customHeight="1">
      <c r="E2343" s="271"/>
      <c r="F2343" s="272"/>
      <c r="G2343" s="263"/>
      <c r="H2343" s="263"/>
      <c r="I2343" s="486"/>
      <c r="J2343" s="486"/>
      <c r="K2343" s="486"/>
      <c r="L2343" s="486"/>
      <c r="M2343" s="263"/>
      <c r="N2343" s="486"/>
      <c r="O2343" s="486"/>
      <c r="P2343" s="486"/>
      <c r="Q2343" s="486"/>
      <c r="R2343" s="486"/>
      <c r="S2343" s="486"/>
      <c r="T2343" s="263"/>
      <c r="U2343" s="263"/>
      <c r="V2343" s="263"/>
      <c r="W2343" s="267"/>
      <c r="X2343" s="263"/>
    </row>
    <row r="2344" spans="1:53" ht="39.950000000000003" customHeight="1">
      <c r="E2344" s="264" t="s">
        <v>27</v>
      </c>
      <c r="F2344" s="274" t="s">
        <v>313</v>
      </c>
      <c r="G2344" s="263"/>
      <c r="H2344" s="263"/>
      <c r="I2344" s="263"/>
      <c r="J2344" s="263"/>
      <c r="K2344" s="263"/>
      <c r="L2344" s="263"/>
      <c r="M2344" s="263"/>
      <c r="N2344" s="263"/>
      <c r="O2344" s="263"/>
      <c r="P2344" s="263"/>
      <c r="Q2344" s="263"/>
      <c r="R2344" s="263"/>
      <c r="S2344" s="263"/>
      <c r="T2344" s="263"/>
      <c r="U2344" s="263"/>
      <c r="V2344" s="263"/>
      <c r="W2344" s="267"/>
      <c r="X2344" s="263"/>
    </row>
    <row r="2345" spans="1:53" ht="39.950000000000003" customHeight="1">
      <c r="E2345" s="271"/>
      <c r="F2345" s="272"/>
      <c r="G2345" s="263"/>
      <c r="H2345" s="263" t="s">
        <v>33</v>
      </c>
      <c r="I2345" s="263"/>
      <c r="J2345" s="263"/>
      <c r="K2345" s="263"/>
      <c r="L2345" s="263"/>
      <c r="M2345" s="263"/>
      <c r="N2345" s="263"/>
      <c r="O2345" s="263"/>
      <c r="P2345" s="263"/>
      <c r="Q2345" s="263"/>
      <c r="R2345" s="263"/>
      <c r="S2345" s="263"/>
      <c r="T2345" s="263"/>
      <c r="U2345" s="263"/>
      <c r="V2345" s="263"/>
      <c r="W2345" s="267"/>
      <c r="X2345" s="263"/>
    </row>
    <row r="2346" spans="1:53" ht="39.950000000000003" customHeight="1">
      <c r="E2346" s="271"/>
      <c r="F2346" s="272"/>
      <c r="G2346" s="263"/>
      <c r="H2346" s="263"/>
      <c r="I2346" s="263"/>
      <c r="J2346" s="263"/>
      <c r="K2346" s="263"/>
      <c r="L2346" s="263"/>
      <c r="M2346" s="263"/>
      <c r="N2346" s="263"/>
      <c r="O2346" s="263"/>
      <c r="P2346" s="263"/>
      <c r="Q2346" s="263"/>
      <c r="R2346" s="263"/>
      <c r="S2346" s="263"/>
      <c r="T2346" s="263"/>
      <c r="U2346" s="263"/>
      <c r="V2346" s="263"/>
      <c r="W2346" s="267"/>
      <c r="X2346" s="263"/>
    </row>
    <row r="2347" spans="1:53" ht="39.950000000000003" customHeight="1">
      <c r="E2347" s="271"/>
      <c r="F2347" s="272"/>
      <c r="G2347" s="263"/>
      <c r="H2347" s="263"/>
      <c r="I2347" s="496" t="str">
        <f>I2335</f>
        <v>IVANČO Félix</v>
      </c>
      <c r="J2347" s="496"/>
      <c r="K2347" s="496"/>
      <c r="L2347" s="496"/>
      <c r="M2347" s="263"/>
      <c r="N2347" s="263"/>
      <c r="O2347" s="263"/>
      <c r="P2347" s="496" t="str">
        <f>I2338</f>
        <v>KYSEL Martin</v>
      </c>
      <c r="Q2347" s="496"/>
      <c r="R2347" s="496"/>
      <c r="S2347" s="496"/>
      <c r="T2347" s="497"/>
      <c r="U2347" s="497"/>
      <c r="V2347" s="263"/>
      <c r="W2347" s="267"/>
      <c r="X2347" s="263"/>
    </row>
    <row r="2348" spans="1:53" ht="69.95" customHeight="1">
      <c r="E2348" s="264"/>
      <c r="F2348" s="265"/>
      <c r="G2348" s="263"/>
      <c r="H2348" s="275" t="s">
        <v>36</v>
      </c>
      <c r="I2348" s="483"/>
      <c r="J2348" s="494"/>
      <c r="K2348" s="494"/>
      <c r="L2348" s="495"/>
      <c r="M2348" s="263"/>
      <c r="N2348" s="263"/>
      <c r="O2348" s="275" t="s">
        <v>36</v>
      </c>
      <c r="P2348" s="486"/>
      <c r="Q2348" s="486"/>
      <c r="R2348" s="486"/>
      <c r="S2348" s="486"/>
      <c r="T2348" s="486"/>
      <c r="U2348" s="486"/>
      <c r="V2348" s="263"/>
      <c r="W2348" s="267"/>
      <c r="X2348" s="263"/>
    </row>
    <row r="2349" spans="1:53" ht="69.95" customHeight="1">
      <c r="E2349" s="264"/>
      <c r="F2349" s="265"/>
      <c r="G2349" s="263"/>
      <c r="H2349" s="275" t="s">
        <v>37</v>
      </c>
      <c r="I2349" s="486"/>
      <c r="J2349" s="486"/>
      <c r="K2349" s="486"/>
      <c r="L2349" s="486"/>
      <c r="M2349" s="263"/>
      <c r="N2349" s="263"/>
      <c r="O2349" s="275" t="s">
        <v>37</v>
      </c>
      <c r="P2349" s="486"/>
      <c r="Q2349" s="486"/>
      <c r="R2349" s="486"/>
      <c r="S2349" s="486"/>
      <c r="T2349" s="486"/>
      <c r="U2349" s="486"/>
      <c r="V2349" s="263"/>
      <c r="W2349" s="267"/>
      <c r="X2349" s="263"/>
    </row>
    <row r="2350" spans="1:53" ht="69.95" customHeight="1">
      <c r="E2350" s="264"/>
      <c r="F2350" s="265"/>
      <c r="G2350" s="263"/>
      <c r="H2350" s="275" t="s">
        <v>37</v>
      </c>
      <c r="I2350" s="486"/>
      <c r="J2350" s="486"/>
      <c r="K2350" s="486"/>
      <c r="L2350" s="486"/>
      <c r="M2350" s="263"/>
      <c r="N2350" s="263"/>
      <c r="O2350" s="275" t="s">
        <v>37</v>
      </c>
      <c r="P2350" s="486"/>
      <c r="Q2350" s="486"/>
      <c r="R2350" s="486"/>
      <c r="S2350" s="486"/>
      <c r="T2350" s="486"/>
      <c r="U2350" s="486"/>
      <c r="V2350" s="263"/>
      <c r="W2350" s="267"/>
      <c r="X2350" s="263"/>
    </row>
    <row r="2351" spans="1:53" ht="39.950000000000003" customHeight="1" thickBot="1">
      <c r="E2351" s="276"/>
      <c r="F2351" s="277"/>
      <c r="G2351" s="278"/>
      <c r="H2351" s="278"/>
      <c r="I2351" s="278"/>
      <c r="J2351" s="278"/>
      <c r="K2351" s="278"/>
      <c r="L2351" s="278"/>
      <c r="M2351" s="278"/>
      <c r="N2351" s="278"/>
      <c r="O2351" s="278"/>
      <c r="P2351" s="278"/>
      <c r="Q2351" s="278"/>
      <c r="R2351" s="278"/>
      <c r="S2351" s="278"/>
      <c r="T2351" s="279"/>
      <c r="U2351" s="279"/>
      <c r="V2351" s="279"/>
      <c r="W2351" s="280"/>
      <c r="X2351" s="263"/>
    </row>
    <row r="2352" spans="1:53" ht="62.25" thickBot="1"/>
    <row r="2353" spans="1:53" ht="39.950000000000003" customHeight="1">
      <c r="A2353" s="252" t="str">
        <f>CONCATENATE(F2360,F2362,F2364)</f>
        <v>CHP9</v>
      </c>
      <c r="E2353" s="259" t="s">
        <v>70</v>
      </c>
      <c r="F2353" s="260">
        <f>VLOOKUP(CONCATENATE(A2353,1),'zoznam zapasov'!$A$6:$K$160,3,0)</f>
        <v>117</v>
      </c>
      <c r="G2353" s="261"/>
      <c r="H2353" s="322" t="s">
        <v>501</v>
      </c>
      <c r="I2353" s="261"/>
      <c r="J2353" s="261"/>
      <c r="K2353" s="261"/>
      <c r="L2353" s="261"/>
      <c r="M2353" s="261"/>
      <c r="N2353" s="261"/>
      <c r="O2353" s="261"/>
      <c r="P2353" s="261"/>
      <c r="Q2353" s="261"/>
      <c r="R2353" s="261"/>
      <c r="S2353" s="261"/>
      <c r="T2353" s="261"/>
      <c r="U2353" s="261"/>
      <c r="V2353" s="261" t="s">
        <v>30</v>
      </c>
      <c r="W2353" s="262"/>
      <c r="X2353" s="263"/>
      <c r="Y2353" s="253" t="str">
        <f>A2355</f>
        <v>CHP91</v>
      </c>
      <c r="Z2353" s="258" t="str">
        <f>CONCATENATE(V2355,":",V2358)</f>
        <v>3:0</v>
      </c>
      <c r="AA2353" s="255" t="str">
        <f>N2362</f>
        <v>DIKO Dalibor</v>
      </c>
      <c r="AB2353" s="255" t="str">
        <f>IF(V2355&gt;V2358,AV2353,IF(V2358&gt;V2355,AV2354,""))</f>
        <v xml:space="preserve">3:0 ( 9,7,14,,,, ) </v>
      </c>
      <c r="AC2353" s="255" t="str">
        <f>CONCATENATE("Tbl.: ",F2355,"   H: ",F2358,"   D: ",F2357)</f>
        <v>Tbl.: 1   H: 16.30   D: So</v>
      </c>
      <c r="AE2353" s="253" t="s">
        <v>11</v>
      </c>
      <c r="AV2353" s="256" t="str">
        <f>CONCATENATE(V2355,":",V2358, " ( ",AN2355,",",AO2355,",",AP2355,",",AQ2355,",",AR2355,",",AS2355,",",AT2355," ) ")</f>
        <v xml:space="preserve">3:0 ( 9,7,14,,,, ) </v>
      </c>
    </row>
    <row r="2354" spans="1:53" ht="39.950000000000003" customHeight="1">
      <c r="E2354" s="264"/>
      <c r="F2354" s="265"/>
      <c r="G2354" s="321" t="s">
        <v>500</v>
      </c>
      <c r="H2354" s="323" t="s">
        <v>502</v>
      </c>
      <c r="I2354" s="263"/>
      <c r="J2354" s="263"/>
      <c r="K2354" s="263"/>
      <c r="L2354" s="263"/>
      <c r="M2354" s="263"/>
      <c r="N2354" s="266">
        <v>1</v>
      </c>
      <c r="O2354" s="266">
        <v>2</v>
      </c>
      <c r="P2354" s="266">
        <v>3</v>
      </c>
      <c r="Q2354" s="266">
        <v>4</v>
      </c>
      <c r="R2354" s="266">
        <v>5</v>
      </c>
      <c r="S2354" s="266">
        <v>6</v>
      </c>
      <c r="T2354" s="266">
        <v>7</v>
      </c>
      <c r="U2354" s="263"/>
      <c r="V2354" s="266" t="s">
        <v>31</v>
      </c>
      <c r="W2354" s="267"/>
      <c r="X2354" s="263"/>
      <c r="AE2354" s="253" t="s">
        <v>68</v>
      </c>
      <c r="AV2354" s="256" t="str">
        <f>CONCATENATE(V2358,":",V2355, " ( ",AN2356,",",AO2356,",",AP2356,",",AQ2356,",",AR2356,",",AS2356,",",AT2356," ) ")</f>
        <v xml:space="preserve">0:3 ( -9,-7,-14,,,, ) </v>
      </c>
    </row>
    <row r="2355" spans="1:53" ht="39.950000000000003" customHeight="1">
      <c r="A2355" s="252" t="str">
        <f>CONCATENATE(A2353,1)</f>
        <v>CHP91</v>
      </c>
      <c r="E2355" s="264" t="s">
        <v>29</v>
      </c>
      <c r="F2355" s="265">
        <f>VLOOKUP(CONCATENATE(A2353,1),'zoznam zapasov'!$A$6:$K$160,11,0)</f>
        <v>1</v>
      </c>
      <c r="G2355" s="508"/>
      <c r="H2355" s="495"/>
      <c r="I2355" s="487" t="str">
        <f>IF(ISERROR(VLOOKUP(A2355,'KO KODY SPOLU'!$A$3:$B$189,2,0))=TRUE,"",VLOOKUP(A2355,'KO KODY SPOLU'!$A$3:$B$189,2,0))</f>
        <v>DIKO Dalibor</v>
      </c>
      <c r="J2355" s="487"/>
      <c r="K2355" s="487"/>
      <c r="L2355" s="487"/>
      <c r="M2355" s="263"/>
      <c r="N2355" s="489">
        <v>11</v>
      </c>
      <c r="O2355" s="489">
        <v>11</v>
      </c>
      <c r="P2355" s="489">
        <v>16</v>
      </c>
      <c r="Q2355" s="489"/>
      <c r="R2355" s="489"/>
      <c r="S2355" s="489"/>
      <c r="T2355" s="489"/>
      <c r="U2355" s="263"/>
      <c r="V2355" s="493">
        <f>IF(SUM(AF2355:AL2356)=0,"",SUM(AF2355:AL2355))</f>
        <v>3</v>
      </c>
      <c r="W2355" s="267"/>
      <c r="X2355" s="263"/>
      <c r="AE2355" s="253" t="str">
        <f>VLOOKUP(I2355,vylosovanie!$F$8:$L$190,7,0)</f>
        <v>CH11</v>
      </c>
      <c r="AF2355" s="268">
        <f>IF(N2355&gt;N2358,1,0)</f>
        <v>1</v>
      </c>
      <c r="AG2355" s="268">
        <f t="shared" ref="AG2355" si="2142">IF(O2355&gt;O2358,1,0)</f>
        <v>1</v>
      </c>
      <c r="AH2355" s="268">
        <f t="shared" ref="AH2355" si="2143">IF(P2355&gt;P2358,1,0)</f>
        <v>1</v>
      </c>
      <c r="AI2355" s="268">
        <f t="shared" ref="AI2355" si="2144">IF(Q2355&gt;Q2358,1,0)</f>
        <v>0</v>
      </c>
      <c r="AJ2355" s="268">
        <f t="shared" ref="AJ2355" si="2145">IF(R2355&gt;R2358,1,0)</f>
        <v>0</v>
      </c>
      <c r="AK2355" s="268">
        <f t="shared" ref="AK2355" si="2146">IF(S2355&gt;S2358,1,0)</f>
        <v>0</v>
      </c>
      <c r="AL2355" s="268">
        <f t="shared" ref="AL2355" si="2147">IF(T2355&gt;T2358,1,0)</f>
        <v>0</v>
      </c>
      <c r="AN2355" s="268">
        <f t="shared" ref="AN2355" si="2148">IF(ISBLANK(N2355)=TRUE,"",IF(AF2355=1,N2358,-N2355))</f>
        <v>9</v>
      </c>
      <c r="AO2355" s="268">
        <f t="shared" ref="AO2355" si="2149">IF(ISBLANK(O2355)=TRUE,"",IF(AG2355=1,O2358,-O2355))</f>
        <v>7</v>
      </c>
      <c r="AP2355" s="268">
        <f t="shared" ref="AP2355" si="2150">IF(ISBLANK(P2355)=TRUE,"",IF(AH2355=1,P2358,-P2355))</f>
        <v>14</v>
      </c>
      <c r="AQ2355" s="268" t="str">
        <f t="shared" ref="AQ2355" si="2151">IF(ISBLANK(Q2355)=TRUE,"",IF(AI2355=1,Q2358,-Q2355))</f>
        <v/>
      </c>
      <c r="AR2355" s="268" t="str">
        <f t="shared" ref="AR2355" si="2152">IF(ISBLANK(R2355)=TRUE,"",IF(AJ2355=1,R2358,-R2355))</f>
        <v/>
      </c>
      <c r="AS2355" s="268" t="str">
        <f t="shared" ref="AS2355" si="2153">IF(ISBLANK(S2355)=TRUE,"",IF(AK2355=1,S2358,-S2355))</f>
        <v/>
      </c>
      <c r="AT2355" s="268" t="str">
        <f t="shared" ref="AT2355" si="2154">IF(ISBLANK(T2355)=TRUE,"",IF(AL2355=1,T2358,-T2355))</f>
        <v/>
      </c>
      <c r="AZ2355" s="269" t="s">
        <v>12</v>
      </c>
      <c r="BA2355" s="269">
        <v>1</v>
      </c>
    </row>
    <row r="2356" spans="1:53" ht="39.950000000000003" customHeight="1">
      <c r="E2356" s="264"/>
      <c r="F2356" s="265"/>
      <c r="G2356" s="509"/>
      <c r="H2356" s="495"/>
      <c r="I2356" s="487"/>
      <c r="J2356" s="487"/>
      <c r="K2356" s="487"/>
      <c r="L2356" s="487"/>
      <c r="M2356" s="263"/>
      <c r="N2356" s="490"/>
      <c r="O2356" s="490"/>
      <c r="P2356" s="490"/>
      <c r="Q2356" s="490"/>
      <c r="R2356" s="490"/>
      <c r="S2356" s="490"/>
      <c r="T2356" s="490"/>
      <c r="U2356" s="263"/>
      <c r="V2356" s="493"/>
      <c r="W2356" s="267"/>
      <c r="X2356" s="263"/>
      <c r="AE2356" s="253" t="str">
        <f>VLOOKUP(I2358,vylosovanie!$F$8:$L$190,7,0)</f>
        <v>CH61</v>
      </c>
      <c r="AF2356" s="268">
        <f>IF(N2358&gt;N2355,1,0)</f>
        <v>0</v>
      </c>
      <c r="AG2356" s="268">
        <f t="shared" ref="AG2356" si="2155">IF(O2358&gt;O2355,1,0)</f>
        <v>0</v>
      </c>
      <c r="AH2356" s="268">
        <f t="shared" ref="AH2356" si="2156">IF(P2358&gt;P2355,1,0)</f>
        <v>0</v>
      </c>
      <c r="AI2356" s="268">
        <f t="shared" ref="AI2356" si="2157">IF(Q2358&gt;Q2355,1,0)</f>
        <v>0</v>
      </c>
      <c r="AJ2356" s="268">
        <f t="shared" ref="AJ2356" si="2158">IF(R2358&gt;R2355,1,0)</f>
        <v>0</v>
      </c>
      <c r="AK2356" s="268">
        <f t="shared" ref="AK2356" si="2159">IF(S2358&gt;S2355,1,0)</f>
        <v>0</v>
      </c>
      <c r="AL2356" s="268">
        <f t="shared" ref="AL2356" si="2160">IF(T2358&gt;T2355,1,0)</f>
        <v>0</v>
      </c>
      <c r="AN2356" s="268">
        <f t="shared" ref="AN2356" si="2161">IF(ISBLANK(N2358)=TRUE,"",IF(AF2356=1,N2355,-N2358))</f>
        <v>-9</v>
      </c>
      <c r="AO2356" s="268">
        <f t="shared" ref="AO2356" si="2162">IF(ISBLANK(O2358)=TRUE,"",IF(AG2356=1,O2355,-O2358))</f>
        <v>-7</v>
      </c>
      <c r="AP2356" s="268">
        <f t="shared" ref="AP2356" si="2163">IF(ISBLANK(P2358)=TRUE,"",IF(AH2356=1,P2355,-P2358))</f>
        <v>-14</v>
      </c>
      <c r="AQ2356" s="268" t="str">
        <f t="shared" ref="AQ2356" si="2164">IF(ISBLANK(Q2358)=TRUE,"",IF(AI2356=1,Q2355,-Q2358))</f>
        <v/>
      </c>
      <c r="AR2356" s="268" t="str">
        <f t="shared" ref="AR2356" si="2165">IF(ISBLANK(R2358)=TRUE,"",IF(AJ2356=1,R2355,-R2358))</f>
        <v/>
      </c>
      <c r="AS2356" s="268" t="str">
        <f t="shared" ref="AS2356" si="2166">IF(ISBLANK(S2358)=TRUE,"",IF(AK2356=1,S2355,-S2358))</f>
        <v/>
      </c>
      <c r="AT2356" s="268" t="str">
        <f t="shared" ref="AT2356" si="2167">IF(ISBLANK(T2358)=TRUE,"",IF(AL2356=1,T2355,-T2358))</f>
        <v/>
      </c>
      <c r="AZ2356" s="269" t="s">
        <v>18</v>
      </c>
      <c r="BA2356" s="269">
        <v>2</v>
      </c>
    </row>
    <row r="2357" spans="1:53" ht="39.950000000000003" customHeight="1">
      <c r="E2357" s="264" t="s">
        <v>35</v>
      </c>
      <c r="F2357" s="265" t="str">
        <f>VLOOKUP(CONCATENATE(A2353,1),'zoznam zapasov'!$A$6:$K$160,9,0)</f>
        <v>So</v>
      </c>
      <c r="G2357" s="263"/>
      <c r="H2357" s="263"/>
      <c r="I2357" s="263"/>
      <c r="J2357" s="263"/>
      <c r="K2357" s="263"/>
      <c r="L2357" s="263"/>
      <c r="M2357" s="263"/>
      <c r="N2357" s="263"/>
      <c r="O2357" s="263"/>
      <c r="P2357" s="263"/>
      <c r="Q2357" s="263"/>
      <c r="R2357" s="263"/>
      <c r="S2357" s="263"/>
      <c r="T2357" s="263"/>
      <c r="U2357" s="263"/>
      <c r="V2357" s="263"/>
      <c r="W2357" s="267"/>
      <c r="X2357" s="263"/>
      <c r="AZ2357" s="269" t="s">
        <v>38</v>
      </c>
      <c r="BA2357" s="269">
        <v>3</v>
      </c>
    </row>
    <row r="2358" spans="1:53" ht="39.950000000000003" customHeight="1">
      <c r="A2358" s="252" t="str">
        <f>CONCATENATE(A2353,2)</f>
        <v>CHP92</v>
      </c>
      <c r="E2358" s="264" t="s">
        <v>28</v>
      </c>
      <c r="F2358" s="270" t="str">
        <f>VLOOKUP(CONCATENATE(A2353,1),'zoznam zapasov'!$A$6:$K$160,10,0)</f>
        <v>16.30</v>
      </c>
      <c r="G2358" s="508"/>
      <c r="H2358" s="486"/>
      <c r="I2358" s="487" t="str">
        <f>IF(ISERROR(VLOOKUP(A2358,'KO KODY SPOLU'!$A$3:$B$189,2,0))=TRUE,"",VLOOKUP(A2358,'KO KODY SPOLU'!$A$3:$B$189,2,0))</f>
        <v>CYPRICH Samuel</v>
      </c>
      <c r="J2358" s="487"/>
      <c r="K2358" s="487"/>
      <c r="L2358" s="487"/>
      <c r="M2358" s="263"/>
      <c r="N2358" s="489">
        <v>9</v>
      </c>
      <c r="O2358" s="489">
        <v>7</v>
      </c>
      <c r="P2358" s="489">
        <v>14</v>
      </c>
      <c r="Q2358" s="489"/>
      <c r="R2358" s="489"/>
      <c r="S2358" s="489"/>
      <c r="T2358" s="489"/>
      <c r="U2358" s="263"/>
      <c r="V2358" s="493">
        <f>IF(SUM(AF2355:AL2356)=0,"",SUM(AF2356:AL2356))</f>
        <v>0</v>
      </c>
      <c r="W2358" s="267"/>
      <c r="X2358" s="263"/>
      <c r="AZ2358" s="269" t="s">
        <v>39</v>
      </c>
      <c r="BA2358" s="269">
        <v>4</v>
      </c>
    </row>
    <row r="2359" spans="1:53" ht="39.950000000000003" customHeight="1">
      <c r="E2359" s="271"/>
      <c r="F2359" s="272"/>
      <c r="G2359" s="509"/>
      <c r="H2359" s="486"/>
      <c r="I2359" s="487"/>
      <c r="J2359" s="487"/>
      <c r="K2359" s="487"/>
      <c r="L2359" s="487"/>
      <c r="M2359" s="263"/>
      <c r="N2359" s="490"/>
      <c r="O2359" s="490"/>
      <c r="P2359" s="490"/>
      <c r="Q2359" s="490"/>
      <c r="R2359" s="490"/>
      <c r="S2359" s="490"/>
      <c r="T2359" s="490"/>
      <c r="U2359" s="263"/>
      <c r="V2359" s="493"/>
      <c r="W2359" s="267"/>
      <c r="X2359" s="263"/>
      <c r="AZ2359" s="269" t="s">
        <v>40</v>
      </c>
      <c r="BA2359" s="269">
        <v>5</v>
      </c>
    </row>
    <row r="2360" spans="1:53" ht="39.950000000000003" customHeight="1">
      <c r="E2360" s="264" t="s">
        <v>66</v>
      </c>
      <c r="F2360" s="265" t="s">
        <v>65</v>
      </c>
      <c r="G2360" s="263"/>
      <c r="H2360" s="263"/>
      <c r="I2360" s="263"/>
      <c r="J2360" s="263"/>
      <c r="K2360" s="263"/>
      <c r="L2360" s="263"/>
      <c r="M2360" s="263"/>
      <c r="N2360" s="263"/>
      <c r="O2360" s="263"/>
      <c r="P2360" s="263"/>
      <c r="Q2360" s="263"/>
      <c r="R2360" s="263"/>
      <c r="S2360" s="263"/>
      <c r="T2360" s="263"/>
      <c r="U2360" s="263"/>
      <c r="V2360" s="263"/>
      <c r="W2360" s="267"/>
      <c r="X2360" s="263"/>
      <c r="AZ2360" s="269" t="s">
        <v>41</v>
      </c>
      <c r="BA2360" s="269">
        <v>6</v>
      </c>
    </row>
    <row r="2361" spans="1:53" ht="39.950000000000003" customHeight="1">
      <c r="E2361" s="271"/>
      <c r="F2361" s="272"/>
      <c r="G2361" s="263"/>
      <c r="H2361" s="263"/>
      <c r="I2361" s="263" t="s">
        <v>32</v>
      </c>
      <c r="J2361" s="263"/>
      <c r="K2361" s="263"/>
      <c r="L2361" s="263"/>
      <c r="M2361" s="263"/>
      <c r="N2361" s="273"/>
      <c r="O2361" s="266"/>
      <c r="P2361" s="266" t="s">
        <v>34</v>
      </c>
      <c r="Q2361" s="266"/>
      <c r="R2361" s="266"/>
      <c r="S2361" s="266"/>
      <c r="T2361" s="266"/>
      <c r="U2361" s="263"/>
      <c r="V2361" s="263"/>
      <c r="W2361" s="267"/>
      <c r="X2361" s="263"/>
      <c r="AZ2361" s="269" t="s">
        <v>42</v>
      </c>
      <c r="BA2361" s="269">
        <v>7</v>
      </c>
    </row>
    <row r="2362" spans="1:53" ht="39.950000000000003" customHeight="1">
      <c r="E2362" s="264" t="s">
        <v>26</v>
      </c>
      <c r="F2362" s="265" t="s">
        <v>128</v>
      </c>
      <c r="G2362" s="263"/>
      <c r="H2362" s="263"/>
      <c r="I2362" s="486"/>
      <c r="J2362" s="486"/>
      <c r="K2362" s="486"/>
      <c r="L2362" s="486"/>
      <c r="M2362" s="263"/>
      <c r="N2362" s="486" t="str">
        <f>IF(V2355&gt;V2358,I2355,IF(V2358&gt;V2355,I2358,""))</f>
        <v>DIKO Dalibor</v>
      </c>
      <c r="O2362" s="486"/>
      <c r="P2362" s="486"/>
      <c r="Q2362" s="486"/>
      <c r="R2362" s="486"/>
      <c r="S2362" s="486"/>
      <c r="T2362" s="263"/>
      <c r="U2362" s="263"/>
      <c r="V2362" s="263"/>
      <c r="W2362" s="267"/>
      <c r="X2362" s="263"/>
      <c r="AZ2362" s="269" t="s">
        <v>43</v>
      </c>
      <c r="BA2362" s="269">
        <v>8</v>
      </c>
    </row>
    <row r="2363" spans="1:53" ht="39.950000000000003" customHeight="1">
      <c r="E2363" s="271"/>
      <c r="F2363" s="272"/>
      <c r="G2363" s="263"/>
      <c r="H2363" s="263"/>
      <c r="I2363" s="486"/>
      <c r="J2363" s="486"/>
      <c r="K2363" s="486"/>
      <c r="L2363" s="486"/>
      <c r="M2363" s="263"/>
      <c r="N2363" s="486"/>
      <c r="O2363" s="486"/>
      <c r="P2363" s="486"/>
      <c r="Q2363" s="486"/>
      <c r="R2363" s="486"/>
      <c r="S2363" s="486"/>
      <c r="T2363" s="263"/>
      <c r="U2363" s="263"/>
      <c r="V2363" s="263"/>
      <c r="W2363" s="267"/>
      <c r="X2363" s="263"/>
    </row>
    <row r="2364" spans="1:53" ht="39.950000000000003" customHeight="1">
      <c r="E2364" s="264" t="s">
        <v>27</v>
      </c>
      <c r="F2364" s="274" t="s">
        <v>348</v>
      </c>
      <c r="G2364" s="263"/>
      <c r="H2364" s="263"/>
      <c r="I2364" s="263"/>
      <c r="J2364" s="263"/>
      <c r="K2364" s="263"/>
      <c r="L2364" s="263"/>
      <c r="M2364" s="263"/>
      <c r="N2364" s="263"/>
      <c r="O2364" s="263"/>
      <c r="P2364" s="263"/>
      <c r="Q2364" s="263"/>
      <c r="R2364" s="263"/>
      <c r="S2364" s="263"/>
      <c r="T2364" s="263"/>
      <c r="U2364" s="263"/>
      <c r="V2364" s="263"/>
      <c r="W2364" s="267"/>
      <c r="X2364" s="263"/>
    </row>
    <row r="2365" spans="1:53" ht="39.950000000000003" customHeight="1">
      <c r="E2365" s="271"/>
      <c r="F2365" s="272"/>
      <c r="G2365" s="263"/>
      <c r="H2365" s="263" t="s">
        <v>33</v>
      </c>
      <c r="I2365" s="263"/>
      <c r="J2365" s="263"/>
      <c r="K2365" s="263"/>
      <c r="L2365" s="263"/>
      <c r="M2365" s="263"/>
      <c r="N2365" s="263"/>
      <c r="O2365" s="263"/>
      <c r="P2365" s="263"/>
      <c r="Q2365" s="263"/>
      <c r="R2365" s="263"/>
      <c r="S2365" s="263"/>
      <c r="T2365" s="263"/>
      <c r="U2365" s="263"/>
      <c r="V2365" s="263"/>
      <c r="W2365" s="267"/>
      <c r="X2365" s="263"/>
    </row>
    <row r="2366" spans="1:53" ht="39.950000000000003" customHeight="1">
      <c r="E2366" s="271"/>
      <c r="F2366" s="272"/>
      <c r="G2366" s="263"/>
      <c r="H2366" s="263"/>
      <c r="I2366" s="263"/>
      <c r="J2366" s="263"/>
      <c r="K2366" s="263"/>
      <c r="L2366" s="263"/>
      <c r="M2366" s="263"/>
      <c r="N2366" s="263"/>
      <c r="O2366" s="263"/>
      <c r="P2366" s="263"/>
      <c r="Q2366" s="263"/>
      <c r="R2366" s="263"/>
      <c r="S2366" s="263"/>
      <c r="T2366" s="263"/>
      <c r="U2366" s="263"/>
      <c r="V2366" s="263"/>
      <c r="W2366" s="267"/>
      <c r="X2366" s="263"/>
    </row>
    <row r="2367" spans="1:53" ht="39.950000000000003" customHeight="1">
      <c r="E2367" s="271"/>
      <c r="F2367" s="272"/>
      <c r="G2367" s="263"/>
      <c r="H2367" s="263"/>
      <c r="I2367" s="496" t="str">
        <f>I2355</f>
        <v>DIKO Dalibor</v>
      </c>
      <c r="J2367" s="496"/>
      <c r="K2367" s="496"/>
      <c r="L2367" s="496"/>
      <c r="M2367" s="263"/>
      <c r="N2367" s="263"/>
      <c r="O2367" s="263"/>
      <c r="P2367" s="496" t="str">
        <f>I2358</f>
        <v>CYPRICH Samuel</v>
      </c>
      <c r="Q2367" s="496"/>
      <c r="R2367" s="496"/>
      <c r="S2367" s="496"/>
      <c r="T2367" s="497"/>
      <c r="U2367" s="497"/>
      <c r="V2367" s="263"/>
      <c r="W2367" s="267"/>
      <c r="X2367" s="263"/>
    </row>
    <row r="2368" spans="1:53" ht="69.95" customHeight="1">
      <c r="E2368" s="264"/>
      <c r="F2368" s="265"/>
      <c r="G2368" s="263"/>
      <c r="H2368" s="275" t="s">
        <v>36</v>
      </c>
      <c r="I2368" s="483"/>
      <c r="J2368" s="494"/>
      <c r="K2368" s="494"/>
      <c r="L2368" s="495"/>
      <c r="M2368" s="263"/>
      <c r="N2368" s="263"/>
      <c r="O2368" s="275" t="s">
        <v>36</v>
      </c>
      <c r="P2368" s="486"/>
      <c r="Q2368" s="486"/>
      <c r="R2368" s="486"/>
      <c r="S2368" s="486"/>
      <c r="T2368" s="486"/>
      <c r="U2368" s="486"/>
      <c r="V2368" s="263"/>
      <c r="W2368" s="267"/>
      <c r="X2368" s="263"/>
    </row>
    <row r="2369" spans="1:53" ht="69.95" customHeight="1">
      <c r="E2369" s="264"/>
      <c r="F2369" s="265"/>
      <c r="G2369" s="263"/>
      <c r="H2369" s="275" t="s">
        <v>37</v>
      </c>
      <c r="I2369" s="486"/>
      <c r="J2369" s="486"/>
      <c r="K2369" s="486"/>
      <c r="L2369" s="486"/>
      <c r="M2369" s="263"/>
      <c r="N2369" s="263"/>
      <c r="O2369" s="275" t="s">
        <v>37</v>
      </c>
      <c r="P2369" s="486"/>
      <c r="Q2369" s="486"/>
      <c r="R2369" s="486"/>
      <c r="S2369" s="486"/>
      <c r="T2369" s="486"/>
      <c r="U2369" s="486"/>
      <c r="V2369" s="263"/>
      <c r="W2369" s="267"/>
      <c r="X2369" s="263"/>
    </row>
    <row r="2370" spans="1:53" ht="69.95" customHeight="1">
      <c r="E2370" s="264"/>
      <c r="F2370" s="265"/>
      <c r="G2370" s="263"/>
      <c r="H2370" s="275" t="s">
        <v>37</v>
      </c>
      <c r="I2370" s="486"/>
      <c r="J2370" s="486"/>
      <c r="K2370" s="486"/>
      <c r="L2370" s="486"/>
      <c r="M2370" s="263"/>
      <c r="N2370" s="263"/>
      <c r="O2370" s="275" t="s">
        <v>37</v>
      </c>
      <c r="P2370" s="486"/>
      <c r="Q2370" s="486"/>
      <c r="R2370" s="486"/>
      <c r="S2370" s="486"/>
      <c r="T2370" s="486"/>
      <c r="U2370" s="486"/>
      <c r="V2370" s="263"/>
      <c r="W2370" s="267"/>
      <c r="X2370" s="263"/>
    </row>
    <row r="2371" spans="1:53" ht="39.950000000000003" customHeight="1" thickBot="1">
      <c r="E2371" s="276"/>
      <c r="F2371" s="277"/>
      <c r="G2371" s="278"/>
      <c r="H2371" s="278"/>
      <c r="I2371" s="278"/>
      <c r="J2371" s="278"/>
      <c r="K2371" s="278"/>
      <c r="L2371" s="278"/>
      <c r="M2371" s="278"/>
      <c r="N2371" s="278"/>
      <c r="O2371" s="278"/>
      <c r="P2371" s="278"/>
      <c r="Q2371" s="278"/>
      <c r="R2371" s="278"/>
      <c r="S2371" s="278"/>
      <c r="T2371" s="279"/>
      <c r="U2371" s="279"/>
      <c r="V2371" s="279"/>
      <c r="W2371" s="280"/>
      <c r="X2371" s="263"/>
    </row>
    <row r="2372" spans="1:53" ht="62.25" thickBot="1"/>
    <row r="2373" spans="1:53" ht="39.950000000000003" customHeight="1">
      <c r="A2373" s="252" t="str">
        <f>CONCATENATE(F2380,F2382,F2384)</f>
        <v>CHP10</v>
      </c>
      <c r="E2373" s="259" t="s">
        <v>70</v>
      </c>
      <c r="F2373" s="260">
        <f>VLOOKUP(CONCATENATE(A2373,1),'zoznam zapasov'!$A$6:$K$160,3,0)</f>
        <v>118</v>
      </c>
      <c r="G2373" s="261"/>
      <c r="H2373" s="322" t="s">
        <v>501</v>
      </c>
      <c r="I2373" s="261"/>
      <c r="J2373" s="261"/>
      <c r="K2373" s="261"/>
      <c r="L2373" s="261"/>
      <c r="M2373" s="261"/>
      <c r="N2373" s="261"/>
      <c r="O2373" s="261"/>
      <c r="P2373" s="261"/>
      <c r="Q2373" s="261"/>
      <c r="R2373" s="261"/>
      <c r="S2373" s="261"/>
      <c r="T2373" s="261"/>
      <c r="U2373" s="261"/>
      <c r="V2373" s="261" t="s">
        <v>30</v>
      </c>
      <c r="W2373" s="262"/>
      <c r="X2373" s="263"/>
      <c r="Y2373" s="253" t="str">
        <f>A2375</f>
        <v>CHP101</v>
      </c>
      <c r="Z2373" s="258" t="str">
        <f>CONCATENATE(V2375,":",V2378)</f>
        <v>0:3</v>
      </c>
      <c r="AA2373" s="255" t="str">
        <f>N2382</f>
        <v>FEČO Samuel</v>
      </c>
      <c r="AB2373" s="255" t="str">
        <f>IF(V2375&gt;V2378,AV2373,IF(V2378&gt;V2375,AV2374,""))</f>
        <v xml:space="preserve">3:0 ( 9,9,9,,,, ) </v>
      </c>
      <c r="AC2373" s="255" t="str">
        <f>CONCATENATE("Tbl.: ",F2375,"   H: ",F2378,"   D: ",F2377)</f>
        <v>Tbl.: 2   H: 16.30   D: So</v>
      </c>
      <c r="AE2373" s="253" t="s">
        <v>11</v>
      </c>
      <c r="AV2373" s="256" t="str">
        <f>CONCATENATE(V2375,":",V2378, " ( ",AN2375,",",AO2375,",",AP2375,",",AQ2375,",",AR2375,",",AS2375,",",AT2375," ) ")</f>
        <v xml:space="preserve">0:3 ( -9,-9,-9,,,, ) </v>
      </c>
    </row>
    <row r="2374" spans="1:53" ht="39.950000000000003" customHeight="1">
      <c r="E2374" s="264"/>
      <c r="F2374" s="265"/>
      <c r="G2374" s="321" t="s">
        <v>500</v>
      </c>
      <c r="H2374" s="323" t="s">
        <v>502</v>
      </c>
      <c r="I2374" s="263"/>
      <c r="J2374" s="263"/>
      <c r="K2374" s="263"/>
      <c r="L2374" s="263"/>
      <c r="M2374" s="263"/>
      <c r="N2374" s="266">
        <v>1</v>
      </c>
      <c r="O2374" s="266">
        <v>2</v>
      </c>
      <c r="P2374" s="266">
        <v>3</v>
      </c>
      <c r="Q2374" s="266">
        <v>4</v>
      </c>
      <c r="R2374" s="266">
        <v>5</v>
      </c>
      <c r="S2374" s="266">
        <v>6</v>
      </c>
      <c r="T2374" s="266">
        <v>7</v>
      </c>
      <c r="U2374" s="263"/>
      <c r="V2374" s="266" t="s">
        <v>31</v>
      </c>
      <c r="W2374" s="267"/>
      <c r="X2374" s="263"/>
      <c r="AE2374" s="253" t="s">
        <v>68</v>
      </c>
      <c r="AV2374" s="256" t="str">
        <f>CONCATENATE(V2378,":",V2375, " ( ",AN2376,",",AO2376,",",AP2376,",",AQ2376,",",AR2376,",",AS2376,",",AT2376," ) ")</f>
        <v xml:space="preserve">3:0 ( 9,9,9,,,, ) </v>
      </c>
    </row>
    <row r="2375" spans="1:53" ht="39.950000000000003" customHeight="1">
      <c r="A2375" s="252" t="str">
        <f>CONCATENATE(A2373,1)</f>
        <v>CHP101</v>
      </c>
      <c r="E2375" s="264" t="s">
        <v>29</v>
      </c>
      <c r="F2375" s="265">
        <f>VLOOKUP(CONCATENATE(A2373,1),'zoznam zapasov'!$A$6:$K$160,11,0)</f>
        <v>2</v>
      </c>
      <c r="G2375" s="508"/>
      <c r="H2375" s="495"/>
      <c r="I2375" s="487" t="str">
        <f>IF(ISERROR(VLOOKUP(A2375,'KO KODY SPOLU'!$A$3:$B$189,2,0))=TRUE,"",VLOOKUP(A2375,'KO KODY SPOLU'!$A$3:$B$189,2,0))</f>
        <v>HURKA Rastislav</v>
      </c>
      <c r="J2375" s="487"/>
      <c r="K2375" s="487"/>
      <c r="L2375" s="487"/>
      <c r="M2375" s="263"/>
      <c r="N2375" s="489">
        <v>9</v>
      </c>
      <c r="O2375" s="489">
        <v>9</v>
      </c>
      <c r="P2375" s="489">
        <v>9</v>
      </c>
      <c r="Q2375" s="489"/>
      <c r="R2375" s="489"/>
      <c r="S2375" s="489"/>
      <c r="T2375" s="489"/>
      <c r="U2375" s="263"/>
      <c r="V2375" s="493">
        <f>IF(SUM(AF2375:AL2376)=0,"",SUM(AF2375:AL2375))</f>
        <v>0</v>
      </c>
      <c r="W2375" s="267"/>
      <c r="X2375" s="263"/>
      <c r="AE2375" s="253" t="str">
        <f>VLOOKUP(I2375,vylosovanie!$F$8:$L$190,7,0)</f>
        <v>CH42</v>
      </c>
      <c r="AF2375" s="268">
        <f>IF(N2375&gt;N2378,1,0)</f>
        <v>0</v>
      </c>
      <c r="AG2375" s="268">
        <f t="shared" ref="AG2375" si="2168">IF(O2375&gt;O2378,1,0)</f>
        <v>0</v>
      </c>
      <c r="AH2375" s="268">
        <f t="shared" ref="AH2375" si="2169">IF(P2375&gt;P2378,1,0)</f>
        <v>0</v>
      </c>
      <c r="AI2375" s="268">
        <f t="shared" ref="AI2375" si="2170">IF(Q2375&gt;Q2378,1,0)</f>
        <v>0</v>
      </c>
      <c r="AJ2375" s="268">
        <f t="shared" ref="AJ2375" si="2171">IF(R2375&gt;R2378,1,0)</f>
        <v>0</v>
      </c>
      <c r="AK2375" s="268">
        <f t="shared" ref="AK2375" si="2172">IF(S2375&gt;S2378,1,0)</f>
        <v>0</v>
      </c>
      <c r="AL2375" s="268">
        <f t="shared" ref="AL2375" si="2173">IF(T2375&gt;T2378,1,0)</f>
        <v>0</v>
      </c>
      <c r="AN2375" s="268">
        <f t="shared" ref="AN2375" si="2174">IF(ISBLANK(N2375)=TRUE,"",IF(AF2375=1,N2378,-N2375))</f>
        <v>-9</v>
      </c>
      <c r="AO2375" s="268">
        <f t="shared" ref="AO2375" si="2175">IF(ISBLANK(O2375)=TRUE,"",IF(AG2375=1,O2378,-O2375))</f>
        <v>-9</v>
      </c>
      <c r="AP2375" s="268">
        <f t="shared" ref="AP2375" si="2176">IF(ISBLANK(P2375)=TRUE,"",IF(AH2375=1,P2378,-P2375))</f>
        <v>-9</v>
      </c>
      <c r="AQ2375" s="268" t="str">
        <f t="shared" ref="AQ2375" si="2177">IF(ISBLANK(Q2375)=TRUE,"",IF(AI2375=1,Q2378,-Q2375))</f>
        <v/>
      </c>
      <c r="AR2375" s="268" t="str">
        <f t="shared" ref="AR2375" si="2178">IF(ISBLANK(R2375)=TRUE,"",IF(AJ2375=1,R2378,-R2375))</f>
        <v/>
      </c>
      <c r="AS2375" s="268" t="str">
        <f t="shared" ref="AS2375" si="2179">IF(ISBLANK(S2375)=TRUE,"",IF(AK2375=1,S2378,-S2375))</f>
        <v/>
      </c>
      <c r="AT2375" s="268" t="str">
        <f t="shared" ref="AT2375" si="2180">IF(ISBLANK(T2375)=TRUE,"",IF(AL2375=1,T2378,-T2375))</f>
        <v/>
      </c>
      <c r="AZ2375" s="269" t="s">
        <v>12</v>
      </c>
      <c r="BA2375" s="269">
        <v>1</v>
      </c>
    </row>
    <row r="2376" spans="1:53" ht="39.950000000000003" customHeight="1">
      <c r="E2376" s="264"/>
      <c r="F2376" s="265"/>
      <c r="G2376" s="509"/>
      <c r="H2376" s="495"/>
      <c r="I2376" s="487"/>
      <c r="J2376" s="487"/>
      <c r="K2376" s="487"/>
      <c r="L2376" s="487"/>
      <c r="M2376" s="263"/>
      <c r="N2376" s="490"/>
      <c r="O2376" s="490"/>
      <c r="P2376" s="490"/>
      <c r="Q2376" s="490"/>
      <c r="R2376" s="490"/>
      <c r="S2376" s="490"/>
      <c r="T2376" s="490"/>
      <c r="U2376" s="263"/>
      <c r="V2376" s="493"/>
      <c r="W2376" s="267"/>
      <c r="X2376" s="263"/>
      <c r="AE2376" s="253" t="str">
        <f>VLOOKUP(I2378,vylosovanie!$F$8:$L$190,7,0)</f>
        <v>CH31</v>
      </c>
      <c r="AF2376" s="268">
        <f>IF(N2378&gt;N2375,1,0)</f>
        <v>1</v>
      </c>
      <c r="AG2376" s="268">
        <f t="shared" ref="AG2376" si="2181">IF(O2378&gt;O2375,1,0)</f>
        <v>1</v>
      </c>
      <c r="AH2376" s="268">
        <f t="shared" ref="AH2376" si="2182">IF(P2378&gt;P2375,1,0)</f>
        <v>1</v>
      </c>
      <c r="AI2376" s="268">
        <f t="shared" ref="AI2376" si="2183">IF(Q2378&gt;Q2375,1,0)</f>
        <v>0</v>
      </c>
      <c r="AJ2376" s="268">
        <f t="shared" ref="AJ2376" si="2184">IF(R2378&gt;R2375,1,0)</f>
        <v>0</v>
      </c>
      <c r="AK2376" s="268">
        <f t="shared" ref="AK2376" si="2185">IF(S2378&gt;S2375,1,0)</f>
        <v>0</v>
      </c>
      <c r="AL2376" s="268">
        <f t="shared" ref="AL2376" si="2186">IF(T2378&gt;T2375,1,0)</f>
        <v>0</v>
      </c>
      <c r="AN2376" s="268">
        <f t="shared" ref="AN2376" si="2187">IF(ISBLANK(N2378)=TRUE,"",IF(AF2376=1,N2375,-N2378))</f>
        <v>9</v>
      </c>
      <c r="AO2376" s="268">
        <f t="shared" ref="AO2376" si="2188">IF(ISBLANK(O2378)=TRUE,"",IF(AG2376=1,O2375,-O2378))</f>
        <v>9</v>
      </c>
      <c r="AP2376" s="268">
        <f t="shared" ref="AP2376" si="2189">IF(ISBLANK(P2378)=TRUE,"",IF(AH2376=1,P2375,-P2378))</f>
        <v>9</v>
      </c>
      <c r="AQ2376" s="268" t="str">
        <f t="shared" ref="AQ2376" si="2190">IF(ISBLANK(Q2378)=TRUE,"",IF(AI2376=1,Q2375,-Q2378))</f>
        <v/>
      </c>
      <c r="AR2376" s="268" t="str">
        <f t="shared" ref="AR2376" si="2191">IF(ISBLANK(R2378)=TRUE,"",IF(AJ2376=1,R2375,-R2378))</f>
        <v/>
      </c>
      <c r="AS2376" s="268" t="str">
        <f t="shared" ref="AS2376" si="2192">IF(ISBLANK(S2378)=TRUE,"",IF(AK2376=1,S2375,-S2378))</f>
        <v/>
      </c>
      <c r="AT2376" s="268" t="str">
        <f t="shared" ref="AT2376" si="2193">IF(ISBLANK(T2378)=TRUE,"",IF(AL2376=1,T2375,-T2378))</f>
        <v/>
      </c>
      <c r="AZ2376" s="269" t="s">
        <v>18</v>
      </c>
      <c r="BA2376" s="269">
        <v>2</v>
      </c>
    </row>
    <row r="2377" spans="1:53" ht="39.950000000000003" customHeight="1">
      <c r="E2377" s="264" t="s">
        <v>35</v>
      </c>
      <c r="F2377" s="265" t="str">
        <f>VLOOKUP(CONCATENATE(A2373,1),'zoznam zapasov'!$A$6:$K$160,9,0)</f>
        <v>So</v>
      </c>
      <c r="G2377" s="263"/>
      <c r="H2377" s="263"/>
      <c r="I2377" s="263"/>
      <c r="J2377" s="263"/>
      <c r="K2377" s="263"/>
      <c r="L2377" s="263"/>
      <c r="M2377" s="263"/>
      <c r="N2377" s="263"/>
      <c r="O2377" s="263"/>
      <c r="P2377" s="263"/>
      <c r="Q2377" s="263"/>
      <c r="R2377" s="263"/>
      <c r="S2377" s="263"/>
      <c r="T2377" s="263"/>
      <c r="U2377" s="263"/>
      <c r="V2377" s="263"/>
      <c r="W2377" s="267"/>
      <c r="X2377" s="263"/>
      <c r="AZ2377" s="269" t="s">
        <v>38</v>
      </c>
      <c r="BA2377" s="269">
        <v>3</v>
      </c>
    </row>
    <row r="2378" spans="1:53" ht="39.950000000000003" customHeight="1">
      <c r="A2378" s="252" t="str">
        <f>CONCATENATE(A2373,2)</f>
        <v>CHP102</v>
      </c>
      <c r="E2378" s="264" t="s">
        <v>28</v>
      </c>
      <c r="F2378" s="270" t="str">
        <f>VLOOKUP(CONCATENATE(A2373,1),'zoznam zapasov'!$A$6:$K$160,10,0)</f>
        <v>16.30</v>
      </c>
      <c r="G2378" s="508"/>
      <c r="H2378" s="486"/>
      <c r="I2378" s="487" t="str">
        <f>IF(ISERROR(VLOOKUP(A2378,'KO KODY SPOLU'!$A$3:$B$189,2,0))=TRUE,"",VLOOKUP(A2378,'KO KODY SPOLU'!$A$3:$B$189,2,0))</f>
        <v>FEČO Samuel</v>
      </c>
      <c r="J2378" s="487"/>
      <c r="K2378" s="487"/>
      <c r="L2378" s="487"/>
      <c r="M2378" s="263"/>
      <c r="N2378" s="489">
        <v>11</v>
      </c>
      <c r="O2378" s="489">
        <v>11</v>
      </c>
      <c r="P2378" s="489">
        <v>11</v>
      </c>
      <c r="Q2378" s="489"/>
      <c r="R2378" s="489"/>
      <c r="S2378" s="489"/>
      <c r="T2378" s="489"/>
      <c r="U2378" s="263"/>
      <c r="V2378" s="493">
        <f>IF(SUM(AF2375:AL2376)=0,"",SUM(AF2376:AL2376))</f>
        <v>3</v>
      </c>
      <c r="W2378" s="267"/>
      <c r="X2378" s="263"/>
      <c r="AZ2378" s="269" t="s">
        <v>39</v>
      </c>
      <c r="BA2378" s="269">
        <v>4</v>
      </c>
    </row>
    <row r="2379" spans="1:53" ht="39.950000000000003" customHeight="1">
      <c r="E2379" s="271"/>
      <c r="F2379" s="272"/>
      <c r="G2379" s="509"/>
      <c r="H2379" s="486"/>
      <c r="I2379" s="487"/>
      <c r="J2379" s="487"/>
      <c r="K2379" s="487"/>
      <c r="L2379" s="487"/>
      <c r="M2379" s="263"/>
      <c r="N2379" s="490"/>
      <c r="O2379" s="490"/>
      <c r="P2379" s="490"/>
      <c r="Q2379" s="490"/>
      <c r="R2379" s="490"/>
      <c r="S2379" s="490"/>
      <c r="T2379" s="490"/>
      <c r="U2379" s="263"/>
      <c r="V2379" s="493"/>
      <c r="W2379" s="267"/>
      <c r="X2379" s="263"/>
      <c r="AZ2379" s="269" t="s">
        <v>40</v>
      </c>
      <c r="BA2379" s="269">
        <v>5</v>
      </c>
    </row>
    <row r="2380" spans="1:53" ht="39.950000000000003" customHeight="1">
      <c r="E2380" s="264" t="s">
        <v>66</v>
      </c>
      <c r="F2380" s="265" t="s">
        <v>65</v>
      </c>
      <c r="G2380" s="263"/>
      <c r="H2380" s="263"/>
      <c r="I2380" s="263"/>
      <c r="J2380" s="263"/>
      <c r="K2380" s="263"/>
      <c r="L2380" s="263"/>
      <c r="M2380" s="263"/>
      <c r="N2380" s="263"/>
      <c r="O2380" s="263"/>
      <c r="P2380" s="263"/>
      <c r="Q2380" s="263"/>
      <c r="R2380" s="263"/>
      <c r="S2380" s="263"/>
      <c r="T2380" s="263"/>
      <c r="U2380" s="263"/>
      <c r="V2380" s="263"/>
      <c r="W2380" s="267"/>
      <c r="X2380" s="263"/>
      <c r="AZ2380" s="269" t="s">
        <v>41</v>
      </c>
      <c r="BA2380" s="269">
        <v>6</v>
      </c>
    </row>
    <row r="2381" spans="1:53" ht="39.950000000000003" customHeight="1">
      <c r="E2381" s="271"/>
      <c r="F2381" s="272"/>
      <c r="G2381" s="263"/>
      <c r="H2381" s="263"/>
      <c r="I2381" s="263" t="s">
        <v>32</v>
      </c>
      <c r="J2381" s="263"/>
      <c r="K2381" s="263"/>
      <c r="L2381" s="263"/>
      <c r="M2381" s="263"/>
      <c r="N2381" s="273"/>
      <c r="O2381" s="266"/>
      <c r="P2381" s="266" t="s">
        <v>34</v>
      </c>
      <c r="Q2381" s="266"/>
      <c r="R2381" s="266"/>
      <c r="S2381" s="266"/>
      <c r="T2381" s="266"/>
      <c r="U2381" s="263"/>
      <c r="V2381" s="263"/>
      <c r="W2381" s="267"/>
      <c r="X2381" s="263"/>
      <c r="AZ2381" s="269" t="s">
        <v>42</v>
      </c>
      <c r="BA2381" s="269">
        <v>7</v>
      </c>
    </row>
    <row r="2382" spans="1:53" ht="39.950000000000003" customHeight="1">
      <c r="E2382" s="264" t="s">
        <v>26</v>
      </c>
      <c r="F2382" s="265" t="s">
        <v>128</v>
      </c>
      <c r="G2382" s="263"/>
      <c r="H2382" s="263"/>
      <c r="I2382" s="486"/>
      <c r="J2382" s="486"/>
      <c r="K2382" s="486"/>
      <c r="L2382" s="486"/>
      <c r="M2382" s="263"/>
      <c r="N2382" s="486" t="str">
        <f>IF(V2375&gt;V2378,I2375,IF(V2378&gt;V2375,I2378,""))</f>
        <v>FEČO Samuel</v>
      </c>
      <c r="O2382" s="486"/>
      <c r="P2382" s="486"/>
      <c r="Q2382" s="486"/>
      <c r="R2382" s="486"/>
      <c r="S2382" s="486"/>
      <c r="T2382" s="263"/>
      <c r="U2382" s="263"/>
      <c r="V2382" s="263"/>
      <c r="W2382" s="267"/>
      <c r="X2382" s="263"/>
      <c r="AZ2382" s="269" t="s">
        <v>43</v>
      </c>
      <c r="BA2382" s="269">
        <v>8</v>
      </c>
    </row>
    <row r="2383" spans="1:53" ht="39.950000000000003" customHeight="1">
      <c r="E2383" s="271"/>
      <c r="F2383" s="272"/>
      <c r="G2383" s="263"/>
      <c r="H2383" s="263"/>
      <c r="I2383" s="486"/>
      <c r="J2383" s="486"/>
      <c r="K2383" s="486"/>
      <c r="L2383" s="486"/>
      <c r="M2383" s="263"/>
      <c r="N2383" s="486"/>
      <c r="O2383" s="486"/>
      <c r="P2383" s="486"/>
      <c r="Q2383" s="486"/>
      <c r="R2383" s="486"/>
      <c r="S2383" s="486"/>
      <c r="T2383" s="263"/>
      <c r="U2383" s="263"/>
      <c r="V2383" s="263"/>
      <c r="W2383" s="267"/>
      <c r="X2383" s="263"/>
    </row>
    <row r="2384" spans="1:53" ht="39.950000000000003" customHeight="1">
      <c r="E2384" s="264" t="s">
        <v>27</v>
      </c>
      <c r="F2384" s="274" t="s">
        <v>349</v>
      </c>
      <c r="G2384" s="263"/>
      <c r="H2384" s="263"/>
      <c r="I2384" s="263"/>
      <c r="J2384" s="263"/>
      <c r="K2384" s="263"/>
      <c r="L2384" s="263"/>
      <c r="M2384" s="263"/>
      <c r="N2384" s="263"/>
      <c r="O2384" s="263"/>
      <c r="P2384" s="263"/>
      <c r="Q2384" s="263"/>
      <c r="R2384" s="263"/>
      <c r="S2384" s="263"/>
      <c r="T2384" s="263"/>
      <c r="U2384" s="263"/>
      <c r="V2384" s="263"/>
      <c r="W2384" s="267"/>
      <c r="X2384" s="263"/>
    </row>
    <row r="2385" spans="1:53" ht="39.950000000000003" customHeight="1">
      <c r="E2385" s="271"/>
      <c r="F2385" s="272"/>
      <c r="G2385" s="263"/>
      <c r="H2385" s="263" t="s">
        <v>33</v>
      </c>
      <c r="I2385" s="263"/>
      <c r="J2385" s="263"/>
      <c r="K2385" s="263"/>
      <c r="L2385" s="263"/>
      <c r="M2385" s="263"/>
      <c r="N2385" s="263"/>
      <c r="O2385" s="263"/>
      <c r="P2385" s="263"/>
      <c r="Q2385" s="263"/>
      <c r="R2385" s="263"/>
      <c r="S2385" s="263"/>
      <c r="T2385" s="263"/>
      <c r="U2385" s="263"/>
      <c r="V2385" s="263"/>
      <c r="W2385" s="267"/>
      <c r="X2385" s="263"/>
    </row>
    <row r="2386" spans="1:53" ht="39.950000000000003" customHeight="1">
      <c r="E2386" s="271"/>
      <c r="F2386" s="272"/>
      <c r="G2386" s="263"/>
      <c r="H2386" s="263"/>
      <c r="I2386" s="263"/>
      <c r="J2386" s="263"/>
      <c r="K2386" s="263"/>
      <c r="L2386" s="263"/>
      <c r="M2386" s="263"/>
      <c r="N2386" s="263"/>
      <c r="O2386" s="263"/>
      <c r="P2386" s="263"/>
      <c r="Q2386" s="263"/>
      <c r="R2386" s="263"/>
      <c r="S2386" s="263"/>
      <c r="T2386" s="263"/>
      <c r="U2386" s="263"/>
      <c r="V2386" s="263"/>
      <c r="W2386" s="267"/>
      <c r="X2386" s="263"/>
    </row>
    <row r="2387" spans="1:53" ht="39.950000000000003" customHeight="1">
      <c r="E2387" s="271"/>
      <c r="F2387" s="272"/>
      <c r="G2387" s="263"/>
      <c r="H2387" s="263"/>
      <c r="I2387" s="496" t="str">
        <f>I2375</f>
        <v>HURKA Rastislav</v>
      </c>
      <c r="J2387" s="496"/>
      <c r="K2387" s="496"/>
      <c r="L2387" s="496"/>
      <c r="M2387" s="263"/>
      <c r="N2387" s="263"/>
      <c r="O2387" s="263"/>
      <c r="P2387" s="496" t="str">
        <f>I2378</f>
        <v>FEČO Samuel</v>
      </c>
      <c r="Q2387" s="496"/>
      <c r="R2387" s="496"/>
      <c r="S2387" s="496"/>
      <c r="T2387" s="497"/>
      <c r="U2387" s="497"/>
      <c r="V2387" s="263"/>
      <c r="W2387" s="267"/>
      <c r="X2387" s="263"/>
    </row>
    <row r="2388" spans="1:53" ht="69.95" customHeight="1">
      <c r="E2388" s="264"/>
      <c r="F2388" s="265"/>
      <c r="G2388" s="263"/>
      <c r="H2388" s="275" t="s">
        <v>36</v>
      </c>
      <c r="I2388" s="483"/>
      <c r="J2388" s="494"/>
      <c r="K2388" s="494"/>
      <c r="L2388" s="495"/>
      <c r="M2388" s="263"/>
      <c r="N2388" s="263"/>
      <c r="O2388" s="275" t="s">
        <v>36</v>
      </c>
      <c r="P2388" s="486"/>
      <c r="Q2388" s="486"/>
      <c r="R2388" s="486"/>
      <c r="S2388" s="486"/>
      <c r="T2388" s="486"/>
      <c r="U2388" s="486"/>
      <c r="V2388" s="263"/>
      <c r="W2388" s="267"/>
      <c r="X2388" s="263"/>
    </row>
    <row r="2389" spans="1:53" ht="69.95" customHeight="1">
      <c r="E2389" s="264"/>
      <c r="F2389" s="265"/>
      <c r="G2389" s="263"/>
      <c r="H2389" s="275" t="s">
        <v>37</v>
      </c>
      <c r="I2389" s="486"/>
      <c r="J2389" s="486"/>
      <c r="K2389" s="486"/>
      <c r="L2389" s="486"/>
      <c r="M2389" s="263"/>
      <c r="N2389" s="263"/>
      <c r="O2389" s="275" t="s">
        <v>37</v>
      </c>
      <c r="P2389" s="486"/>
      <c r="Q2389" s="486"/>
      <c r="R2389" s="486"/>
      <c r="S2389" s="486"/>
      <c r="T2389" s="486"/>
      <c r="U2389" s="486"/>
      <c r="V2389" s="263"/>
      <c r="W2389" s="267"/>
      <c r="X2389" s="263"/>
    </row>
    <row r="2390" spans="1:53" ht="69.95" customHeight="1">
      <c r="E2390" s="264"/>
      <c r="F2390" s="265"/>
      <c r="G2390" s="263"/>
      <c r="H2390" s="275" t="s">
        <v>37</v>
      </c>
      <c r="I2390" s="486"/>
      <c r="J2390" s="486"/>
      <c r="K2390" s="486"/>
      <c r="L2390" s="486"/>
      <c r="M2390" s="263"/>
      <c r="N2390" s="263"/>
      <c r="O2390" s="275" t="s">
        <v>37</v>
      </c>
      <c r="P2390" s="486"/>
      <c r="Q2390" s="486"/>
      <c r="R2390" s="486"/>
      <c r="S2390" s="486"/>
      <c r="T2390" s="486"/>
      <c r="U2390" s="486"/>
      <c r="V2390" s="263"/>
      <c r="W2390" s="267"/>
      <c r="X2390" s="263"/>
    </row>
    <row r="2391" spans="1:53" ht="39.950000000000003" customHeight="1" thickBot="1">
      <c r="E2391" s="276"/>
      <c r="F2391" s="277"/>
      <c r="G2391" s="278"/>
      <c r="H2391" s="278"/>
      <c r="I2391" s="278"/>
      <c r="J2391" s="278"/>
      <c r="K2391" s="278"/>
      <c r="L2391" s="278"/>
      <c r="M2391" s="278"/>
      <c r="N2391" s="278"/>
      <c r="O2391" s="278"/>
      <c r="P2391" s="278"/>
      <c r="Q2391" s="278"/>
      <c r="R2391" s="278"/>
      <c r="S2391" s="278"/>
      <c r="T2391" s="279"/>
      <c r="U2391" s="279"/>
      <c r="V2391" s="279"/>
      <c r="W2391" s="280"/>
      <c r="X2391" s="263"/>
    </row>
    <row r="2392" spans="1:53" ht="62.25" thickBot="1"/>
    <row r="2393" spans="1:53" ht="39.950000000000003" customHeight="1">
      <c r="A2393" s="252" t="str">
        <f>CONCATENATE(F2400,F2402,F2404)</f>
        <v>CHP11</v>
      </c>
      <c r="E2393" s="259" t="s">
        <v>70</v>
      </c>
      <c r="F2393" s="260">
        <f>VLOOKUP(CONCATENATE(A2393,1),'zoznam zapasov'!$A$6:$K$160,3,0)</f>
        <v>119</v>
      </c>
      <c r="G2393" s="261"/>
      <c r="H2393" s="322" t="s">
        <v>501</v>
      </c>
      <c r="I2393" s="261"/>
      <c r="J2393" s="261"/>
      <c r="K2393" s="261"/>
      <c r="L2393" s="261"/>
      <c r="M2393" s="261"/>
      <c r="N2393" s="261"/>
      <c r="O2393" s="261"/>
      <c r="P2393" s="261"/>
      <c r="Q2393" s="261"/>
      <c r="R2393" s="261"/>
      <c r="S2393" s="261"/>
      <c r="T2393" s="261"/>
      <c r="U2393" s="261"/>
      <c r="V2393" s="261" t="s">
        <v>30</v>
      </c>
      <c r="W2393" s="262"/>
      <c r="X2393" s="263"/>
      <c r="Y2393" s="253" t="str">
        <f>A2395</f>
        <v>CHP111</v>
      </c>
      <c r="Z2393" s="258" t="str">
        <f>CONCATENATE(V2395,":",V2398)</f>
        <v>3:1</v>
      </c>
      <c r="AA2393" s="255" t="str">
        <f>N2402</f>
        <v>PINDURA Tobiáš</v>
      </c>
      <c r="AB2393" s="255" t="str">
        <f>IF(V2395&gt;V2398,AV2393,IF(V2398&gt;V2395,AV2394,""))</f>
        <v xml:space="preserve">3:1 ( -10,8,8,8,,, ) </v>
      </c>
      <c r="AC2393" s="255" t="str">
        <f>CONCATENATE("Tbl.: ",F2395,"   H: ",F2398,"   D: ",F2397)</f>
        <v>Tbl.: 3   H: 16.30   D: So</v>
      </c>
      <c r="AE2393" s="253" t="s">
        <v>11</v>
      </c>
      <c r="AV2393" s="256" t="str">
        <f>CONCATENATE(V2395,":",V2398, " ( ",AN2395,",",AO2395,",",AP2395,",",AQ2395,",",AR2395,",",AS2395,",",AT2395," ) ")</f>
        <v xml:space="preserve">3:1 ( -10,8,8,8,,, ) </v>
      </c>
    </row>
    <row r="2394" spans="1:53" ht="39.950000000000003" customHeight="1">
      <c r="E2394" s="264"/>
      <c r="F2394" s="265"/>
      <c r="G2394" s="321" t="s">
        <v>500</v>
      </c>
      <c r="H2394" s="323" t="s">
        <v>502</v>
      </c>
      <c r="I2394" s="263"/>
      <c r="J2394" s="263"/>
      <c r="K2394" s="263"/>
      <c r="L2394" s="263"/>
      <c r="M2394" s="263"/>
      <c r="N2394" s="266">
        <v>1</v>
      </c>
      <c r="O2394" s="266">
        <v>2</v>
      </c>
      <c r="P2394" s="266">
        <v>3</v>
      </c>
      <c r="Q2394" s="266">
        <v>4</v>
      </c>
      <c r="R2394" s="266">
        <v>5</v>
      </c>
      <c r="S2394" s="266">
        <v>6</v>
      </c>
      <c r="T2394" s="266">
        <v>7</v>
      </c>
      <c r="U2394" s="263"/>
      <c r="V2394" s="266" t="s">
        <v>31</v>
      </c>
      <c r="W2394" s="267"/>
      <c r="X2394" s="263"/>
      <c r="AE2394" s="253" t="s">
        <v>68</v>
      </c>
      <c r="AV2394" s="256" t="str">
        <f>CONCATENATE(V2398,":",V2395, " ( ",AN2396,",",AO2396,",",AP2396,",",AQ2396,",",AR2396,",",AS2396,",",AT2396," ) ")</f>
        <v xml:space="preserve">1:3 ( 10,-8,-8,-8,,, ) </v>
      </c>
    </row>
    <row r="2395" spans="1:53" ht="39.950000000000003" customHeight="1">
      <c r="A2395" s="252" t="str">
        <f>CONCATENATE(A2393,1)</f>
        <v>CHP111</v>
      </c>
      <c r="E2395" s="264" t="s">
        <v>29</v>
      </c>
      <c r="F2395" s="265">
        <f>VLOOKUP(CONCATENATE(A2393,1),'zoznam zapasov'!$A$6:$K$160,11,0)</f>
        <v>3</v>
      </c>
      <c r="G2395" s="508"/>
      <c r="H2395" s="495"/>
      <c r="I2395" s="487" t="str">
        <f>IF(ISERROR(VLOOKUP(A2395,'KO KODY SPOLU'!$A$3:$B$189,2,0))=TRUE,"",VLOOKUP(A2395,'KO KODY SPOLU'!$A$3:$B$189,2,0))</f>
        <v>PINDURA Tobiáš</v>
      </c>
      <c r="J2395" s="487"/>
      <c r="K2395" s="487"/>
      <c r="L2395" s="487"/>
      <c r="M2395" s="263"/>
      <c r="N2395" s="489">
        <v>10</v>
      </c>
      <c r="O2395" s="489">
        <v>11</v>
      </c>
      <c r="P2395" s="489">
        <v>11</v>
      </c>
      <c r="Q2395" s="489">
        <v>11</v>
      </c>
      <c r="R2395" s="489"/>
      <c r="S2395" s="489"/>
      <c r="T2395" s="489"/>
      <c r="U2395" s="263"/>
      <c r="V2395" s="493">
        <f>IF(SUM(AF2395:AL2396)=0,"",SUM(AF2395:AL2395))</f>
        <v>3</v>
      </c>
      <c r="W2395" s="267"/>
      <c r="X2395" s="263"/>
      <c r="AE2395" s="253" t="str">
        <f>VLOOKUP(I2395,vylosovanie!$F$8:$L$190,7,0)</f>
        <v>CH41</v>
      </c>
      <c r="AF2395" s="268">
        <f>IF(N2395&gt;N2398,1,0)</f>
        <v>0</v>
      </c>
      <c r="AG2395" s="268">
        <f t="shared" ref="AG2395" si="2194">IF(O2395&gt;O2398,1,0)</f>
        <v>1</v>
      </c>
      <c r="AH2395" s="268">
        <f t="shared" ref="AH2395" si="2195">IF(P2395&gt;P2398,1,0)</f>
        <v>1</v>
      </c>
      <c r="AI2395" s="268">
        <f t="shared" ref="AI2395" si="2196">IF(Q2395&gt;Q2398,1,0)</f>
        <v>1</v>
      </c>
      <c r="AJ2395" s="268">
        <f t="shared" ref="AJ2395" si="2197">IF(R2395&gt;R2398,1,0)</f>
        <v>0</v>
      </c>
      <c r="AK2395" s="268">
        <f t="shared" ref="AK2395" si="2198">IF(S2395&gt;S2398,1,0)</f>
        <v>0</v>
      </c>
      <c r="AL2395" s="268">
        <f t="shared" ref="AL2395" si="2199">IF(T2395&gt;T2398,1,0)</f>
        <v>0</v>
      </c>
      <c r="AN2395" s="268">
        <f t="shared" ref="AN2395" si="2200">IF(ISBLANK(N2395)=TRUE,"",IF(AF2395=1,N2398,-N2395))</f>
        <v>-10</v>
      </c>
      <c r="AO2395" s="268">
        <f t="shared" ref="AO2395" si="2201">IF(ISBLANK(O2395)=TRUE,"",IF(AG2395=1,O2398,-O2395))</f>
        <v>8</v>
      </c>
      <c r="AP2395" s="268">
        <f t="shared" ref="AP2395" si="2202">IF(ISBLANK(P2395)=TRUE,"",IF(AH2395=1,P2398,-P2395))</f>
        <v>8</v>
      </c>
      <c r="AQ2395" s="268">
        <f t="shared" ref="AQ2395" si="2203">IF(ISBLANK(Q2395)=TRUE,"",IF(AI2395=1,Q2398,-Q2395))</f>
        <v>8</v>
      </c>
      <c r="AR2395" s="268" t="str">
        <f t="shared" ref="AR2395" si="2204">IF(ISBLANK(R2395)=TRUE,"",IF(AJ2395=1,R2398,-R2395))</f>
        <v/>
      </c>
      <c r="AS2395" s="268" t="str">
        <f t="shared" ref="AS2395" si="2205">IF(ISBLANK(S2395)=TRUE,"",IF(AK2395=1,S2398,-S2395))</f>
        <v/>
      </c>
      <c r="AT2395" s="268" t="str">
        <f t="shared" ref="AT2395" si="2206">IF(ISBLANK(T2395)=TRUE,"",IF(AL2395=1,T2398,-T2395))</f>
        <v/>
      </c>
      <c r="AZ2395" s="269" t="s">
        <v>12</v>
      </c>
      <c r="BA2395" s="269">
        <v>1</v>
      </c>
    </row>
    <row r="2396" spans="1:53" ht="39.950000000000003" customHeight="1">
      <c r="E2396" s="264"/>
      <c r="F2396" s="265"/>
      <c r="G2396" s="509"/>
      <c r="H2396" s="495"/>
      <c r="I2396" s="487"/>
      <c r="J2396" s="487"/>
      <c r="K2396" s="487"/>
      <c r="L2396" s="487"/>
      <c r="M2396" s="263"/>
      <c r="N2396" s="490"/>
      <c r="O2396" s="490"/>
      <c r="P2396" s="490"/>
      <c r="Q2396" s="490"/>
      <c r="R2396" s="490"/>
      <c r="S2396" s="490"/>
      <c r="T2396" s="490"/>
      <c r="U2396" s="263"/>
      <c r="V2396" s="493"/>
      <c r="W2396" s="267"/>
      <c r="X2396" s="263"/>
      <c r="AE2396" s="253" t="str">
        <f>VLOOKUP(I2398,vylosovanie!$F$8:$L$190,7,0)</f>
        <v>CH51</v>
      </c>
      <c r="AF2396" s="268">
        <f>IF(N2398&gt;N2395,1,0)</f>
        <v>1</v>
      </c>
      <c r="AG2396" s="268">
        <f t="shared" ref="AG2396" si="2207">IF(O2398&gt;O2395,1,0)</f>
        <v>0</v>
      </c>
      <c r="AH2396" s="268">
        <f t="shared" ref="AH2396" si="2208">IF(P2398&gt;P2395,1,0)</f>
        <v>0</v>
      </c>
      <c r="AI2396" s="268">
        <f t="shared" ref="AI2396" si="2209">IF(Q2398&gt;Q2395,1,0)</f>
        <v>0</v>
      </c>
      <c r="AJ2396" s="268">
        <f t="shared" ref="AJ2396" si="2210">IF(R2398&gt;R2395,1,0)</f>
        <v>0</v>
      </c>
      <c r="AK2396" s="268">
        <f t="shared" ref="AK2396" si="2211">IF(S2398&gt;S2395,1,0)</f>
        <v>0</v>
      </c>
      <c r="AL2396" s="268">
        <f t="shared" ref="AL2396" si="2212">IF(T2398&gt;T2395,1,0)</f>
        <v>0</v>
      </c>
      <c r="AN2396" s="268">
        <f t="shared" ref="AN2396" si="2213">IF(ISBLANK(N2398)=TRUE,"",IF(AF2396=1,N2395,-N2398))</f>
        <v>10</v>
      </c>
      <c r="AO2396" s="268">
        <f t="shared" ref="AO2396" si="2214">IF(ISBLANK(O2398)=TRUE,"",IF(AG2396=1,O2395,-O2398))</f>
        <v>-8</v>
      </c>
      <c r="AP2396" s="268">
        <f t="shared" ref="AP2396" si="2215">IF(ISBLANK(P2398)=TRUE,"",IF(AH2396=1,P2395,-P2398))</f>
        <v>-8</v>
      </c>
      <c r="AQ2396" s="268">
        <f t="shared" ref="AQ2396" si="2216">IF(ISBLANK(Q2398)=TRUE,"",IF(AI2396=1,Q2395,-Q2398))</f>
        <v>-8</v>
      </c>
      <c r="AR2396" s="268" t="str">
        <f t="shared" ref="AR2396" si="2217">IF(ISBLANK(R2398)=TRUE,"",IF(AJ2396=1,R2395,-R2398))</f>
        <v/>
      </c>
      <c r="AS2396" s="268" t="str">
        <f t="shared" ref="AS2396" si="2218">IF(ISBLANK(S2398)=TRUE,"",IF(AK2396=1,S2395,-S2398))</f>
        <v/>
      </c>
      <c r="AT2396" s="268" t="str">
        <f t="shared" ref="AT2396" si="2219">IF(ISBLANK(T2398)=TRUE,"",IF(AL2396=1,T2395,-T2398))</f>
        <v/>
      </c>
      <c r="AZ2396" s="269" t="s">
        <v>18</v>
      </c>
      <c r="BA2396" s="269">
        <v>2</v>
      </c>
    </row>
    <row r="2397" spans="1:53" ht="39.950000000000003" customHeight="1">
      <c r="E2397" s="264" t="s">
        <v>35</v>
      </c>
      <c r="F2397" s="265" t="str">
        <f>VLOOKUP(CONCATENATE(A2393,1),'zoznam zapasov'!$A$6:$K$160,9,0)</f>
        <v>So</v>
      </c>
      <c r="G2397" s="263"/>
      <c r="H2397" s="263"/>
      <c r="I2397" s="263"/>
      <c r="J2397" s="263"/>
      <c r="K2397" s="263"/>
      <c r="L2397" s="263"/>
      <c r="M2397" s="263"/>
      <c r="N2397" s="263"/>
      <c r="O2397" s="263"/>
      <c r="P2397" s="263"/>
      <c r="Q2397" s="263"/>
      <c r="R2397" s="263"/>
      <c r="S2397" s="263"/>
      <c r="T2397" s="263"/>
      <c r="U2397" s="263"/>
      <c r="V2397" s="263"/>
      <c r="W2397" s="267"/>
      <c r="X2397" s="263"/>
      <c r="AZ2397" s="269" t="s">
        <v>38</v>
      </c>
      <c r="BA2397" s="269">
        <v>3</v>
      </c>
    </row>
    <row r="2398" spans="1:53" ht="39.950000000000003" customHeight="1">
      <c r="A2398" s="252" t="str">
        <f>CONCATENATE(A2393,2)</f>
        <v>CHP112</v>
      </c>
      <c r="E2398" s="264" t="s">
        <v>28</v>
      </c>
      <c r="F2398" s="270" t="str">
        <f>VLOOKUP(CONCATENATE(A2393,1),'zoznam zapasov'!$A$6:$K$160,10,0)</f>
        <v>16.30</v>
      </c>
      <c r="G2398" s="508"/>
      <c r="H2398" s="486"/>
      <c r="I2398" s="487" t="str">
        <f>IF(ISERROR(VLOOKUP(A2398,'KO KODY SPOLU'!$A$3:$B$189,2,0))=TRUE,"",VLOOKUP(A2398,'KO KODY SPOLU'!$A$3:$B$189,2,0))</f>
        <v>PETRÍK Filip</v>
      </c>
      <c r="J2398" s="487"/>
      <c r="K2398" s="487"/>
      <c r="L2398" s="487"/>
      <c r="M2398" s="263"/>
      <c r="N2398" s="489">
        <v>12</v>
      </c>
      <c r="O2398" s="489">
        <v>8</v>
      </c>
      <c r="P2398" s="489">
        <v>8</v>
      </c>
      <c r="Q2398" s="489">
        <v>8</v>
      </c>
      <c r="R2398" s="489"/>
      <c r="S2398" s="489"/>
      <c r="T2398" s="489"/>
      <c r="U2398" s="263"/>
      <c r="V2398" s="493">
        <f>IF(SUM(AF2395:AL2396)=0,"",SUM(AF2396:AL2396))</f>
        <v>1</v>
      </c>
      <c r="W2398" s="267"/>
      <c r="X2398" s="263"/>
      <c r="AZ2398" s="269" t="s">
        <v>39</v>
      </c>
      <c r="BA2398" s="269">
        <v>4</v>
      </c>
    </row>
    <row r="2399" spans="1:53" ht="39.950000000000003" customHeight="1">
      <c r="E2399" s="271"/>
      <c r="F2399" s="272"/>
      <c r="G2399" s="509"/>
      <c r="H2399" s="486"/>
      <c r="I2399" s="487"/>
      <c r="J2399" s="487"/>
      <c r="K2399" s="487"/>
      <c r="L2399" s="487"/>
      <c r="M2399" s="263"/>
      <c r="N2399" s="490"/>
      <c r="O2399" s="490"/>
      <c r="P2399" s="490"/>
      <c r="Q2399" s="490"/>
      <c r="R2399" s="490"/>
      <c r="S2399" s="490"/>
      <c r="T2399" s="490"/>
      <c r="U2399" s="263"/>
      <c r="V2399" s="493"/>
      <c r="W2399" s="267"/>
      <c r="X2399" s="263"/>
      <c r="AZ2399" s="269" t="s">
        <v>40</v>
      </c>
      <c r="BA2399" s="269">
        <v>5</v>
      </c>
    </row>
    <row r="2400" spans="1:53" ht="39.950000000000003" customHeight="1">
      <c r="E2400" s="264" t="s">
        <v>66</v>
      </c>
      <c r="F2400" s="265" t="s">
        <v>65</v>
      </c>
      <c r="G2400" s="263"/>
      <c r="H2400" s="263"/>
      <c r="I2400" s="263"/>
      <c r="J2400" s="263"/>
      <c r="K2400" s="263"/>
      <c r="L2400" s="263"/>
      <c r="M2400" s="263"/>
      <c r="N2400" s="263"/>
      <c r="O2400" s="263"/>
      <c r="P2400" s="263"/>
      <c r="Q2400" s="263"/>
      <c r="R2400" s="263"/>
      <c r="S2400" s="263"/>
      <c r="T2400" s="263"/>
      <c r="U2400" s="263"/>
      <c r="V2400" s="263"/>
      <c r="W2400" s="267"/>
      <c r="X2400" s="263"/>
      <c r="AZ2400" s="269" t="s">
        <v>41</v>
      </c>
      <c r="BA2400" s="269">
        <v>6</v>
      </c>
    </row>
    <row r="2401" spans="1:53" ht="39.950000000000003" customHeight="1">
      <c r="E2401" s="271"/>
      <c r="F2401" s="272"/>
      <c r="G2401" s="263"/>
      <c r="H2401" s="263"/>
      <c r="I2401" s="263" t="s">
        <v>32</v>
      </c>
      <c r="J2401" s="263"/>
      <c r="K2401" s="263"/>
      <c r="L2401" s="263"/>
      <c r="M2401" s="263"/>
      <c r="N2401" s="273"/>
      <c r="O2401" s="266"/>
      <c r="P2401" s="266" t="s">
        <v>34</v>
      </c>
      <c r="Q2401" s="266"/>
      <c r="R2401" s="266"/>
      <c r="S2401" s="266"/>
      <c r="T2401" s="266"/>
      <c r="U2401" s="263"/>
      <c r="V2401" s="263"/>
      <c r="W2401" s="267"/>
      <c r="X2401" s="263"/>
      <c r="AZ2401" s="269" t="s">
        <v>42</v>
      </c>
      <c r="BA2401" s="269">
        <v>7</v>
      </c>
    </row>
    <row r="2402" spans="1:53" ht="39.950000000000003" customHeight="1">
      <c r="E2402" s="264" t="s">
        <v>26</v>
      </c>
      <c r="F2402" s="265" t="s">
        <v>128</v>
      </c>
      <c r="G2402" s="263"/>
      <c r="H2402" s="263"/>
      <c r="I2402" s="486"/>
      <c r="J2402" s="486"/>
      <c r="K2402" s="486"/>
      <c r="L2402" s="486"/>
      <c r="M2402" s="263"/>
      <c r="N2402" s="486" t="str">
        <f>IF(V2395&gt;V2398,I2395,IF(V2398&gt;V2395,I2398,""))</f>
        <v>PINDURA Tobiáš</v>
      </c>
      <c r="O2402" s="486"/>
      <c r="P2402" s="486"/>
      <c r="Q2402" s="486"/>
      <c r="R2402" s="486"/>
      <c r="S2402" s="486"/>
      <c r="T2402" s="263"/>
      <c r="U2402" s="263"/>
      <c r="V2402" s="263"/>
      <c r="W2402" s="267"/>
      <c r="X2402" s="263"/>
      <c r="AZ2402" s="269" t="s">
        <v>43</v>
      </c>
      <c r="BA2402" s="269">
        <v>8</v>
      </c>
    </row>
    <row r="2403" spans="1:53" ht="39.950000000000003" customHeight="1">
      <c r="E2403" s="271"/>
      <c r="F2403" s="272"/>
      <c r="G2403" s="263"/>
      <c r="H2403" s="263"/>
      <c r="I2403" s="486"/>
      <c r="J2403" s="486"/>
      <c r="K2403" s="486"/>
      <c r="L2403" s="486"/>
      <c r="M2403" s="263"/>
      <c r="N2403" s="486"/>
      <c r="O2403" s="486"/>
      <c r="P2403" s="486"/>
      <c r="Q2403" s="486"/>
      <c r="R2403" s="486"/>
      <c r="S2403" s="486"/>
      <c r="T2403" s="263"/>
      <c r="U2403" s="263"/>
      <c r="V2403" s="263"/>
      <c r="W2403" s="267"/>
      <c r="X2403" s="263"/>
    </row>
    <row r="2404" spans="1:53" ht="39.950000000000003" customHeight="1">
      <c r="E2404" s="264" t="s">
        <v>27</v>
      </c>
      <c r="F2404" s="274" t="s">
        <v>350</v>
      </c>
      <c r="G2404" s="263"/>
      <c r="H2404" s="263"/>
      <c r="I2404" s="263"/>
      <c r="J2404" s="263"/>
      <c r="K2404" s="263"/>
      <c r="L2404" s="263"/>
      <c r="M2404" s="263"/>
      <c r="N2404" s="263"/>
      <c r="O2404" s="263"/>
      <c r="P2404" s="263"/>
      <c r="Q2404" s="263"/>
      <c r="R2404" s="263"/>
      <c r="S2404" s="263"/>
      <c r="T2404" s="263"/>
      <c r="U2404" s="263"/>
      <c r="V2404" s="263"/>
      <c r="W2404" s="267"/>
      <c r="X2404" s="263"/>
    </row>
    <row r="2405" spans="1:53" ht="39.950000000000003" customHeight="1">
      <c r="E2405" s="271"/>
      <c r="F2405" s="272"/>
      <c r="G2405" s="263"/>
      <c r="H2405" s="263" t="s">
        <v>33</v>
      </c>
      <c r="I2405" s="263"/>
      <c r="J2405" s="263"/>
      <c r="K2405" s="263"/>
      <c r="L2405" s="263"/>
      <c r="M2405" s="263"/>
      <c r="N2405" s="263"/>
      <c r="O2405" s="263"/>
      <c r="P2405" s="263"/>
      <c r="Q2405" s="263"/>
      <c r="R2405" s="263"/>
      <c r="S2405" s="263"/>
      <c r="T2405" s="263"/>
      <c r="U2405" s="263"/>
      <c r="V2405" s="263"/>
      <c r="W2405" s="267"/>
      <c r="X2405" s="263"/>
    </row>
    <row r="2406" spans="1:53" ht="39.950000000000003" customHeight="1">
      <c r="E2406" s="271"/>
      <c r="F2406" s="272"/>
      <c r="G2406" s="263"/>
      <c r="H2406" s="263"/>
      <c r="I2406" s="263"/>
      <c r="J2406" s="263"/>
      <c r="K2406" s="263"/>
      <c r="L2406" s="263"/>
      <c r="M2406" s="263"/>
      <c r="N2406" s="263"/>
      <c r="O2406" s="263"/>
      <c r="P2406" s="263"/>
      <c r="Q2406" s="263"/>
      <c r="R2406" s="263"/>
      <c r="S2406" s="263"/>
      <c r="T2406" s="263"/>
      <c r="U2406" s="263"/>
      <c r="V2406" s="263"/>
      <c r="W2406" s="267"/>
      <c r="X2406" s="263"/>
    </row>
    <row r="2407" spans="1:53" ht="39.950000000000003" customHeight="1">
      <c r="E2407" s="271"/>
      <c r="F2407" s="272"/>
      <c r="G2407" s="263"/>
      <c r="H2407" s="263"/>
      <c r="I2407" s="496" t="str">
        <f>I2395</f>
        <v>PINDURA Tobiáš</v>
      </c>
      <c r="J2407" s="496"/>
      <c r="K2407" s="496"/>
      <c r="L2407" s="496"/>
      <c r="M2407" s="263"/>
      <c r="N2407" s="263"/>
      <c r="O2407" s="263"/>
      <c r="P2407" s="496" t="str">
        <f>I2398</f>
        <v>PETRÍK Filip</v>
      </c>
      <c r="Q2407" s="496"/>
      <c r="R2407" s="496"/>
      <c r="S2407" s="496"/>
      <c r="T2407" s="497"/>
      <c r="U2407" s="497"/>
      <c r="V2407" s="263"/>
      <c r="W2407" s="267"/>
      <c r="X2407" s="263"/>
    </row>
    <row r="2408" spans="1:53" ht="69.95" customHeight="1">
      <c r="E2408" s="264"/>
      <c r="F2408" s="265"/>
      <c r="G2408" s="263"/>
      <c r="H2408" s="275" t="s">
        <v>36</v>
      </c>
      <c r="I2408" s="483"/>
      <c r="J2408" s="494"/>
      <c r="K2408" s="494"/>
      <c r="L2408" s="495"/>
      <c r="M2408" s="263"/>
      <c r="N2408" s="263"/>
      <c r="O2408" s="275" t="s">
        <v>36</v>
      </c>
      <c r="P2408" s="486"/>
      <c r="Q2408" s="486"/>
      <c r="R2408" s="486"/>
      <c r="S2408" s="486"/>
      <c r="T2408" s="486"/>
      <c r="U2408" s="486"/>
      <c r="V2408" s="263"/>
      <c r="W2408" s="267"/>
      <c r="X2408" s="263"/>
    </row>
    <row r="2409" spans="1:53" ht="69.95" customHeight="1">
      <c r="E2409" s="264"/>
      <c r="F2409" s="265"/>
      <c r="G2409" s="263"/>
      <c r="H2409" s="275" t="s">
        <v>37</v>
      </c>
      <c r="I2409" s="486"/>
      <c r="J2409" s="486"/>
      <c r="K2409" s="486"/>
      <c r="L2409" s="486"/>
      <c r="M2409" s="263"/>
      <c r="N2409" s="263"/>
      <c r="O2409" s="275" t="s">
        <v>37</v>
      </c>
      <c r="P2409" s="486"/>
      <c r="Q2409" s="486"/>
      <c r="R2409" s="486"/>
      <c r="S2409" s="486"/>
      <c r="T2409" s="486"/>
      <c r="U2409" s="486"/>
      <c r="V2409" s="263"/>
      <c r="W2409" s="267"/>
      <c r="X2409" s="263"/>
    </row>
    <row r="2410" spans="1:53" ht="69.95" customHeight="1">
      <c r="E2410" s="264"/>
      <c r="F2410" s="265"/>
      <c r="G2410" s="263"/>
      <c r="H2410" s="275" t="s">
        <v>37</v>
      </c>
      <c r="I2410" s="486"/>
      <c r="J2410" s="486"/>
      <c r="K2410" s="486"/>
      <c r="L2410" s="486"/>
      <c r="M2410" s="263"/>
      <c r="N2410" s="263"/>
      <c r="O2410" s="275" t="s">
        <v>37</v>
      </c>
      <c r="P2410" s="486"/>
      <c r="Q2410" s="486"/>
      <c r="R2410" s="486"/>
      <c r="S2410" s="486"/>
      <c r="T2410" s="486"/>
      <c r="U2410" s="486"/>
      <c r="V2410" s="263"/>
      <c r="W2410" s="267"/>
      <c r="X2410" s="263"/>
    </row>
    <row r="2411" spans="1:53" ht="39.950000000000003" customHeight="1" thickBot="1">
      <c r="E2411" s="276"/>
      <c r="F2411" s="277"/>
      <c r="G2411" s="278"/>
      <c r="H2411" s="278"/>
      <c r="I2411" s="278"/>
      <c r="J2411" s="278"/>
      <c r="K2411" s="278"/>
      <c r="L2411" s="278"/>
      <c r="M2411" s="278"/>
      <c r="N2411" s="278"/>
      <c r="O2411" s="278"/>
      <c r="P2411" s="278"/>
      <c r="Q2411" s="278"/>
      <c r="R2411" s="278"/>
      <c r="S2411" s="278"/>
      <c r="T2411" s="279"/>
      <c r="U2411" s="279"/>
      <c r="V2411" s="279"/>
      <c r="W2411" s="280"/>
      <c r="X2411" s="263"/>
    </row>
    <row r="2412" spans="1:53" ht="62.25" thickBot="1"/>
    <row r="2413" spans="1:53" ht="39.950000000000003" customHeight="1">
      <c r="A2413" s="252" t="str">
        <f>CONCATENATE(F2420,F2422,F2424)</f>
        <v>CHP12</v>
      </c>
      <c r="E2413" s="259" t="s">
        <v>70</v>
      </c>
      <c r="F2413" s="260">
        <f>VLOOKUP(CONCATENATE(A2413,1),'zoznam zapasov'!$A$6:$K$160,3,0)</f>
        <v>120</v>
      </c>
      <c r="G2413" s="261"/>
      <c r="H2413" s="322" t="s">
        <v>501</v>
      </c>
      <c r="I2413" s="261"/>
      <c r="J2413" s="261"/>
      <c r="K2413" s="261"/>
      <c r="L2413" s="261"/>
      <c r="M2413" s="261"/>
      <c r="N2413" s="261"/>
      <c r="O2413" s="261"/>
      <c r="P2413" s="261"/>
      <c r="Q2413" s="261"/>
      <c r="R2413" s="261"/>
      <c r="S2413" s="261"/>
      <c r="T2413" s="261"/>
      <c r="U2413" s="261"/>
      <c r="V2413" s="261" t="s">
        <v>30</v>
      </c>
      <c r="W2413" s="262"/>
      <c r="X2413" s="263"/>
      <c r="Y2413" s="253" t="str">
        <f>A2415</f>
        <v>CHP121</v>
      </c>
      <c r="Z2413" s="258" t="str">
        <f>CONCATENATE(V2415,":",V2418)</f>
        <v>2:3</v>
      </c>
      <c r="AA2413" s="255" t="str">
        <f>N2422</f>
        <v>KYSEL Martin</v>
      </c>
      <c r="AB2413" s="255" t="str">
        <f>IF(V2415&gt;V2418,AV2413,IF(V2418&gt;V2415,AV2414,""))</f>
        <v xml:space="preserve">3:2 ( 7,-7,6,-5,6,, ) </v>
      </c>
      <c r="AC2413" s="255" t="str">
        <f>CONCATENATE("Tbl.: ",F2415,"   H: ",F2418,"   D: ",F2417)</f>
        <v>Tbl.: 4   H: 16.30   D: So</v>
      </c>
      <c r="AE2413" s="253" t="s">
        <v>11</v>
      </c>
      <c r="AV2413" s="256" t="str">
        <f>CONCATENATE(V2415,":",V2418, " ( ",AN2415,",",AO2415,",",AP2415,",",AQ2415,",",AR2415,",",AS2415,",",AT2415," ) ")</f>
        <v xml:space="preserve">2:3 ( -7,7,-6,5,-6,, ) </v>
      </c>
    </row>
    <row r="2414" spans="1:53" ht="39.950000000000003" customHeight="1">
      <c r="E2414" s="264"/>
      <c r="F2414" s="265"/>
      <c r="G2414" s="321" t="s">
        <v>500</v>
      </c>
      <c r="H2414" s="323" t="s">
        <v>502</v>
      </c>
      <c r="I2414" s="263"/>
      <c r="J2414" s="263"/>
      <c r="K2414" s="263"/>
      <c r="L2414" s="263"/>
      <c r="M2414" s="263"/>
      <c r="N2414" s="266">
        <v>1</v>
      </c>
      <c r="O2414" s="266">
        <v>2</v>
      </c>
      <c r="P2414" s="266">
        <v>3</v>
      </c>
      <c r="Q2414" s="266">
        <v>4</v>
      </c>
      <c r="R2414" s="266">
        <v>5</v>
      </c>
      <c r="S2414" s="266">
        <v>6</v>
      </c>
      <c r="T2414" s="266">
        <v>7</v>
      </c>
      <c r="U2414" s="263"/>
      <c r="V2414" s="266" t="s">
        <v>31</v>
      </c>
      <c r="W2414" s="267"/>
      <c r="X2414" s="263"/>
      <c r="AE2414" s="253" t="s">
        <v>68</v>
      </c>
      <c r="AV2414" s="256" t="str">
        <f>CONCATENATE(V2418,":",V2415, " ( ",AN2416,",",AO2416,",",AP2416,",",AQ2416,",",AR2416,",",AS2416,",",AT2416," ) ")</f>
        <v xml:space="preserve">3:2 ( 7,-7,6,-5,6,, ) </v>
      </c>
    </row>
    <row r="2415" spans="1:53" ht="39.950000000000003" customHeight="1">
      <c r="A2415" s="252" t="str">
        <f>CONCATENATE(A2413,1)</f>
        <v>CHP121</v>
      </c>
      <c r="E2415" s="264" t="s">
        <v>29</v>
      </c>
      <c r="F2415" s="265">
        <f>VLOOKUP(CONCATENATE(A2413,1),'zoznam zapasov'!$A$6:$K$160,11,0)</f>
        <v>4</v>
      </c>
      <c r="G2415" s="508"/>
      <c r="H2415" s="495"/>
      <c r="I2415" s="487" t="str">
        <f>IF(ISERROR(VLOOKUP(A2415,'KO KODY SPOLU'!$A$3:$B$189,2,0))=TRUE,"",VLOOKUP(A2415,'KO KODY SPOLU'!$A$3:$B$189,2,0))</f>
        <v>KLAJBER Adam</v>
      </c>
      <c r="J2415" s="487"/>
      <c r="K2415" s="487"/>
      <c r="L2415" s="487"/>
      <c r="M2415" s="263"/>
      <c r="N2415" s="489">
        <v>7</v>
      </c>
      <c r="O2415" s="489">
        <v>11</v>
      </c>
      <c r="P2415" s="489">
        <v>6</v>
      </c>
      <c r="Q2415" s="489">
        <v>11</v>
      </c>
      <c r="R2415" s="489">
        <v>6</v>
      </c>
      <c r="S2415" s="489"/>
      <c r="T2415" s="489"/>
      <c r="U2415" s="263"/>
      <c r="V2415" s="493">
        <f>IF(SUM(AF2415:AL2416)=0,"",SUM(AF2415:AL2415))</f>
        <v>2</v>
      </c>
      <c r="W2415" s="267"/>
      <c r="X2415" s="263"/>
      <c r="AE2415" s="253" t="str">
        <f>VLOOKUP(I2415,vylosovanie!$F$8:$L$190,7,0)</f>
        <v>CH32</v>
      </c>
      <c r="AF2415" s="268">
        <f>IF(N2415&gt;N2418,1,0)</f>
        <v>0</v>
      </c>
      <c r="AG2415" s="268">
        <f t="shared" ref="AG2415" si="2220">IF(O2415&gt;O2418,1,0)</f>
        <v>1</v>
      </c>
      <c r="AH2415" s="268">
        <f t="shared" ref="AH2415" si="2221">IF(P2415&gt;P2418,1,0)</f>
        <v>0</v>
      </c>
      <c r="AI2415" s="268">
        <f t="shared" ref="AI2415" si="2222">IF(Q2415&gt;Q2418,1,0)</f>
        <v>1</v>
      </c>
      <c r="AJ2415" s="268">
        <f t="shared" ref="AJ2415" si="2223">IF(R2415&gt;R2418,1,0)</f>
        <v>0</v>
      </c>
      <c r="AK2415" s="268">
        <f t="shared" ref="AK2415" si="2224">IF(S2415&gt;S2418,1,0)</f>
        <v>0</v>
      </c>
      <c r="AL2415" s="268">
        <f t="shared" ref="AL2415" si="2225">IF(T2415&gt;T2418,1,0)</f>
        <v>0</v>
      </c>
      <c r="AN2415" s="268">
        <f t="shared" ref="AN2415" si="2226">IF(ISBLANK(N2415)=TRUE,"",IF(AF2415=1,N2418,-N2415))</f>
        <v>-7</v>
      </c>
      <c r="AO2415" s="268">
        <f t="shared" ref="AO2415" si="2227">IF(ISBLANK(O2415)=TRUE,"",IF(AG2415=1,O2418,-O2415))</f>
        <v>7</v>
      </c>
      <c r="AP2415" s="268">
        <f t="shared" ref="AP2415" si="2228">IF(ISBLANK(P2415)=TRUE,"",IF(AH2415=1,P2418,-P2415))</f>
        <v>-6</v>
      </c>
      <c r="AQ2415" s="268">
        <f t="shared" ref="AQ2415" si="2229">IF(ISBLANK(Q2415)=TRUE,"",IF(AI2415=1,Q2418,-Q2415))</f>
        <v>5</v>
      </c>
      <c r="AR2415" s="268">
        <f t="shared" ref="AR2415" si="2230">IF(ISBLANK(R2415)=TRUE,"",IF(AJ2415=1,R2418,-R2415))</f>
        <v>-6</v>
      </c>
      <c r="AS2415" s="268" t="str">
        <f t="shared" ref="AS2415" si="2231">IF(ISBLANK(S2415)=TRUE,"",IF(AK2415=1,S2418,-S2415))</f>
        <v/>
      </c>
      <c r="AT2415" s="268" t="str">
        <f t="shared" ref="AT2415" si="2232">IF(ISBLANK(T2415)=TRUE,"",IF(AL2415=1,T2418,-T2415))</f>
        <v/>
      </c>
      <c r="AZ2415" s="269" t="s">
        <v>12</v>
      </c>
      <c r="BA2415" s="269">
        <v>1</v>
      </c>
    </row>
    <row r="2416" spans="1:53" ht="39.950000000000003" customHeight="1">
      <c r="E2416" s="264"/>
      <c r="F2416" s="265"/>
      <c r="G2416" s="509"/>
      <c r="H2416" s="495"/>
      <c r="I2416" s="487"/>
      <c r="J2416" s="487"/>
      <c r="K2416" s="487"/>
      <c r="L2416" s="487"/>
      <c r="M2416" s="263"/>
      <c r="N2416" s="490"/>
      <c r="O2416" s="490"/>
      <c r="P2416" s="490"/>
      <c r="Q2416" s="490"/>
      <c r="R2416" s="490"/>
      <c r="S2416" s="490"/>
      <c r="T2416" s="490"/>
      <c r="U2416" s="263"/>
      <c r="V2416" s="493"/>
      <c r="W2416" s="267"/>
      <c r="X2416" s="263"/>
      <c r="AE2416" s="253" t="str">
        <f>VLOOKUP(I2418,vylosovanie!$F$8:$L$190,7,0)</f>
        <v>CH21</v>
      </c>
      <c r="AF2416" s="268">
        <f>IF(N2418&gt;N2415,1,0)</f>
        <v>1</v>
      </c>
      <c r="AG2416" s="268">
        <f t="shared" ref="AG2416" si="2233">IF(O2418&gt;O2415,1,0)</f>
        <v>0</v>
      </c>
      <c r="AH2416" s="268">
        <f t="shared" ref="AH2416" si="2234">IF(P2418&gt;P2415,1,0)</f>
        <v>1</v>
      </c>
      <c r="AI2416" s="268">
        <f t="shared" ref="AI2416" si="2235">IF(Q2418&gt;Q2415,1,0)</f>
        <v>0</v>
      </c>
      <c r="AJ2416" s="268">
        <f t="shared" ref="AJ2416" si="2236">IF(R2418&gt;R2415,1,0)</f>
        <v>1</v>
      </c>
      <c r="AK2416" s="268">
        <f t="shared" ref="AK2416" si="2237">IF(S2418&gt;S2415,1,0)</f>
        <v>0</v>
      </c>
      <c r="AL2416" s="268">
        <f t="shared" ref="AL2416" si="2238">IF(T2418&gt;T2415,1,0)</f>
        <v>0</v>
      </c>
      <c r="AN2416" s="268">
        <f t="shared" ref="AN2416" si="2239">IF(ISBLANK(N2418)=TRUE,"",IF(AF2416=1,N2415,-N2418))</f>
        <v>7</v>
      </c>
      <c r="AO2416" s="268">
        <f t="shared" ref="AO2416" si="2240">IF(ISBLANK(O2418)=TRUE,"",IF(AG2416=1,O2415,-O2418))</f>
        <v>-7</v>
      </c>
      <c r="AP2416" s="268">
        <f t="shared" ref="AP2416" si="2241">IF(ISBLANK(P2418)=TRUE,"",IF(AH2416=1,P2415,-P2418))</f>
        <v>6</v>
      </c>
      <c r="AQ2416" s="268">
        <f t="shared" ref="AQ2416" si="2242">IF(ISBLANK(Q2418)=TRUE,"",IF(AI2416=1,Q2415,-Q2418))</f>
        <v>-5</v>
      </c>
      <c r="AR2416" s="268">
        <f t="shared" ref="AR2416" si="2243">IF(ISBLANK(R2418)=TRUE,"",IF(AJ2416=1,R2415,-R2418))</f>
        <v>6</v>
      </c>
      <c r="AS2416" s="268" t="str">
        <f t="shared" ref="AS2416" si="2244">IF(ISBLANK(S2418)=TRUE,"",IF(AK2416=1,S2415,-S2418))</f>
        <v/>
      </c>
      <c r="AT2416" s="268" t="str">
        <f t="shared" ref="AT2416" si="2245">IF(ISBLANK(T2418)=TRUE,"",IF(AL2416=1,T2415,-T2418))</f>
        <v/>
      </c>
      <c r="AZ2416" s="269" t="s">
        <v>18</v>
      </c>
      <c r="BA2416" s="269">
        <v>2</v>
      </c>
    </row>
    <row r="2417" spans="1:53" ht="39.950000000000003" customHeight="1">
      <c r="E2417" s="264" t="s">
        <v>35</v>
      </c>
      <c r="F2417" s="265" t="str">
        <f>VLOOKUP(CONCATENATE(A2413,1),'zoznam zapasov'!$A$6:$K$160,9,0)</f>
        <v>So</v>
      </c>
      <c r="G2417" s="263"/>
      <c r="H2417" s="263"/>
      <c r="I2417" s="263"/>
      <c r="J2417" s="263"/>
      <c r="K2417" s="263"/>
      <c r="L2417" s="263"/>
      <c r="M2417" s="263"/>
      <c r="N2417" s="263"/>
      <c r="O2417" s="263"/>
      <c r="P2417" s="263"/>
      <c r="Q2417" s="263"/>
      <c r="R2417" s="263"/>
      <c r="S2417" s="263"/>
      <c r="T2417" s="263"/>
      <c r="U2417" s="263"/>
      <c r="V2417" s="263"/>
      <c r="W2417" s="267"/>
      <c r="X2417" s="263"/>
      <c r="AZ2417" s="269" t="s">
        <v>38</v>
      </c>
      <c r="BA2417" s="269">
        <v>3</v>
      </c>
    </row>
    <row r="2418" spans="1:53" ht="39.950000000000003" customHeight="1">
      <c r="A2418" s="252" t="str">
        <f>CONCATENATE(A2413,2)</f>
        <v>CHP122</v>
      </c>
      <c r="E2418" s="264" t="s">
        <v>28</v>
      </c>
      <c r="F2418" s="270" t="str">
        <f>VLOOKUP(CONCATENATE(A2413,1),'zoznam zapasov'!$A$6:$K$160,10,0)</f>
        <v>16.30</v>
      </c>
      <c r="G2418" s="508"/>
      <c r="H2418" s="486"/>
      <c r="I2418" s="487" t="str">
        <f>IF(ISERROR(VLOOKUP(A2418,'KO KODY SPOLU'!$A$3:$B$189,2,0))=TRUE,"",VLOOKUP(A2418,'KO KODY SPOLU'!$A$3:$B$189,2,0))</f>
        <v>KYSEL Martin</v>
      </c>
      <c r="J2418" s="487"/>
      <c r="K2418" s="487"/>
      <c r="L2418" s="487"/>
      <c r="M2418" s="263"/>
      <c r="N2418" s="489">
        <v>11</v>
      </c>
      <c r="O2418" s="489">
        <v>7</v>
      </c>
      <c r="P2418" s="489">
        <v>11</v>
      </c>
      <c r="Q2418" s="489">
        <v>5</v>
      </c>
      <c r="R2418" s="489">
        <v>11</v>
      </c>
      <c r="S2418" s="489"/>
      <c r="T2418" s="489"/>
      <c r="U2418" s="263"/>
      <c r="V2418" s="493">
        <f>IF(SUM(AF2415:AL2416)=0,"",SUM(AF2416:AL2416))</f>
        <v>3</v>
      </c>
      <c r="W2418" s="267"/>
      <c r="X2418" s="263"/>
      <c r="AZ2418" s="269" t="s">
        <v>39</v>
      </c>
      <c r="BA2418" s="269">
        <v>4</v>
      </c>
    </row>
    <row r="2419" spans="1:53" ht="39.950000000000003" customHeight="1">
      <c r="E2419" s="271"/>
      <c r="F2419" s="272"/>
      <c r="G2419" s="509"/>
      <c r="H2419" s="486"/>
      <c r="I2419" s="487"/>
      <c r="J2419" s="487"/>
      <c r="K2419" s="487"/>
      <c r="L2419" s="487"/>
      <c r="M2419" s="263"/>
      <c r="N2419" s="490"/>
      <c r="O2419" s="490"/>
      <c r="P2419" s="490"/>
      <c r="Q2419" s="490"/>
      <c r="R2419" s="490"/>
      <c r="S2419" s="490"/>
      <c r="T2419" s="490"/>
      <c r="U2419" s="263"/>
      <c r="V2419" s="493"/>
      <c r="W2419" s="267"/>
      <c r="X2419" s="263"/>
      <c r="AZ2419" s="269" t="s">
        <v>40</v>
      </c>
      <c r="BA2419" s="269">
        <v>5</v>
      </c>
    </row>
    <row r="2420" spans="1:53" ht="39.950000000000003" customHeight="1">
      <c r="E2420" s="264" t="s">
        <v>66</v>
      </c>
      <c r="F2420" s="265" t="s">
        <v>65</v>
      </c>
      <c r="G2420" s="263"/>
      <c r="H2420" s="263"/>
      <c r="I2420" s="263"/>
      <c r="J2420" s="263"/>
      <c r="K2420" s="263"/>
      <c r="L2420" s="263"/>
      <c r="M2420" s="263"/>
      <c r="N2420" s="263"/>
      <c r="O2420" s="263"/>
      <c r="P2420" s="263"/>
      <c r="Q2420" s="263"/>
      <c r="R2420" s="263"/>
      <c r="S2420" s="263"/>
      <c r="T2420" s="263"/>
      <c r="U2420" s="263"/>
      <c r="V2420" s="263"/>
      <c r="W2420" s="267"/>
      <c r="X2420" s="263"/>
      <c r="AZ2420" s="269" t="s">
        <v>41</v>
      </c>
      <c r="BA2420" s="269">
        <v>6</v>
      </c>
    </row>
    <row r="2421" spans="1:53" ht="39.950000000000003" customHeight="1">
      <c r="E2421" s="271"/>
      <c r="F2421" s="272"/>
      <c r="G2421" s="263"/>
      <c r="H2421" s="263"/>
      <c r="I2421" s="263" t="s">
        <v>32</v>
      </c>
      <c r="J2421" s="263"/>
      <c r="K2421" s="263"/>
      <c r="L2421" s="263"/>
      <c r="M2421" s="263"/>
      <c r="N2421" s="273"/>
      <c r="O2421" s="266"/>
      <c r="P2421" s="266" t="s">
        <v>34</v>
      </c>
      <c r="Q2421" s="266"/>
      <c r="R2421" s="266"/>
      <c r="S2421" s="266"/>
      <c r="T2421" s="266"/>
      <c r="U2421" s="263"/>
      <c r="V2421" s="263"/>
      <c r="W2421" s="267"/>
      <c r="X2421" s="263"/>
      <c r="AZ2421" s="269" t="s">
        <v>42</v>
      </c>
      <c r="BA2421" s="269">
        <v>7</v>
      </c>
    </row>
    <row r="2422" spans="1:53" ht="39.950000000000003" customHeight="1">
      <c r="E2422" s="264" t="s">
        <v>26</v>
      </c>
      <c r="F2422" s="265" t="s">
        <v>128</v>
      </c>
      <c r="G2422" s="263"/>
      <c r="H2422" s="263"/>
      <c r="I2422" s="486"/>
      <c r="J2422" s="486"/>
      <c r="K2422" s="486"/>
      <c r="L2422" s="486"/>
      <c r="M2422" s="263"/>
      <c r="N2422" s="486" t="str">
        <f>IF(V2415&gt;V2418,I2415,IF(V2418&gt;V2415,I2418,""))</f>
        <v>KYSEL Martin</v>
      </c>
      <c r="O2422" s="486"/>
      <c r="P2422" s="486"/>
      <c r="Q2422" s="486"/>
      <c r="R2422" s="486"/>
      <c r="S2422" s="486"/>
      <c r="T2422" s="263"/>
      <c r="U2422" s="263"/>
      <c r="V2422" s="263"/>
      <c r="W2422" s="267"/>
      <c r="X2422" s="263"/>
      <c r="AZ2422" s="269" t="s">
        <v>43</v>
      </c>
      <c r="BA2422" s="269">
        <v>8</v>
      </c>
    </row>
    <row r="2423" spans="1:53" ht="39.950000000000003" customHeight="1">
      <c r="E2423" s="271"/>
      <c r="F2423" s="272"/>
      <c r="G2423" s="263"/>
      <c r="H2423" s="263"/>
      <c r="I2423" s="486"/>
      <c r="J2423" s="486"/>
      <c r="K2423" s="486"/>
      <c r="L2423" s="486"/>
      <c r="M2423" s="263"/>
      <c r="N2423" s="486"/>
      <c r="O2423" s="486"/>
      <c r="P2423" s="486"/>
      <c r="Q2423" s="486"/>
      <c r="R2423" s="486"/>
      <c r="S2423" s="486"/>
      <c r="T2423" s="263"/>
      <c r="U2423" s="263"/>
      <c r="V2423" s="263"/>
      <c r="W2423" s="267"/>
      <c r="X2423" s="263"/>
    </row>
    <row r="2424" spans="1:53" ht="39.950000000000003" customHeight="1">
      <c r="E2424" s="264" t="s">
        <v>27</v>
      </c>
      <c r="F2424" s="274" t="s">
        <v>351</v>
      </c>
      <c r="G2424" s="263"/>
      <c r="H2424" s="263"/>
      <c r="I2424" s="263"/>
      <c r="J2424" s="263"/>
      <c r="K2424" s="263"/>
      <c r="L2424" s="263"/>
      <c r="M2424" s="263"/>
      <c r="N2424" s="263"/>
      <c r="O2424" s="263"/>
      <c r="P2424" s="263"/>
      <c r="Q2424" s="263"/>
      <c r="R2424" s="263"/>
      <c r="S2424" s="263"/>
      <c r="T2424" s="263"/>
      <c r="U2424" s="263"/>
      <c r="V2424" s="263"/>
      <c r="W2424" s="267"/>
      <c r="X2424" s="263"/>
    </row>
    <row r="2425" spans="1:53" ht="39.950000000000003" customHeight="1">
      <c r="E2425" s="271"/>
      <c r="F2425" s="272"/>
      <c r="G2425" s="263"/>
      <c r="H2425" s="263" t="s">
        <v>33</v>
      </c>
      <c r="I2425" s="263"/>
      <c r="J2425" s="263"/>
      <c r="K2425" s="263"/>
      <c r="L2425" s="263"/>
      <c r="M2425" s="263"/>
      <c r="N2425" s="263"/>
      <c r="O2425" s="263"/>
      <c r="P2425" s="263"/>
      <c r="Q2425" s="263"/>
      <c r="R2425" s="263"/>
      <c r="S2425" s="263"/>
      <c r="T2425" s="263"/>
      <c r="U2425" s="263"/>
      <c r="V2425" s="263"/>
      <c r="W2425" s="267"/>
      <c r="X2425" s="263"/>
    </row>
    <row r="2426" spans="1:53" ht="39.950000000000003" customHeight="1">
      <c r="E2426" s="271"/>
      <c r="F2426" s="272"/>
      <c r="G2426" s="263"/>
      <c r="H2426" s="263"/>
      <c r="I2426" s="263"/>
      <c r="J2426" s="263"/>
      <c r="K2426" s="263"/>
      <c r="L2426" s="263"/>
      <c r="M2426" s="263"/>
      <c r="N2426" s="263"/>
      <c r="O2426" s="263"/>
      <c r="P2426" s="263"/>
      <c r="Q2426" s="263"/>
      <c r="R2426" s="263"/>
      <c r="S2426" s="263"/>
      <c r="T2426" s="263"/>
      <c r="U2426" s="263"/>
      <c r="V2426" s="263"/>
      <c r="W2426" s="267"/>
      <c r="X2426" s="263"/>
    </row>
    <row r="2427" spans="1:53" ht="39.950000000000003" customHeight="1">
      <c r="E2427" s="271"/>
      <c r="F2427" s="272"/>
      <c r="G2427" s="263"/>
      <c r="H2427" s="263"/>
      <c r="I2427" s="496" t="str">
        <f>I2415</f>
        <v>KLAJBER Adam</v>
      </c>
      <c r="J2427" s="496"/>
      <c r="K2427" s="496"/>
      <c r="L2427" s="496"/>
      <c r="M2427" s="263"/>
      <c r="N2427" s="263"/>
      <c r="O2427" s="263"/>
      <c r="P2427" s="496" t="str">
        <f>I2418</f>
        <v>KYSEL Martin</v>
      </c>
      <c r="Q2427" s="496"/>
      <c r="R2427" s="496"/>
      <c r="S2427" s="496"/>
      <c r="T2427" s="497"/>
      <c r="U2427" s="497"/>
      <c r="V2427" s="263"/>
      <c r="W2427" s="267"/>
      <c r="X2427" s="263"/>
    </row>
    <row r="2428" spans="1:53" ht="69.95" customHeight="1">
      <c r="E2428" s="264"/>
      <c r="F2428" s="265"/>
      <c r="G2428" s="263"/>
      <c r="H2428" s="275" t="s">
        <v>36</v>
      </c>
      <c r="I2428" s="483"/>
      <c r="J2428" s="494"/>
      <c r="K2428" s="494"/>
      <c r="L2428" s="495"/>
      <c r="M2428" s="263"/>
      <c r="N2428" s="263"/>
      <c r="O2428" s="275" t="s">
        <v>36</v>
      </c>
      <c r="P2428" s="486"/>
      <c r="Q2428" s="486"/>
      <c r="R2428" s="486"/>
      <c r="S2428" s="486"/>
      <c r="T2428" s="486"/>
      <c r="U2428" s="486"/>
      <c r="V2428" s="263"/>
      <c r="W2428" s="267"/>
      <c r="X2428" s="263"/>
    </row>
    <row r="2429" spans="1:53" ht="69.95" customHeight="1">
      <c r="E2429" s="264"/>
      <c r="F2429" s="265"/>
      <c r="G2429" s="263"/>
      <c r="H2429" s="275" t="s">
        <v>37</v>
      </c>
      <c r="I2429" s="486"/>
      <c r="J2429" s="486"/>
      <c r="K2429" s="486"/>
      <c r="L2429" s="486"/>
      <c r="M2429" s="263"/>
      <c r="N2429" s="263"/>
      <c r="O2429" s="275" t="s">
        <v>37</v>
      </c>
      <c r="P2429" s="486"/>
      <c r="Q2429" s="486"/>
      <c r="R2429" s="486"/>
      <c r="S2429" s="486"/>
      <c r="T2429" s="486"/>
      <c r="U2429" s="486"/>
      <c r="V2429" s="263"/>
      <c r="W2429" s="267"/>
      <c r="X2429" s="263"/>
    </row>
    <row r="2430" spans="1:53" ht="69.95" customHeight="1">
      <c r="E2430" s="264"/>
      <c r="F2430" s="265"/>
      <c r="G2430" s="263"/>
      <c r="H2430" s="275" t="s">
        <v>37</v>
      </c>
      <c r="I2430" s="486"/>
      <c r="J2430" s="486"/>
      <c r="K2430" s="486"/>
      <c r="L2430" s="486"/>
      <c r="M2430" s="263"/>
      <c r="N2430" s="263"/>
      <c r="O2430" s="275" t="s">
        <v>37</v>
      </c>
      <c r="P2430" s="486"/>
      <c r="Q2430" s="486"/>
      <c r="R2430" s="486"/>
      <c r="S2430" s="486"/>
      <c r="T2430" s="486"/>
      <c r="U2430" s="486"/>
      <c r="V2430" s="263"/>
      <c r="W2430" s="267"/>
      <c r="X2430" s="263"/>
    </row>
    <row r="2431" spans="1:53" ht="39.950000000000003" customHeight="1" thickBot="1">
      <c r="E2431" s="276"/>
      <c r="F2431" s="277"/>
      <c r="G2431" s="278"/>
      <c r="H2431" s="278"/>
      <c r="I2431" s="278"/>
      <c r="J2431" s="278"/>
      <c r="K2431" s="278"/>
      <c r="L2431" s="278"/>
      <c r="M2431" s="278"/>
      <c r="N2431" s="278"/>
      <c r="O2431" s="278"/>
      <c r="P2431" s="278"/>
      <c r="Q2431" s="278"/>
      <c r="R2431" s="278"/>
      <c r="S2431" s="278"/>
      <c r="T2431" s="279"/>
      <c r="U2431" s="279"/>
      <c r="V2431" s="279"/>
      <c r="W2431" s="280"/>
      <c r="X2431" s="263"/>
    </row>
    <row r="2432" spans="1:53" ht="62.25" thickBot="1"/>
    <row r="2433" spans="1:53" ht="39.950000000000003" customHeight="1">
      <c r="A2433" s="252" t="str">
        <f>CONCATENATE(F2440,F2442,F2444)</f>
        <v>DP9</v>
      </c>
      <c r="E2433" s="259" t="s">
        <v>70</v>
      </c>
      <c r="F2433" s="260">
        <f>VLOOKUP(CONCATENATE(A2433,1),'zoznam zapasov'!$A$6:$K$160,3,0)</f>
        <v>121</v>
      </c>
      <c r="G2433" s="261"/>
      <c r="H2433" s="322" t="s">
        <v>501</v>
      </c>
      <c r="I2433" s="261"/>
      <c r="J2433" s="261"/>
      <c r="K2433" s="261"/>
      <c r="L2433" s="261"/>
      <c r="M2433" s="261"/>
      <c r="N2433" s="261"/>
      <c r="O2433" s="261"/>
      <c r="P2433" s="261"/>
      <c r="Q2433" s="261"/>
      <c r="R2433" s="261"/>
      <c r="S2433" s="261"/>
      <c r="T2433" s="261"/>
      <c r="U2433" s="261"/>
      <c r="V2433" s="261" t="s">
        <v>30</v>
      </c>
      <c r="W2433" s="262"/>
      <c r="X2433" s="263"/>
      <c r="Y2433" s="253" t="str">
        <f>A2435</f>
        <v>DP91</v>
      </c>
      <c r="Z2433" s="258" t="str">
        <f>CONCATENATE(V2435,":",V2438)</f>
        <v>3:0</v>
      </c>
      <c r="AA2433" s="255" t="str">
        <f>N2442</f>
        <v>LABOŠOVÁ Ema</v>
      </c>
      <c r="AB2433" s="255" t="str">
        <f>IF(V2435&gt;V2438,AV2433,IF(V2438&gt;V2435,AV2434,""))</f>
        <v xml:space="preserve">3:0 ( 11,12,8,,,, ) </v>
      </c>
      <c r="AC2433" s="255" t="str">
        <f>CONCATENATE("Tbl.: ",F2435,"   H: ",F2438,"   D: ",F2437)</f>
        <v>Tbl.: 5   H: 16.30   D: So</v>
      </c>
      <c r="AE2433" s="253" t="s">
        <v>11</v>
      </c>
      <c r="AV2433" s="256" t="str">
        <f>CONCATENATE(V2435,":",V2438, " ( ",AN2435,",",AO2435,",",AP2435,",",AQ2435,",",AR2435,",",AS2435,",",AT2435," ) ")</f>
        <v xml:space="preserve">3:0 ( 11,12,8,,,, ) </v>
      </c>
    </row>
    <row r="2434" spans="1:53" ht="39.950000000000003" customHeight="1">
      <c r="E2434" s="264"/>
      <c r="F2434" s="265"/>
      <c r="G2434" s="321" t="s">
        <v>500</v>
      </c>
      <c r="H2434" s="323" t="s">
        <v>502</v>
      </c>
      <c r="I2434" s="263"/>
      <c r="J2434" s="263"/>
      <c r="K2434" s="263"/>
      <c r="L2434" s="263"/>
      <c r="M2434" s="263"/>
      <c r="N2434" s="266">
        <v>1</v>
      </c>
      <c r="O2434" s="266">
        <v>2</v>
      </c>
      <c r="P2434" s="266">
        <v>3</v>
      </c>
      <c r="Q2434" s="266">
        <v>4</v>
      </c>
      <c r="R2434" s="266">
        <v>5</v>
      </c>
      <c r="S2434" s="266">
        <v>6</v>
      </c>
      <c r="T2434" s="266">
        <v>7</v>
      </c>
      <c r="U2434" s="263"/>
      <c r="V2434" s="266" t="s">
        <v>31</v>
      </c>
      <c r="W2434" s="267"/>
      <c r="X2434" s="263"/>
      <c r="AE2434" s="253" t="s">
        <v>68</v>
      </c>
      <c r="AV2434" s="256" t="str">
        <f>CONCATENATE(V2438,":",V2435, " ( ",AN2436,",",AO2436,",",AP2436,",",AQ2436,",",AR2436,",",AS2436,",",AT2436," ) ")</f>
        <v xml:space="preserve">0:3 ( -11,-12,-8,,,, ) </v>
      </c>
    </row>
    <row r="2435" spans="1:53" ht="39.950000000000003" customHeight="1">
      <c r="A2435" s="252" t="str">
        <f>CONCATENATE(A2433,1)</f>
        <v>DP91</v>
      </c>
      <c r="E2435" s="264" t="s">
        <v>29</v>
      </c>
      <c r="F2435" s="265">
        <f>VLOOKUP(CONCATENATE(A2433,1),'zoznam zapasov'!$A$6:$K$160,11,0)</f>
        <v>5</v>
      </c>
      <c r="G2435" s="508"/>
      <c r="H2435" s="495"/>
      <c r="I2435" s="487" t="str">
        <f>IF(ISERROR(VLOOKUP(A2435,'KO KODY SPOLU'!$A$3:$B$189,2,0))=TRUE,"",VLOOKUP(A2435,'KO KODY SPOLU'!$A$3:$B$189,2,0))</f>
        <v>LABOŠOVÁ Ema</v>
      </c>
      <c r="J2435" s="487"/>
      <c r="K2435" s="487"/>
      <c r="L2435" s="487"/>
      <c r="M2435" s="263"/>
      <c r="N2435" s="489">
        <v>13</v>
      </c>
      <c r="O2435" s="489">
        <v>14</v>
      </c>
      <c r="P2435" s="489">
        <v>11</v>
      </c>
      <c r="Q2435" s="489"/>
      <c r="R2435" s="489"/>
      <c r="S2435" s="489"/>
      <c r="T2435" s="489"/>
      <c r="U2435" s="263"/>
      <c r="V2435" s="493">
        <f>IF(SUM(AF2435:AL2436)=0,"",SUM(AF2435:AL2435))</f>
        <v>3</v>
      </c>
      <c r="W2435" s="267"/>
      <c r="X2435" s="263"/>
      <c r="AE2435" s="253" t="str">
        <f>VLOOKUP(I2435,vylosovanie!$F$8:$L$190,7,0)</f>
        <v>D11</v>
      </c>
      <c r="AF2435" s="268">
        <f>IF(N2435&gt;N2438,1,0)</f>
        <v>1</v>
      </c>
      <c r="AG2435" s="268">
        <f t="shared" ref="AG2435" si="2246">IF(O2435&gt;O2438,1,0)</f>
        <v>1</v>
      </c>
      <c r="AH2435" s="268">
        <f t="shared" ref="AH2435" si="2247">IF(P2435&gt;P2438,1,0)</f>
        <v>1</v>
      </c>
      <c r="AI2435" s="268">
        <f t="shared" ref="AI2435" si="2248">IF(Q2435&gt;Q2438,1,0)</f>
        <v>0</v>
      </c>
      <c r="AJ2435" s="268">
        <f t="shared" ref="AJ2435" si="2249">IF(R2435&gt;R2438,1,0)</f>
        <v>0</v>
      </c>
      <c r="AK2435" s="268">
        <f t="shared" ref="AK2435" si="2250">IF(S2435&gt;S2438,1,0)</f>
        <v>0</v>
      </c>
      <c r="AL2435" s="268">
        <f t="shared" ref="AL2435" si="2251">IF(T2435&gt;T2438,1,0)</f>
        <v>0</v>
      </c>
      <c r="AN2435" s="268">
        <f t="shared" ref="AN2435" si="2252">IF(ISBLANK(N2435)=TRUE,"",IF(AF2435=1,N2438,-N2435))</f>
        <v>11</v>
      </c>
      <c r="AO2435" s="268">
        <f t="shared" ref="AO2435" si="2253">IF(ISBLANK(O2435)=TRUE,"",IF(AG2435=1,O2438,-O2435))</f>
        <v>12</v>
      </c>
      <c r="AP2435" s="268">
        <f t="shared" ref="AP2435" si="2254">IF(ISBLANK(P2435)=TRUE,"",IF(AH2435=1,P2438,-P2435))</f>
        <v>8</v>
      </c>
      <c r="AQ2435" s="268" t="str">
        <f t="shared" ref="AQ2435" si="2255">IF(ISBLANK(Q2435)=TRUE,"",IF(AI2435=1,Q2438,-Q2435))</f>
        <v/>
      </c>
      <c r="AR2435" s="268" t="str">
        <f t="shared" ref="AR2435" si="2256">IF(ISBLANK(R2435)=TRUE,"",IF(AJ2435=1,R2438,-R2435))</f>
        <v/>
      </c>
      <c r="AS2435" s="268" t="str">
        <f t="shared" ref="AS2435" si="2257">IF(ISBLANK(S2435)=TRUE,"",IF(AK2435=1,S2438,-S2435))</f>
        <v/>
      </c>
      <c r="AT2435" s="268" t="str">
        <f t="shared" ref="AT2435" si="2258">IF(ISBLANK(T2435)=TRUE,"",IF(AL2435=1,T2438,-T2435))</f>
        <v/>
      </c>
      <c r="AZ2435" s="269" t="s">
        <v>12</v>
      </c>
      <c r="BA2435" s="269">
        <v>1</v>
      </c>
    </row>
    <row r="2436" spans="1:53" ht="39.950000000000003" customHeight="1">
      <c r="E2436" s="264"/>
      <c r="F2436" s="265"/>
      <c r="G2436" s="509"/>
      <c r="H2436" s="495"/>
      <c r="I2436" s="487"/>
      <c r="J2436" s="487"/>
      <c r="K2436" s="487"/>
      <c r="L2436" s="487"/>
      <c r="M2436" s="263"/>
      <c r="N2436" s="490"/>
      <c r="O2436" s="490"/>
      <c r="P2436" s="490"/>
      <c r="Q2436" s="490"/>
      <c r="R2436" s="490"/>
      <c r="S2436" s="490"/>
      <c r="T2436" s="490"/>
      <c r="U2436" s="263"/>
      <c r="V2436" s="493"/>
      <c r="W2436" s="267"/>
      <c r="X2436" s="263"/>
      <c r="AE2436" s="253" t="str">
        <f>VLOOKUP(I2438,vylosovanie!$F$8:$L$190,7,0)</f>
        <v>D81</v>
      </c>
      <c r="AF2436" s="268">
        <f>IF(N2438&gt;N2435,1,0)</f>
        <v>0</v>
      </c>
      <c r="AG2436" s="268">
        <f t="shared" ref="AG2436" si="2259">IF(O2438&gt;O2435,1,0)</f>
        <v>0</v>
      </c>
      <c r="AH2436" s="268">
        <f t="shared" ref="AH2436" si="2260">IF(P2438&gt;P2435,1,0)</f>
        <v>0</v>
      </c>
      <c r="AI2436" s="268">
        <f t="shared" ref="AI2436" si="2261">IF(Q2438&gt;Q2435,1,0)</f>
        <v>0</v>
      </c>
      <c r="AJ2436" s="268">
        <f t="shared" ref="AJ2436" si="2262">IF(R2438&gt;R2435,1,0)</f>
        <v>0</v>
      </c>
      <c r="AK2436" s="268">
        <f t="shared" ref="AK2436" si="2263">IF(S2438&gt;S2435,1,0)</f>
        <v>0</v>
      </c>
      <c r="AL2436" s="268">
        <f t="shared" ref="AL2436" si="2264">IF(T2438&gt;T2435,1,0)</f>
        <v>0</v>
      </c>
      <c r="AN2436" s="268">
        <f t="shared" ref="AN2436" si="2265">IF(ISBLANK(N2438)=TRUE,"",IF(AF2436=1,N2435,-N2438))</f>
        <v>-11</v>
      </c>
      <c r="AO2436" s="268">
        <f t="shared" ref="AO2436" si="2266">IF(ISBLANK(O2438)=TRUE,"",IF(AG2436=1,O2435,-O2438))</f>
        <v>-12</v>
      </c>
      <c r="AP2436" s="268">
        <f t="shared" ref="AP2436" si="2267">IF(ISBLANK(P2438)=TRUE,"",IF(AH2436=1,P2435,-P2438))</f>
        <v>-8</v>
      </c>
      <c r="AQ2436" s="268" t="str">
        <f t="shared" ref="AQ2436" si="2268">IF(ISBLANK(Q2438)=TRUE,"",IF(AI2436=1,Q2435,-Q2438))</f>
        <v/>
      </c>
      <c r="AR2436" s="268" t="str">
        <f t="shared" ref="AR2436" si="2269">IF(ISBLANK(R2438)=TRUE,"",IF(AJ2436=1,R2435,-R2438))</f>
        <v/>
      </c>
      <c r="AS2436" s="268" t="str">
        <f t="shared" ref="AS2436" si="2270">IF(ISBLANK(S2438)=TRUE,"",IF(AK2436=1,S2435,-S2438))</f>
        <v/>
      </c>
      <c r="AT2436" s="268" t="str">
        <f t="shared" ref="AT2436" si="2271">IF(ISBLANK(T2438)=TRUE,"",IF(AL2436=1,T2435,-T2438))</f>
        <v/>
      </c>
      <c r="AZ2436" s="269" t="s">
        <v>18</v>
      </c>
      <c r="BA2436" s="269">
        <v>2</v>
      </c>
    </row>
    <row r="2437" spans="1:53" ht="39.950000000000003" customHeight="1">
      <c r="E2437" s="264" t="s">
        <v>35</v>
      </c>
      <c r="F2437" s="265" t="str">
        <f>VLOOKUP(CONCATENATE(A2433,1),'zoznam zapasov'!$A$6:$K$160,9,0)</f>
        <v>So</v>
      </c>
      <c r="G2437" s="263"/>
      <c r="H2437" s="263"/>
      <c r="I2437" s="263"/>
      <c r="J2437" s="263"/>
      <c r="K2437" s="263"/>
      <c r="L2437" s="263"/>
      <c r="M2437" s="263"/>
      <c r="N2437" s="263"/>
      <c r="O2437" s="263"/>
      <c r="P2437" s="263"/>
      <c r="Q2437" s="263"/>
      <c r="R2437" s="263"/>
      <c r="S2437" s="263"/>
      <c r="T2437" s="263"/>
      <c r="U2437" s="263"/>
      <c r="V2437" s="263"/>
      <c r="W2437" s="267"/>
      <c r="X2437" s="263"/>
      <c r="AZ2437" s="269" t="s">
        <v>38</v>
      </c>
      <c r="BA2437" s="269">
        <v>3</v>
      </c>
    </row>
    <row r="2438" spans="1:53" ht="39.950000000000003" customHeight="1">
      <c r="A2438" s="252" t="str">
        <f>CONCATENATE(A2433,2)</f>
        <v>DP92</v>
      </c>
      <c r="E2438" s="264" t="s">
        <v>28</v>
      </c>
      <c r="F2438" s="270" t="str">
        <f>VLOOKUP(CONCATENATE(A2433,1),'zoznam zapasov'!$A$6:$K$160,10,0)</f>
        <v>16.30</v>
      </c>
      <c r="G2438" s="508"/>
      <c r="H2438" s="486"/>
      <c r="I2438" s="487" t="str">
        <f>IF(ISERROR(VLOOKUP(A2438,'KO KODY SPOLU'!$A$3:$B$189,2,0))=TRUE,"",VLOOKUP(A2438,'KO KODY SPOLU'!$A$3:$B$189,2,0))</f>
        <v>TEREZKOVÁ Jana</v>
      </c>
      <c r="J2438" s="487"/>
      <c r="K2438" s="487"/>
      <c r="L2438" s="487"/>
      <c r="M2438" s="263"/>
      <c r="N2438" s="489">
        <v>11</v>
      </c>
      <c r="O2438" s="489">
        <v>12</v>
      </c>
      <c r="P2438" s="489">
        <v>8</v>
      </c>
      <c r="Q2438" s="489"/>
      <c r="R2438" s="489"/>
      <c r="S2438" s="489"/>
      <c r="T2438" s="489"/>
      <c r="U2438" s="263"/>
      <c r="V2438" s="493">
        <f>IF(SUM(AF2435:AL2436)=0,"",SUM(AF2436:AL2436))</f>
        <v>0</v>
      </c>
      <c r="W2438" s="267"/>
      <c r="X2438" s="263"/>
      <c r="AZ2438" s="269" t="s">
        <v>39</v>
      </c>
      <c r="BA2438" s="269">
        <v>4</v>
      </c>
    </row>
    <row r="2439" spans="1:53" ht="39.950000000000003" customHeight="1">
      <c r="E2439" s="271"/>
      <c r="F2439" s="272"/>
      <c r="G2439" s="509"/>
      <c r="H2439" s="486"/>
      <c r="I2439" s="487"/>
      <c r="J2439" s="487"/>
      <c r="K2439" s="487"/>
      <c r="L2439" s="487"/>
      <c r="M2439" s="263"/>
      <c r="N2439" s="490"/>
      <c r="O2439" s="490"/>
      <c r="P2439" s="490"/>
      <c r="Q2439" s="490"/>
      <c r="R2439" s="490"/>
      <c r="S2439" s="490"/>
      <c r="T2439" s="490"/>
      <c r="U2439" s="263"/>
      <c r="V2439" s="493"/>
      <c r="W2439" s="267"/>
      <c r="X2439" s="263"/>
      <c r="AZ2439" s="269" t="s">
        <v>40</v>
      </c>
      <c r="BA2439" s="269">
        <v>5</v>
      </c>
    </row>
    <row r="2440" spans="1:53" ht="39.950000000000003" customHeight="1">
      <c r="E2440" s="264" t="s">
        <v>66</v>
      </c>
      <c r="F2440" s="265" t="s">
        <v>39</v>
      </c>
      <c r="G2440" s="263"/>
      <c r="H2440" s="263"/>
      <c r="I2440" s="263"/>
      <c r="J2440" s="263"/>
      <c r="K2440" s="263"/>
      <c r="L2440" s="263"/>
      <c r="M2440" s="263"/>
      <c r="N2440" s="263"/>
      <c r="O2440" s="263"/>
      <c r="P2440" s="263"/>
      <c r="Q2440" s="263"/>
      <c r="R2440" s="263"/>
      <c r="S2440" s="263"/>
      <c r="T2440" s="263"/>
      <c r="U2440" s="263"/>
      <c r="V2440" s="263"/>
      <c r="W2440" s="267"/>
      <c r="X2440" s="263"/>
      <c r="AZ2440" s="269" t="s">
        <v>41</v>
      </c>
      <c r="BA2440" s="269">
        <v>6</v>
      </c>
    </row>
    <row r="2441" spans="1:53" ht="39.950000000000003" customHeight="1">
      <c r="E2441" s="271"/>
      <c r="F2441" s="272"/>
      <c r="G2441" s="263"/>
      <c r="H2441" s="263"/>
      <c r="I2441" s="263" t="s">
        <v>32</v>
      </c>
      <c r="J2441" s="263"/>
      <c r="K2441" s="263"/>
      <c r="L2441" s="263"/>
      <c r="M2441" s="263"/>
      <c r="N2441" s="273"/>
      <c r="O2441" s="266"/>
      <c r="P2441" s="266" t="s">
        <v>34</v>
      </c>
      <c r="Q2441" s="266"/>
      <c r="R2441" s="266"/>
      <c r="S2441" s="266"/>
      <c r="T2441" s="266"/>
      <c r="U2441" s="263"/>
      <c r="V2441" s="263"/>
      <c r="W2441" s="267"/>
      <c r="X2441" s="263"/>
      <c r="AZ2441" s="269" t="s">
        <v>42</v>
      </c>
      <c r="BA2441" s="269">
        <v>7</v>
      </c>
    </row>
    <row r="2442" spans="1:53" ht="39.950000000000003" customHeight="1">
      <c r="E2442" s="264" t="s">
        <v>26</v>
      </c>
      <c r="F2442" s="265" t="s">
        <v>128</v>
      </c>
      <c r="G2442" s="263"/>
      <c r="H2442" s="263"/>
      <c r="I2442" s="486"/>
      <c r="J2442" s="486"/>
      <c r="K2442" s="486"/>
      <c r="L2442" s="486"/>
      <c r="M2442" s="263"/>
      <c r="N2442" s="486" t="str">
        <f>IF(V2435&gt;V2438,I2435,IF(V2438&gt;V2435,I2438,""))</f>
        <v>LABOŠOVÁ Ema</v>
      </c>
      <c r="O2442" s="486"/>
      <c r="P2442" s="486"/>
      <c r="Q2442" s="486"/>
      <c r="R2442" s="486"/>
      <c r="S2442" s="486"/>
      <c r="T2442" s="263"/>
      <c r="U2442" s="263"/>
      <c r="V2442" s="263"/>
      <c r="W2442" s="267"/>
      <c r="X2442" s="263"/>
      <c r="AZ2442" s="269" t="s">
        <v>43</v>
      </c>
      <c r="BA2442" s="269">
        <v>8</v>
      </c>
    </row>
    <row r="2443" spans="1:53" ht="39.950000000000003" customHeight="1">
      <c r="E2443" s="271"/>
      <c r="F2443" s="272"/>
      <c r="G2443" s="263"/>
      <c r="H2443" s="263"/>
      <c r="I2443" s="486"/>
      <c r="J2443" s="486"/>
      <c r="K2443" s="486"/>
      <c r="L2443" s="486"/>
      <c r="M2443" s="263"/>
      <c r="N2443" s="486"/>
      <c r="O2443" s="486"/>
      <c r="P2443" s="486"/>
      <c r="Q2443" s="486"/>
      <c r="R2443" s="486"/>
      <c r="S2443" s="486"/>
      <c r="T2443" s="263"/>
      <c r="U2443" s="263"/>
      <c r="V2443" s="263"/>
      <c r="W2443" s="267"/>
      <c r="X2443" s="263"/>
    </row>
    <row r="2444" spans="1:53" ht="39.950000000000003" customHeight="1">
      <c r="E2444" s="264" t="s">
        <v>27</v>
      </c>
      <c r="F2444" s="274" t="s">
        <v>348</v>
      </c>
      <c r="G2444" s="263"/>
      <c r="H2444" s="263"/>
      <c r="I2444" s="263"/>
      <c r="J2444" s="263"/>
      <c r="K2444" s="263"/>
      <c r="L2444" s="263"/>
      <c r="M2444" s="263"/>
      <c r="N2444" s="263"/>
      <c r="O2444" s="263"/>
      <c r="P2444" s="263"/>
      <c r="Q2444" s="263"/>
      <c r="R2444" s="263"/>
      <c r="S2444" s="263"/>
      <c r="T2444" s="263"/>
      <c r="U2444" s="263"/>
      <c r="V2444" s="263"/>
      <c r="W2444" s="267"/>
      <c r="X2444" s="263"/>
    </row>
    <row r="2445" spans="1:53" ht="39.950000000000003" customHeight="1">
      <c r="E2445" s="271"/>
      <c r="F2445" s="272"/>
      <c r="G2445" s="263"/>
      <c r="H2445" s="263" t="s">
        <v>33</v>
      </c>
      <c r="I2445" s="263"/>
      <c r="J2445" s="263"/>
      <c r="K2445" s="263"/>
      <c r="L2445" s="263"/>
      <c r="M2445" s="263"/>
      <c r="N2445" s="263"/>
      <c r="O2445" s="263"/>
      <c r="P2445" s="263"/>
      <c r="Q2445" s="263"/>
      <c r="R2445" s="263"/>
      <c r="S2445" s="263"/>
      <c r="T2445" s="263"/>
      <c r="U2445" s="263"/>
      <c r="V2445" s="263"/>
      <c r="W2445" s="267"/>
      <c r="X2445" s="263"/>
    </row>
    <row r="2446" spans="1:53" ht="39.950000000000003" customHeight="1">
      <c r="E2446" s="271"/>
      <c r="F2446" s="272"/>
      <c r="G2446" s="263"/>
      <c r="H2446" s="263"/>
      <c r="I2446" s="263"/>
      <c r="J2446" s="263"/>
      <c r="K2446" s="263"/>
      <c r="L2446" s="263"/>
      <c r="M2446" s="263"/>
      <c r="N2446" s="263"/>
      <c r="O2446" s="263"/>
      <c r="P2446" s="263"/>
      <c r="Q2446" s="263"/>
      <c r="R2446" s="263"/>
      <c r="S2446" s="263"/>
      <c r="T2446" s="263"/>
      <c r="U2446" s="263"/>
      <c r="V2446" s="263"/>
      <c r="W2446" s="267"/>
      <c r="X2446" s="263"/>
    </row>
    <row r="2447" spans="1:53" ht="39.950000000000003" customHeight="1">
      <c r="E2447" s="271"/>
      <c r="F2447" s="272"/>
      <c r="G2447" s="263"/>
      <c r="H2447" s="263"/>
      <c r="I2447" s="496" t="str">
        <f>I2435</f>
        <v>LABOŠOVÁ Ema</v>
      </c>
      <c r="J2447" s="496"/>
      <c r="K2447" s="496"/>
      <c r="L2447" s="496"/>
      <c r="M2447" s="263"/>
      <c r="N2447" s="263"/>
      <c r="O2447" s="263"/>
      <c r="P2447" s="496" t="str">
        <f>I2438</f>
        <v>TEREZKOVÁ Jana</v>
      </c>
      <c r="Q2447" s="496"/>
      <c r="R2447" s="496"/>
      <c r="S2447" s="496"/>
      <c r="T2447" s="497"/>
      <c r="U2447" s="497"/>
      <c r="V2447" s="263"/>
      <c r="W2447" s="267"/>
      <c r="X2447" s="263"/>
    </row>
    <row r="2448" spans="1:53" ht="69.95" customHeight="1">
      <c r="E2448" s="264"/>
      <c r="F2448" s="265"/>
      <c r="G2448" s="263"/>
      <c r="H2448" s="275" t="s">
        <v>36</v>
      </c>
      <c r="I2448" s="483"/>
      <c r="J2448" s="494"/>
      <c r="K2448" s="494"/>
      <c r="L2448" s="495"/>
      <c r="M2448" s="263"/>
      <c r="N2448" s="263"/>
      <c r="O2448" s="275" t="s">
        <v>36</v>
      </c>
      <c r="P2448" s="486"/>
      <c r="Q2448" s="486"/>
      <c r="R2448" s="486"/>
      <c r="S2448" s="486"/>
      <c r="T2448" s="486"/>
      <c r="U2448" s="486"/>
      <c r="V2448" s="263"/>
      <c r="W2448" s="267"/>
      <c r="X2448" s="263"/>
    </row>
    <row r="2449" spans="1:53" ht="69.95" customHeight="1">
      <c r="E2449" s="264"/>
      <c r="F2449" s="265"/>
      <c r="G2449" s="263"/>
      <c r="H2449" s="275" t="s">
        <v>37</v>
      </c>
      <c r="I2449" s="486"/>
      <c r="J2449" s="486"/>
      <c r="K2449" s="486"/>
      <c r="L2449" s="486"/>
      <c r="M2449" s="263"/>
      <c r="N2449" s="263"/>
      <c r="O2449" s="275" t="s">
        <v>37</v>
      </c>
      <c r="P2449" s="486"/>
      <c r="Q2449" s="486"/>
      <c r="R2449" s="486"/>
      <c r="S2449" s="486"/>
      <c r="T2449" s="486"/>
      <c r="U2449" s="486"/>
      <c r="V2449" s="263"/>
      <c r="W2449" s="267"/>
      <c r="X2449" s="263"/>
    </row>
    <row r="2450" spans="1:53" ht="69.95" customHeight="1">
      <c r="E2450" s="264"/>
      <c r="F2450" s="265"/>
      <c r="G2450" s="263"/>
      <c r="H2450" s="275" t="s">
        <v>37</v>
      </c>
      <c r="I2450" s="486"/>
      <c r="J2450" s="486"/>
      <c r="K2450" s="486"/>
      <c r="L2450" s="486"/>
      <c r="M2450" s="263"/>
      <c r="N2450" s="263"/>
      <c r="O2450" s="275" t="s">
        <v>37</v>
      </c>
      <c r="P2450" s="486"/>
      <c r="Q2450" s="486"/>
      <c r="R2450" s="486"/>
      <c r="S2450" s="486"/>
      <c r="T2450" s="486"/>
      <c r="U2450" s="486"/>
      <c r="V2450" s="263"/>
      <c r="W2450" s="267"/>
      <c r="X2450" s="263"/>
    </row>
    <row r="2451" spans="1:53" ht="39.950000000000003" customHeight="1" thickBot="1">
      <c r="E2451" s="276"/>
      <c r="F2451" s="277"/>
      <c r="G2451" s="278"/>
      <c r="H2451" s="278"/>
      <c r="I2451" s="278"/>
      <c r="J2451" s="278"/>
      <c r="K2451" s="278"/>
      <c r="L2451" s="278"/>
      <c r="M2451" s="278"/>
      <c r="N2451" s="278"/>
      <c r="O2451" s="278"/>
      <c r="P2451" s="278"/>
      <c r="Q2451" s="278"/>
      <c r="R2451" s="278"/>
      <c r="S2451" s="278"/>
      <c r="T2451" s="279"/>
      <c r="U2451" s="279"/>
      <c r="V2451" s="279"/>
      <c r="W2451" s="280"/>
      <c r="X2451" s="263"/>
    </row>
    <row r="2452" spans="1:53" ht="62.25" thickBot="1"/>
    <row r="2453" spans="1:53" ht="39.950000000000003" customHeight="1">
      <c r="A2453" s="252" t="str">
        <f>CONCATENATE(F2460,F2462,F2464)</f>
        <v>DP10</v>
      </c>
      <c r="E2453" s="259" t="s">
        <v>70</v>
      </c>
      <c r="F2453" s="260">
        <f>VLOOKUP(CONCATENATE(A2453,1),'zoznam zapasov'!$A$6:$K$160,3,0)</f>
        <v>122</v>
      </c>
      <c r="G2453" s="261"/>
      <c r="H2453" s="322" t="s">
        <v>501</v>
      </c>
      <c r="I2453" s="261"/>
      <c r="J2453" s="261"/>
      <c r="K2453" s="261"/>
      <c r="L2453" s="261"/>
      <c r="M2453" s="261"/>
      <c r="N2453" s="261"/>
      <c r="O2453" s="261"/>
      <c r="P2453" s="261"/>
      <c r="Q2453" s="261"/>
      <c r="R2453" s="261"/>
      <c r="S2453" s="261"/>
      <c r="T2453" s="261"/>
      <c r="U2453" s="261"/>
      <c r="V2453" s="261" t="s">
        <v>30</v>
      </c>
      <c r="W2453" s="262"/>
      <c r="X2453" s="263"/>
      <c r="Y2453" s="253" t="str">
        <f>A2455</f>
        <v>DP101</v>
      </c>
      <c r="Z2453" s="258" t="str">
        <f>CONCATENATE(V2455,":",V2458)</f>
        <v>3:2</v>
      </c>
      <c r="AA2453" s="255" t="str">
        <f>N2462</f>
        <v>MAJERSKÁ Alena</v>
      </c>
      <c r="AB2453" s="255" t="str">
        <f>IF(V2455&gt;V2458,AV2453,IF(V2458&gt;V2455,AV2454,""))</f>
        <v xml:space="preserve">3:2 ( 9,-10,-6,10,9,, ) </v>
      </c>
      <c r="AC2453" s="255" t="str">
        <f>CONCATENATE("Tbl.: ",F2455,"   H: ",F2458,"   D: ",F2457)</f>
        <v>Tbl.: 6   H: 16.30   D: So</v>
      </c>
      <c r="AE2453" s="253" t="s">
        <v>11</v>
      </c>
      <c r="AV2453" s="256" t="str">
        <f>CONCATENATE(V2455,":",V2458, " ( ",AN2455,",",AO2455,",",AP2455,",",AQ2455,",",AR2455,",",AS2455,",",AT2455," ) ")</f>
        <v xml:space="preserve">3:2 ( 9,-10,-6,10,9,, ) </v>
      </c>
    </row>
    <row r="2454" spans="1:53" ht="39.950000000000003" customHeight="1">
      <c r="E2454" s="264"/>
      <c r="F2454" s="265"/>
      <c r="G2454" s="321" t="s">
        <v>500</v>
      </c>
      <c r="H2454" s="323" t="s">
        <v>502</v>
      </c>
      <c r="I2454" s="263"/>
      <c r="J2454" s="263"/>
      <c r="K2454" s="263"/>
      <c r="L2454" s="263"/>
      <c r="M2454" s="263"/>
      <c r="N2454" s="266">
        <v>1</v>
      </c>
      <c r="O2454" s="266">
        <v>2</v>
      </c>
      <c r="P2454" s="266">
        <v>3</v>
      </c>
      <c r="Q2454" s="266">
        <v>4</v>
      </c>
      <c r="R2454" s="266">
        <v>5</v>
      </c>
      <c r="S2454" s="266">
        <v>6</v>
      </c>
      <c r="T2454" s="266">
        <v>7</v>
      </c>
      <c r="U2454" s="263"/>
      <c r="V2454" s="266" t="s">
        <v>31</v>
      </c>
      <c r="W2454" s="267"/>
      <c r="X2454" s="263"/>
      <c r="AE2454" s="253" t="s">
        <v>68</v>
      </c>
      <c r="AV2454" s="256" t="str">
        <f>CONCATENATE(V2458,":",V2455, " ( ",AN2456,",",AO2456,",",AP2456,",",AQ2456,",",AR2456,",",AS2456,",",AT2456," ) ")</f>
        <v xml:space="preserve">2:3 ( -9,10,6,-10,-9,, ) </v>
      </c>
    </row>
    <row r="2455" spans="1:53" ht="39.950000000000003" customHeight="1">
      <c r="A2455" s="252" t="str">
        <f>CONCATENATE(A2453,1)</f>
        <v>DP101</v>
      </c>
      <c r="E2455" s="264" t="s">
        <v>29</v>
      </c>
      <c r="F2455" s="265">
        <f>VLOOKUP(CONCATENATE(A2453,1),'zoznam zapasov'!$A$6:$K$160,11,0)</f>
        <v>6</v>
      </c>
      <c r="G2455" s="508"/>
      <c r="H2455" s="495"/>
      <c r="I2455" s="487" t="str">
        <f>IF(ISERROR(VLOOKUP(A2455,'KO KODY SPOLU'!$A$3:$B$189,2,0))=TRUE,"",VLOOKUP(A2455,'KO KODY SPOLU'!$A$3:$B$189,2,0))</f>
        <v>MAJERSKÁ Alena</v>
      </c>
      <c r="J2455" s="487"/>
      <c r="K2455" s="487"/>
      <c r="L2455" s="487"/>
      <c r="M2455" s="263"/>
      <c r="N2455" s="489">
        <v>11</v>
      </c>
      <c r="O2455" s="489">
        <v>10</v>
      </c>
      <c r="P2455" s="489">
        <v>6</v>
      </c>
      <c r="Q2455" s="489">
        <v>12</v>
      </c>
      <c r="R2455" s="489">
        <v>11</v>
      </c>
      <c r="S2455" s="489"/>
      <c r="T2455" s="489"/>
      <c r="U2455" s="263"/>
      <c r="V2455" s="493">
        <f>IF(SUM(AF2455:AL2456)=0,"",SUM(AF2455:AL2455))</f>
        <v>3</v>
      </c>
      <c r="W2455" s="267"/>
      <c r="X2455" s="263"/>
      <c r="AE2455" s="253" t="str">
        <f>VLOOKUP(I2455,vylosovanie!$F$8:$L$190,7,0)</f>
        <v>D71</v>
      </c>
      <c r="AF2455" s="268">
        <f>IF(N2455&gt;N2458,1,0)</f>
        <v>1</v>
      </c>
      <c r="AG2455" s="268">
        <f t="shared" ref="AG2455" si="2272">IF(O2455&gt;O2458,1,0)</f>
        <v>0</v>
      </c>
      <c r="AH2455" s="268">
        <f t="shared" ref="AH2455" si="2273">IF(P2455&gt;P2458,1,0)</f>
        <v>0</v>
      </c>
      <c r="AI2455" s="268">
        <f t="shared" ref="AI2455" si="2274">IF(Q2455&gt;Q2458,1,0)</f>
        <v>1</v>
      </c>
      <c r="AJ2455" s="268">
        <f t="shared" ref="AJ2455" si="2275">IF(R2455&gt;R2458,1,0)</f>
        <v>1</v>
      </c>
      <c r="AK2455" s="268">
        <f t="shared" ref="AK2455" si="2276">IF(S2455&gt;S2458,1,0)</f>
        <v>0</v>
      </c>
      <c r="AL2455" s="268">
        <f t="shared" ref="AL2455" si="2277">IF(T2455&gt;T2458,1,0)</f>
        <v>0</v>
      </c>
      <c r="AN2455" s="268">
        <f t="shared" ref="AN2455" si="2278">IF(ISBLANK(N2455)=TRUE,"",IF(AF2455=1,N2458,-N2455))</f>
        <v>9</v>
      </c>
      <c r="AO2455" s="268">
        <f t="shared" ref="AO2455" si="2279">IF(ISBLANK(O2455)=TRUE,"",IF(AG2455=1,O2458,-O2455))</f>
        <v>-10</v>
      </c>
      <c r="AP2455" s="268">
        <f t="shared" ref="AP2455" si="2280">IF(ISBLANK(P2455)=TRUE,"",IF(AH2455=1,P2458,-P2455))</f>
        <v>-6</v>
      </c>
      <c r="AQ2455" s="268">
        <f t="shared" ref="AQ2455" si="2281">IF(ISBLANK(Q2455)=TRUE,"",IF(AI2455=1,Q2458,-Q2455))</f>
        <v>10</v>
      </c>
      <c r="AR2455" s="268">
        <f t="shared" ref="AR2455" si="2282">IF(ISBLANK(R2455)=TRUE,"",IF(AJ2455=1,R2458,-R2455))</f>
        <v>9</v>
      </c>
      <c r="AS2455" s="268" t="str">
        <f t="shared" ref="AS2455" si="2283">IF(ISBLANK(S2455)=TRUE,"",IF(AK2455=1,S2458,-S2455))</f>
        <v/>
      </c>
      <c r="AT2455" s="268" t="str">
        <f t="shared" ref="AT2455" si="2284">IF(ISBLANK(T2455)=TRUE,"",IF(AL2455=1,T2458,-T2455))</f>
        <v/>
      </c>
      <c r="AZ2455" s="269" t="s">
        <v>12</v>
      </c>
      <c r="BA2455" s="269">
        <v>1</v>
      </c>
    </row>
    <row r="2456" spans="1:53" ht="39.950000000000003" customHeight="1">
      <c r="E2456" s="264"/>
      <c r="F2456" s="265"/>
      <c r="G2456" s="509"/>
      <c r="H2456" s="495"/>
      <c r="I2456" s="487"/>
      <c r="J2456" s="487"/>
      <c r="K2456" s="487"/>
      <c r="L2456" s="487"/>
      <c r="M2456" s="263"/>
      <c r="N2456" s="490"/>
      <c r="O2456" s="490"/>
      <c r="P2456" s="490"/>
      <c r="Q2456" s="490"/>
      <c r="R2456" s="490"/>
      <c r="S2456" s="490"/>
      <c r="T2456" s="490"/>
      <c r="U2456" s="263"/>
      <c r="V2456" s="493"/>
      <c r="W2456" s="267"/>
      <c r="X2456" s="263"/>
      <c r="AE2456" s="253" t="str">
        <f>VLOOKUP(I2458,vylosovanie!$F$8:$L$190,7,0)</f>
        <v>D52</v>
      </c>
      <c r="AF2456" s="268">
        <f>IF(N2458&gt;N2455,1,0)</f>
        <v>0</v>
      </c>
      <c r="AG2456" s="268">
        <f t="shared" ref="AG2456" si="2285">IF(O2458&gt;O2455,1,0)</f>
        <v>1</v>
      </c>
      <c r="AH2456" s="268">
        <f t="shared" ref="AH2456" si="2286">IF(P2458&gt;P2455,1,0)</f>
        <v>1</v>
      </c>
      <c r="AI2456" s="268">
        <f t="shared" ref="AI2456" si="2287">IF(Q2458&gt;Q2455,1,0)</f>
        <v>0</v>
      </c>
      <c r="AJ2456" s="268">
        <f t="shared" ref="AJ2456" si="2288">IF(R2458&gt;R2455,1,0)</f>
        <v>0</v>
      </c>
      <c r="AK2456" s="268">
        <f t="shared" ref="AK2456" si="2289">IF(S2458&gt;S2455,1,0)</f>
        <v>0</v>
      </c>
      <c r="AL2456" s="268">
        <f t="shared" ref="AL2456" si="2290">IF(T2458&gt;T2455,1,0)</f>
        <v>0</v>
      </c>
      <c r="AN2456" s="268">
        <f t="shared" ref="AN2456" si="2291">IF(ISBLANK(N2458)=TRUE,"",IF(AF2456=1,N2455,-N2458))</f>
        <v>-9</v>
      </c>
      <c r="AO2456" s="268">
        <f t="shared" ref="AO2456" si="2292">IF(ISBLANK(O2458)=TRUE,"",IF(AG2456=1,O2455,-O2458))</f>
        <v>10</v>
      </c>
      <c r="AP2456" s="268">
        <f t="shared" ref="AP2456" si="2293">IF(ISBLANK(P2458)=TRUE,"",IF(AH2456=1,P2455,-P2458))</f>
        <v>6</v>
      </c>
      <c r="AQ2456" s="268">
        <f t="shared" ref="AQ2456" si="2294">IF(ISBLANK(Q2458)=TRUE,"",IF(AI2456=1,Q2455,-Q2458))</f>
        <v>-10</v>
      </c>
      <c r="AR2456" s="268">
        <f t="shared" ref="AR2456" si="2295">IF(ISBLANK(R2458)=TRUE,"",IF(AJ2456=1,R2455,-R2458))</f>
        <v>-9</v>
      </c>
      <c r="AS2456" s="268" t="str">
        <f t="shared" ref="AS2456" si="2296">IF(ISBLANK(S2458)=TRUE,"",IF(AK2456=1,S2455,-S2458))</f>
        <v/>
      </c>
      <c r="AT2456" s="268" t="str">
        <f t="shared" ref="AT2456" si="2297">IF(ISBLANK(T2458)=TRUE,"",IF(AL2456=1,T2455,-T2458))</f>
        <v/>
      </c>
      <c r="AZ2456" s="269" t="s">
        <v>18</v>
      </c>
      <c r="BA2456" s="269">
        <v>2</v>
      </c>
    </row>
    <row r="2457" spans="1:53" ht="39.950000000000003" customHeight="1">
      <c r="E2457" s="264" t="s">
        <v>35</v>
      </c>
      <c r="F2457" s="265" t="str">
        <f>VLOOKUP(CONCATENATE(A2453,1),'zoznam zapasov'!$A$6:$K$160,9,0)</f>
        <v>So</v>
      </c>
      <c r="G2457" s="263"/>
      <c r="H2457" s="263"/>
      <c r="I2457" s="263"/>
      <c r="J2457" s="263"/>
      <c r="K2457" s="263"/>
      <c r="L2457" s="263"/>
      <c r="M2457" s="263"/>
      <c r="N2457" s="263"/>
      <c r="O2457" s="263"/>
      <c r="P2457" s="263"/>
      <c r="Q2457" s="263"/>
      <c r="R2457" s="263"/>
      <c r="S2457" s="263"/>
      <c r="T2457" s="263"/>
      <c r="U2457" s="263"/>
      <c r="V2457" s="263"/>
      <c r="W2457" s="267"/>
      <c r="X2457" s="263"/>
      <c r="AZ2457" s="269" t="s">
        <v>38</v>
      </c>
      <c r="BA2457" s="269">
        <v>3</v>
      </c>
    </row>
    <row r="2458" spans="1:53" ht="39.950000000000003" customHeight="1">
      <c r="A2458" s="252" t="str">
        <f>CONCATENATE(A2453,2)</f>
        <v>DP102</v>
      </c>
      <c r="E2458" s="264" t="s">
        <v>28</v>
      </c>
      <c r="F2458" s="270" t="str">
        <f>VLOOKUP(CONCATENATE(A2453,1),'zoznam zapasov'!$A$6:$K$160,10,0)</f>
        <v>16.30</v>
      </c>
      <c r="G2458" s="508"/>
      <c r="H2458" s="486"/>
      <c r="I2458" s="487" t="str">
        <f>IF(ISERROR(VLOOKUP(A2458,'KO KODY SPOLU'!$A$3:$B$189,2,0))=TRUE,"",VLOOKUP(A2458,'KO KODY SPOLU'!$A$3:$B$189,2,0))</f>
        <v>SLOBODNÍKOVÁ Hana</v>
      </c>
      <c r="J2458" s="487"/>
      <c r="K2458" s="487"/>
      <c r="L2458" s="487"/>
      <c r="M2458" s="263"/>
      <c r="N2458" s="489">
        <v>9</v>
      </c>
      <c r="O2458" s="489">
        <v>12</v>
      </c>
      <c r="P2458" s="489">
        <v>11</v>
      </c>
      <c r="Q2458" s="489">
        <v>10</v>
      </c>
      <c r="R2458" s="489">
        <v>9</v>
      </c>
      <c r="S2458" s="489"/>
      <c r="T2458" s="489"/>
      <c r="U2458" s="263"/>
      <c r="V2458" s="493">
        <f>IF(SUM(AF2455:AL2456)=0,"",SUM(AF2456:AL2456))</f>
        <v>2</v>
      </c>
      <c r="W2458" s="267"/>
      <c r="X2458" s="263"/>
      <c r="AZ2458" s="269" t="s">
        <v>39</v>
      </c>
      <c r="BA2458" s="269">
        <v>4</v>
      </c>
    </row>
    <row r="2459" spans="1:53" ht="39.950000000000003" customHeight="1">
      <c r="E2459" s="271"/>
      <c r="F2459" s="272"/>
      <c r="G2459" s="509"/>
      <c r="H2459" s="486"/>
      <c r="I2459" s="487"/>
      <c r="J2459" s="487"/>
      <c r="K2459" s="487"/>
      <c r="L2459" s="487"/>
      <c r="M2459" s="263"/>
      <c r="N2459" s="490"/>
      <c r="O2459" s="490"/>
      <c r="P2459" s="490"/>
      <c r="Q2459" s="490"/>
      <c r="R2459" s="490"/>
      <c r="S2459" s="490"/>
      <c r="T2459" s="490"/>
      <c r="U2459" s="263"/>
      <c r="V2459" s="493"/>
      <c r="W2459" s="267"/>
      <c r="X2459" s="263"/>
      <c r="AZ2459" s="269" t="s">
        <v>40</v>
      </c>
      <c r="BA2459" s="269">
        <v>5</v>
      </c>
    </row>
    <row r="2460" spans="1:53" ht="39.950000000000003" customHeight="1">
      <c r="E2460" s="264" t="s">
        <v>66</v>
      </c>
      <c r="F2460" s="265" t="s">
        <v>39</v>
      </c>
      <c r="G2460" s="263"/>
      <c r="H2460" s="263"/>
      <c r="I2460" s="263"/>
      <c r="J2460" s="263"/>
      <c r="K2460" s="263"/>
      <c r="L2460" s="263"/>
      <c r="M2460" s="263"/>
      <c r="N2460" s="263"/>
      <c r="O2460" s="263"/>
      <c r="P2460" s="263"/>
      <c r="Q2460" s="263"/>
      <c r="R2460" s="263"/>
      <c r="S2460" s="263"/>
      <c r="T2460" s="263"/>
      <c r="U2460" s="263"/>
      <c r="V2460" s="263"/>
      <c r="W2460" s="267"/>
      <c r="X2460" s="263"/>
      <c r="AZ2460" s="269" t="s">
        <v>41</v>
      </c>
      <c r="BA2460" s="269">
        <v>6</v>
      </c>
    </row>
    <row r="2461" spans="1:53" ht="39.950000000000003" customHeight="1">
      <c r="E2461" s="271"/>
      <c r="F2461" s="272"/>
      <c r="G2461" s="263"/>
      <c r="H2461" s="263"/>
      <c r="I2461" s="263" t="s">
        <v>32</v>
      </c>
      <c r="J2461" s="263"/>
      <c r="K2461" s="263"/>
      <c r="L2461" s="263"/>
      <c r="M2461" s="263"/>
      <c r="N2461" s="273"/>
      <c r="O2461" s="266"/>
      <c r="P2461" s="266" t="s">
        <v>34</v>
      </c>
      <c r="Q2461" s="266"/>
      <c r="R2461" s="266"/>
      <c r="S2461" s="266"/>
      <c r="T2461" s="266"/>
      <c r="U2461" s="263"/>
      <c r="V2461" s="263"/>
      <c r="W2461" s="267"/>
      <c r="X2461" s="263"/>
      <c r="AZ2461" s="269" t="s">
        <v>42</v>
      </c>
      <c r="BA2461" s="269">
        <v>7</v>
      </c>
    </row>
    <row r="2462" spans="1:53" ht="39.950000000000003" customHeight="1">
      <c r="E2462" s="264" t="s">
        <v>26</v>
      </c>
      <c r="F2462" s="265" t="s">
        <v>128</v>
      </c>
      <c r="G2462" s="263"/>
      <c r="H2462" s="263"/>
      <c r="I2462" s="486"/>
      <c r="J2462" s="486"/>
      <c r="K2462" s="486"/>
      <c r="L2462" s="486"/>
      <c r="M2462" s="263"/>
      <c r="N2462" s="486" t="str">
        <f>IF(V2455&gt;V2458,I2455,IF(V2458&gt;V2455,I2458,""))</f>
        <v>MAJERSKÁ Alena</v>
      </c>
      <c r="O2462" s="486"/>
      <c r="P2462" s="486"/>
      <c r="Q2462" s="486"/>
      <c r="R2462" s="486"/>
      <c r="S2462" s="486"/>
      <c r="T2462" s="263"/>
      <c r="U2462" s="263"/>
      <c r="V2462" s="263"/>
      <c r="W2462" s="267"/>
      <c r="X2462" s="263"/>
      <c r="AZ2462" s="269" t="s">
        <v>43</v>
      </c>
      <c r="BA2462" s="269">
        <v>8</v>
      </c>
    </row>
    <row r="2463" spans="1:53" ht="39.950000000000003" customHeight="1">
      <c r="E2463" s="271"/>
      <c r="F2463" s="272"/>
      <c r="G2463" s="263"/>
      <c r="H2463" s="263"/>
      <c r="I2463" s="486"/>
      <c r="J2463" s="486"/>
      <c r="K2463" s="486"/>
      <c r="L2463" s="486"/>
      <c r="M2463" s="263"/>
      <c r="N2463" s="486"/>
      <c r="O2463" s="486"/>
      <c r="P2463" s="486"/>
      <c r="Q2463" s="486"/>
      <c r="R2463" s="486"/>
      <c r="S2463" s="486"/>
      <c r="T2463" s="263"/>
      <c r="U2463" s="263"/>
      <c r="V2463" s="263"/>
      <c r="W2463" s="267"/>
      <c r="X2463" s="263"/>
    </row>
    <row r="2464" spans="1:53" ht="39.950000000000003" customHeight="1">
      <c r="E2464" s="264" t="s">
        <v>27</v>
      </c>
      <c r="F2464" s="274" t="s">
        <v>349</v>
      </c>
      <c r="G2464" s="263"/>
      <c r="H2464" s="263"/>
      <c r="I2464" s="263"/>
      <c r="J2464" s="263"/>
      <c r="K2464" s="263"/>
      <c r="L2464" s="263"/>
      <c r="M2464" s="263"/>
      <c r="N2464" s="263"/>
      <c r="O2464" s="263"/>
      <c r="P2464" s="263"/>
      <c r="Q2464" s="263"/>
      <c r="R2464" s="263"/>
      <c r="S2464" s="263"/>
      <c r="T2464" s="263"/>
      <c r="U2464" s="263"/>
      <c r="V2464" s="263"/>
      <c r="W2464" s="267"/>
      <c r="X2464" s="263"/>
    </row>
    <row r="2465" spans="1:53" ht="39.950000000000003" customHeight="1">
      <c r="E2465" s="271"/>
      <c r="F2465" s="272"/>
      <c r="G2465" s="263"/>
      <c r="H2465" s="263" t="s">
        <v>33</v>
      </c>
      <c r="I2465" s="263"/>
      <c r="J2465" s="263"/>
      <c r="K2465" s="263"/>
      <c r="L2465" s="263"/>
      <c r="M2465" s="263"/>
      <c r="N2465" s="263"/>
      <c r="O2465" s="263"/>
      <c r="P2465" s="263"/>
      <c r="Q2465" s="263"/>
      <c r="R2465" s="263"/>
      <c r="S2465" s="263"/>
      <c r="T2465" s="263"/>
      <c r="U2465" s="263"/>
      <c r="V2465" s="263"/>
      <c r="W2465" s="267"/>
      <c r="X2465" s="263"/>
    </row>
    <row r="2466" spans="1:53" ht="39.950000000000003" customHeight="1">
      <c r="E2466" s="271"/>
      <c r="F2466" s="272"/>
      <c r="G2466" s="263"/>
      <c r="H2466" s="263"/>
      <c r="I2466" s="263"/>
      <c r="J2466" s="263"/>
      <c r="K2466" s="263"/>
      <c r="L2466" s="263"/>
      <c r="M2466" s="263"/>
      <c r="N2466" s="263"/>
      <c r="O2466" s="263"/>
      <c r="P2466" s="263"/>
      <c r="Q2466" s="263"/>
      <c r="R2466" s="263"/>
      <c r="S2466" s="263"/>
      <c r="T2466" s="263"/>
      <c r="U2466" s="263"/>
      <c r="V2466" s="263"/>
      <c r="W2466" s="267"/>
      <c r="X2466" s="263"/>
    </row>
    <row r="2467" spans="1:53" ht="39.950000000000003" customHeight="1">
      <c r="E2467" s="271"/>
      <c r="F2467" s="272"/>
      <c r="G2467" s="263"/>
      <c r="H2467" s="263"/>
      <c r="I2467" s="496" t="str">
        <f>I2455</f>
        <v>MAJERSKÁ Alena</v>
      </c>
      <c r="J2467" s="496"/>
      <c r="K2467" s="496"/>
      <c r="L2467" s="496"/>
      <c r="M2467" s="263"/>
      <c r="N2467" s="263"/>
      <c r="O2467" s="263"/>
      <c r="P2467" s="496" t="str">
        <f>I2458</f>
        <v>SLOBODNÍKOVÁ Hana</v>
      </c>
      <c r="Q2467" s="496"/>
      <c r="R2467" s="496"/>
      <c r="S2467" s="496"/>
      <c r="T2467" s="497"/>
      <c r="U2467" s="497"/>
      <c r="V2467" s="263"/>
      <c r="W2467" s="267"/>
      <c r="X2467" s="263"/>
    </row>
    <row r="2468" spans="1:53" ht="69.95" customHeight="1">
      <c r="E2468" s="264"/>
      <c r="F2468" s="265"/>
      <c r="G2468" s="263"/>
      <c r="H2468" s="275" t="s">
        <v>36</v>
      </c>
      <c r="I2468" s="483"/>
      <c r="J2468" s="494"/>
      <c r="K2468" s="494"/>
      <c r="L2468" s="495"/>
      <c r="M2468" s="263"/>
      <c r="N2468" s="263"/>
      <c r="O2468" s="275" t="s">
        <v>36</v>
      </c>
      <c r="P2468" s="486"/>
      <c r="Q2468" s="486"/>
      <c r="R2468" s="486"/>
      <c r="S2468" s="486"/>
      <c r="T2468" s="486"/>
      <c r="U2468" s="486"/>
      <c r="V2468" s="263"/>
      <c r="W2468" s="267"/>
      <c r="X2468" s="263"/>
    </row>
    <row r="2469" spans="1:53" ht="69.95" customHeight="1">
      <c r="E2469" s="264"/>
      <c r="F2469" s="265"/>
      <c r="G2469" s="263"/>
      <c r="H2469" s="275" t="s">
        <v>37</v>
      </c>
      <c r="I2469" s="486"/>
      <c r="J2469" s="486"/>
      <c r="K2469" s="486"/>
      <c r="L2469" s="486"/>
      <c r="M2469" s="263"/>
      <c r="N2469" s="263"/>
      <c r="O2469" s="275" t="s">
        <v>37</v>
      </c>
      <c r="P2469" s="486"/>
      <c r="Q2469" s="486"/>
      <c r="R2469" s="486"/>
      <c r="S2469" s="486"/>
      <c r="T2469" s="486"/>
      <c r="U2469" s="486"/>
      <c r="V2469" s="263"/>
      <c r="W2469" s="267"/>
      <c r="X2469" s="263"/>
    </row>
    <row r="2470" spans="1:53" ht="69.95" customHeight="1">
      <c r="E2470" s="264"/>
      <c r="F2470" s="265"/>
      <c r="G2470" s="263"/>
      <c r="H2470" s="275" t="s">
        <v>37</v>
      </c>
      <c r="I2470" s="486"/>
      <c r="J2470" s="486"/>
      <c r="K2470" s="486"/>
      <c r="L2470" s="486"/>
      <c r="M2470" s="263"/>
      <c r="N2470" s="263"/>
      <c r="O2470" s="275" t="s">
        <v>37</v>
      </c>
      <c r="P2470" s="486"/>
      <c r="Q2470" s="486"/>
      <c r="R2470" s="486"/>
      <c r="S2470" s="486"/>
      <c r="T2470" s="486"/>
      <c r="U2470" s="486"/>
      <c r="V2470" s="263"/>
      <c r="W2470" s="267"/>
      <c r="X2470" s="263"/>
    </row>
    <row r="2471" spans="1:53" ht="39.950000000000003" customHeight="1" thickBot="1">
      <c r="E2471" s="276"/>
      <c r="F2471" s="277"/>
      <c r="G2471" s="278"/>
      <c r="H2471" s="278"/>
      <c r="I2471" s="278"/>
      <c r="J2471" s="278"/>
      <c r="K2471" s="278"/>
      <c r="L2471" s="278"/>
      <c r="M2471" s="278"/>
      <c r="N2471" s="278"/>
      <c r="O2471" s="278"/>
      <c r="P2471" s="278"/>
      <c r="Q2471" s="278"/>
      <c r="R2471" s="278"/>
      <c r="S2471" s="278"/>
      <c r="T2471" s="279"/>
      <c r="U2471" s="279"/>
      <c r="V2471" s="279"/>
      <c r="W2471" s="280"/>
      <c r="X2471" s="263"/>
    </row>
    <row r="2472" spans="1:53" ht="62.25" thickBot="1"/>
    <row r="2473" spans="1:53" ht="39.950000000000003" customHeight="1">
      <c r="A2473" s="252" t="str">
        <f>CONCATENATE(F2480,F2482,F2484)</f>
        <v>DP11</v>
      </c>
      <c r="E2473" s="259" t="s">
        <v>70</v>
      </c>
      <c r="F2473" s="260">
        <f>VLOOKUP(CONCATENATE(A2473,1),'zoznam zapasov'!$A$6:$K$160,3,0)</f>
        <v>123</v>
      </c>
      <c r="G2473" s="261"/>
      <c r="H2473" s="322" t="s">
        <v>501</v>
      </c>
      <c r="I2473" s="261"/>
      <c r="J2473" s="261"/>
      <c r="K2473" s="261"/>
      <c r="L2473" s="261"/>
      <c r="M2473" s="261"/>
      <c r="N2473" s="261"/>
      <c r="O2473" s="261"/>
      <c r="P2473" s="261"/>
      <c r="Q2473" s="261"/>
      <c r="R2473" s="261"/>
      <c r="S2473" s="261"/>
      <c r="T2473" s="261"/>
      <c r="U2473" s="261"/>
      <c r="V2473" s="261" t="s">
        <v>30</v>
      </c>
      <c r="W2473" s="262"/>
      <c r="X2473" s="263"/>
      <c r="Y2473" s="253" t="str">
        <f>A2475</f>
        <v>DP111</v>
      </c>
      <c r="Z2473" s="258" t="str">
        <f>CONCATENATE(V2475,":",V2478)</f>
        <v>3:0</v>
      </c>
      <c r="AA2473" s="255" t="str">
        <f>N2482</f>
        <v>ŠINKAROVÁ Dáša</v>
      </c>
      <c r="AB2473" s="255" t="str">
        <f>IF(V2475&gt;V2478,AV2473,IF(V2478&gt;V2475,AV2474,""))</f>
        <v xml:space="preserve">3:0 ( 4,8,5,,,, ) </v>
      </c>
      <c r="AC2473" s="255" t="str">
        <f>CONCATENATE("Tbl.: ",F2475,"   H: ",F2478,"   D: ",F2477)</f>
        <v>Tbl.: 7   H: 16.30   D: So</v>
      </c>
      <c r="AE2473" s="253" t="s">
        <v>11</v>
      </c>
      <c r="AV2473" s="256" t="str">
        <f>CONCATENATE(V2475,":",V2478, " ( ",AN2475,",",AO2475,",",AP2475,",",AQ2475,",",AR2475,",",AS2475,",",AT2475," ) ")</f>
        <v xml:space="preserve">3:0 ( 4,8,5,,,, ) </v>
      </c>
    </row>
    <row r="2474" spans="1:53" ht="39.950000000000003" customHeight="1">
      <c r="E2474" s="264"/>
      <c r="F2474" s="265"/>
      <c r="G2474" s="321" t="s">
        <v>500</v>
      </c>
      <c r="H2474" s="323" t="s">
        <v>502</v>
      </c>
      <c r="I2474" s="263"/>
      <c r="J2474" s="263"/>
      <c r="K2474" s="263"/>
      <c r="L2474" s="263"/>
      <c r="M2474" s="263"/>
      <c r="N2474" s="266">
        <v>1</v>
      </c>
      <c r="O2474" s="266">
        <v>2</v>
      </c>
      <c r="P2474" s="266">
        <v>3</v>
      </c>
      <c r="Q2474" s="266">
        <v>4</v>
      </c>
      <c r="R2474" s="266">
        <v>5</v>
      </c>
      <c r="S2474" s="266">
        <v>6</v>
      </c>
      <c r="T2474" s="266">
        <v>7</v>
      </c>
      <c r="U2474" s="263"/>
      <c r="V2474" s="266" t="s">
        <v>31</v>
      </c>
      <c r="W2474" s="267"/>
      <c r="X2474" s="263"/>
      <c r="AE2474" s="253" t="s">
        <v>68</v>
      </c>
      <c r="AV2474" s="256" t="str">
        <f>CONCATENATE(V2478,":",V2475, " ( ",AN2476,",",AO2476,",",AP2476,",",AQ2476,",",AR2476,",",AS2476,",",AT2476," ) ")</f>
        <v xml:space="preserve">0:3 ( -4,-8,-5,,,, ) </v>
      </c>
    </row>
    <row r="2475" spans="1:53" ht="39.950000000000003" customHeight="1">
      <c r="A2475" s="252" t="str">
        <f>CONCATENATE(A2473,1)</f>
        <v>DP111</v>
      </c>
      <c r="E2475" s="264" t="s">
        <v>29</v>
      </c>
      <c r="F2475" s="265">
        <f>VLOOKUP(CONCATENATE(A2473,1),'zoznam zapasov'!$A$6:$K$160,11,0)</f>
        <v>7</v>
      </c>
      <c r="G2475" s="508"/>
      <c r="H2475" s="495"/>
      <c r="I2475" s="487" t="str">
        <f>IF(ISERROR(VLOOKUP(A2475,'KO KODY SPOLU'!$A$3:$B$189,2,0))=TRUE,"",VLOOKUP(A2475,'KO KODY SPOLU'!$A$3:$B$189,2,0))</f>
        <v>ŠINKAROVÁ Dáša</v>
      </c>
      <c r="J2475" s="487"/>
      <c r="K2475" s="487"/>
      <c r="L2475" s="487"/>
      <c r="M2475" s="263"/>
      <c r="N2475" s="489">
        <v>11</v>
      </c>
      <c r="O2475" s="489">
        <v>11</v>
      </c>
      <c r="P2475" s="489">
        <v>11</v>
      </c>
      <c r="Q2475" s="489"/>
      <c r="R2475" s="489"/>
      <c r="S2475" s="489"/>
      <c r="T2475" s="489"/>
      <c r="U2475" s="263"/>
      <c r="V2475" s="493">
        <f>IF(SUM(AF2475:AL2476)=0,"",SUM(AF2475:AL2475))</f>
        <v>3</v>
      </c>
      <c r="W2475" s="267"/>
      <c r="X2475" s="263"/>
      <c r="AE2475" s="253" t="str">
        <f>VLOOKUP(I2475,vylosovanie!$F$8:$L$190,7,0)</f>
        <v>D31</v>
      </c>
      <c r="AF2475" s="268">
        <f>IF(N2475&gt;N2478,1,0)</f>
        <v>1</v>
      </c>
      <c r="AG2475" s="268">
        <f t="shared" ref="AG2475" si="2298">IF(O2475&gt;O2478,1,0)</f>
        <v>1</v>
      </c>
      <c r="AH2475" s="268">
        <f t="shared" ref="AH2475" si="2299">IF(P2475&gt;P2478,1,0)</f>
        <v>1</v>
      </c>
      <c r="AI2475" s="268">
        <f t="shared" ref="AI2475" si="2300">IF(Q2475&gt;Q2478,1,0)</f>
        <v>0</v>
      </c>
      <c r="AJ2475" s="268">
        <f t="shared" ref="AJ2475" si="2301">IF(R2475&gt;R2478,1,0)</f>
        <v>0</v>
      </c>
      <c r="AK2475" s="268">
        <f t="shared" ref="AK2475" si="2302">IF(S2475&gt;S2478,1,0)</f>
        <v>0</v>
      </c>
      <c r="AL2475" s="268">
        <f t="shared" ref="AL2475" si="2303">IF(T2475&gt;T2478,1,0)</f>
        <v>0</v>
      </c>
      <c r="AN2475" s="268">
        <f t="shared" ref="AN2475" si="2304">IF(ISBLANK(N2475)=TRUE,"",IF(AF2475=1,N2478,-N2475))</f>
        <v>4</v>
      </c>
      <c r="AO2475" s="268">
        <f t="shared" ref="AO2475" si="2305">IF(ISBLANK(O2475)=TRUE,"",IF(AG2475=1,O2478,-O2475))</f>
        <v>8</v>
      </c>
      <c r="AP2475" s="268">
        <f t="shared" ref="AP2475" si="2306">IF(ISBLANK(P2475)=TRUE,"",IF(AH2475=1,P2478,-P2475))</f>
        <v>5</v>
      </c>
      <c r="AQ2475" s="268" t="str">
        <f t="shared" ref="AQ2475" si="2307">IF(ISBLANK(Q2475)=TRUE,"",IF(AI2475=1,Q2478,-Q2475))</f>
        <v/>
      </c>
      <c r="AR2475" s="268" t="str">
        <f t="shared" ref="AR2475" si="2308">IF(ISBLANK(R2475)=TRUE,"",IF(AJ2475=1,R2478,-R2475))</f>
        <v/>
      </c>
      <c r="AS2475" s="268" t="str">
        <f t="shared" ref="AS2475" si="2309">IF(ISBLANK(S2475)=TRUE,"",IF(AK2475=1,S2478,-S2475))</f>
        <v/>
      </c>
      <c r="AT2475" s="268" t="str">
        <f t="shared" ref="AT2475" si="2310">IF(ISBLANK(T2475)=TRUE,"",IF(AL2475=1,T2478,-T2475))</f>
        <v/>
      </c>
      <c r="AZ2475" s="269" t="s">
        <v>12</v>
      </c>
      <c r="BA2475" s="269">
        <v>1</v>
      </c>
    </row>
    <row r="2476" spans="1:53" ht="39.950000000000003" customHeight="1">
      <c r="E2476" s="264"/>
      <c r="F2476" s="265"/>
      <c r="G2476" s="509"/>
      <c r="H2476" s="495"/>
      <c r="I2476" s="487"/>
      <c r="J2476" s="487"/>
      <c r="K2476" s="487"/>
      <c r="L2476" s="487"/>
      <c r="M2476" s="263"/>
      <c r="N2476" s="490"/>
      <c r="O2476" s="490"/>
      <c r="P2476" s="490"/>
      <c r="Q2476" s="490"/>
      <c r="R2476" s="490"/>
      <c r="S2476" s="490"/>
      <c r="T2476" s="490"/>
      <c r="U2476" s="263"/>
      <c r="V2476" s="493"/>
      <c r="W2476" s="267"/>
      <c r="X2476" s="263"/>
      <c r="AE2476" s="253" t="str">
        <f>VLOOKUP(I2478,vylosovanie!$F$8:$L$190,7,0)</f>
        <v>D51</v>
      </c>
      <c r="AF2476" s="268">
        <f>IF(N2478&gt;N2475,1,0)</f>
        <v>0</v>
      </c>
      <c r="AG2476" s="268">
        <f t="shared" ref="AG2476" si="2311">IF(O2478&gt;O2475,1,0)</f>
        <v>0</v>
      </c>
      <c r="AH2476" s="268">
        <f t="shared" ref="AH2476" si="2312">IF(P2478&gt;P2475,1,0)</f>
        <v>0</v>
      </c>
      <c r="AI2476" s="268">
        <f t="shared" ref="AI2476" si="2313">IF(Q2478&gt;Q2475,1,0)</f>
        <v>0</v>
      </c>
      <c r="AJ2476" s="268">
        <f t="shared" ref="AJ2476" si="2314">IF(R2478&gt;R2475,1,0)</f>
        <v>0</v>
      </c>
      <c r="AK2476" s="268">
        <f t="shared" ref="AK2476" si="2315">IF(S2478&gt;S2475,1,0)</f>
        <v>0</v>
      </c>
      <c r="AL2476" s="268">
        <f t="shared" ref="AL2476" si="2316">IF(T2478&gt;T2475,1,0)</f>
        <v>0</v>
      </c>
      <c r="AN2476" s="268">
        <f t="shared" ref="AN2476" si="2317">IF(ISBLANK(N2478)=TRUE,"",IF(AF2476=1,N2475,-N2478))</f>
        <v>-4</v>
      </c>
      <c r="AO2476" s="268">
        <f t="shared" ref="AO2476" si="2318">IF(ISBLANK(O2478)=TRUE,"",IF(AG2476=1,O2475,-O2478))</f>
        <v>-8</v>
      </c>
      <c r="AP2476" s="268">
        <f t="shared" ref="AP2476" si="2319">IF(ISBLANK(P2478)=TRUE,"",IF(AH2476=1,P2475,-P2478))</f>
        <v>-5</v>
      </c>
      <c r="AQ2476" s="268" t="str">
        <f t="shared" ref="AQ2476" si="2320">IF(ISBLANK(Q2478)=TRUE,"",IF(AI2476=1,Q2475,-Q2478))</f>
        <v/>
      </c>
      <c r="AR2476" s="268" t="str">
        <f t="shared" ref="AR2476" si="2321">IF(ISBLANK(R2478)=TRUE,"",IF(AJ2476=1,R2475,-R2478))</f>
        <v/>
      </c>
      <c r="AS2476" s="268" t="str">
        <f t="shared" ref="AS2476" si="2322">IF(ISBLANK(S2478)=TRUE,"",IF(AK2476=1,S2475,-S2478))</f>
        <v/>
      </c>
      <c r="AT2476" s="268" t="str">
        <f t="shared" ref="AT2476" si="2323">IF(ISBLANK(T2478)=TRUE,"",IF(AL2476=1,T2475,-T2478))</f>
        <v/>
      </c>
      <c r="AZ2476" s="269" t="s">
        <v>18</v>
      </c>
      <c r="BA2476" s="269">
        <v>2</v>
      </c>
    </row>
    <row r="2477" spans="1:53" ht="39.950000000000003" customHeight="1">
      <c r="E2477" s="264" t="s">
        <v>35</v>
      </c>
      <c r="F2477" s="265" t="str">
        <f>VLOOKUP(CONCATENATE(A2473,1),'zoznam zapasov'!$A$6:$K$160,9,0)</f>
        <v>So</v>
      </c>
      <c r="G2477" s="263"/>
      <c r="H2477" s="263"/>
      <c r="I2477" s="263"/>
      <c r="J2477" s="263"/>
      <c r="K2477" s="263"/>
      <c r="L2477" s="263"/>
      <c r="M2477" s="263"/>
      <c r="N2477" s="263"/>
      <c r="O2477" s="263"/>
      <c r="P2477" s="263"/>
      <c r="Q2477" s="263"/>
      <c r="R2477" s="263"/>
      <c r="S2477" s="263"/>
      <c r="T2477" s="263"/>
      <c r="U2477" s="263"/>
      <c r="V2477" s="263"/>
      <c r="W2477" s="267"/>
      <c r="X2477" s="263"/>
      <c r="AZ2477" s="269" t="s">
        <v>38</v>
      </c>
      <c r="BA2477" s="269">
        <v>3</v>
      </c>
    </row>
    <row r="2478" spans="1:53" ht="39.950000000000003" customHeight="1">
      <c r="A2478" s="252" t="str">
        <f>CONCATENATE(A2473,2)</f>
        <v>DP112</v>
      </c>
      <c r="E2478" s="264" t="s">
        <v>28</v>
      </c>
      <c r="F2478" s="270" t="str">
        <f>VLOOKUP(CONCATENATE(A2473,1),'zoznam zapasov'!$A$6:$K$160,10,0)</f>
        <v>16.30</v>
      </c>
      <c r="G2478" s="508"/>
      <c r="H2478" s="486"/>
      <c r="I2478" s="487" t="str">
        <f>IF(ISERROR(VLOOKUP(A2478,'KO KODY SPOLU'!$A$3:$B$189,2,0))=TRUE,"",VLOOKUP(A2478,'KO KODY SPOLU'!$A$3:$B$189,2,0))</f>
        <v>DIVINSKÁ Natália</v>
      </c>
      <c r="J2478" s="487"/>
      <c r="K2478" s="487"/>
      <c r="L2478" s="487"/>
      <c r="M2478" s="263"/>
      <c r="N2478" s="489">
        <v>4</v>
      </c>
      <c r="O2478" s="489">
        <v>8</v>
      </c>
      <c r="P2478" s="489">
        <v>5</v>
      </c>
      <c r="Q2478" s="489"/>
      <c r="R2478" s="489"/>
      <c r="S2478" s="489"/>
      <c r="T2478" s="489"/>
      <c r="U2478" s="263"/>
      <c r="V2478" s="493">
        <f>IF(SUM(AF2475:AL2476)=0,"",SUM(AF2476:AL2476))</f>
        <v>0</v>
      </c>
      <c r="W2478" s="267"/>
      <c r="X2478" s="263"/>
      <c r="AZ2478" s="269" t="s">
        <v>39</v>
      </c>
      <c r="BA2478" s="269">
        <v>4</v>
      </c>
    </row>
    <row r="2479" spans="1:53" ht="39.950000000000003" customHeight="1">
      <c r="E2479" s="271"/>
      <c r="F2479" s="272"/>
      <c r="G2479" s="509"/>
      <c r="H2479" s="486"/>
      <c r="I2479" s="487"/>
      <c r="J2479" s="487"/>
      <c r="K2479" s="487"/>
      <c r="L2479" s="487"/>
      <c r="M2479" s="263"/>
      <c r="N2479" s="490"/>
      <c r="O2479" s="490"/>
      <c r="P2479" s="490"/>
      <c r="Q2479" s="490"/>
      <c r="R2479" s="490"/>
      <c r="S2479" s="490"/>
      <c r="T2479" s="490"/>
      <c r="U2479" s="263"/>
      <c r="V2479" s="493"/>
      <c r="W2479" s="267"/>
      <c r="X2479" s="263"/>
      <c r="AZ2479" s="269" t="s">
        <v>40</v>
      </c>
      <c r="BA2479" s="269">
        <v>5</v>
      </c>
    </row>
    <row r="2480" spans="1:53" ht="39.950000000000003" customHeight="1">
      <c r="E2480" s="264" t="s">
        <v>66</v>
      </c>
      <c r="F2480" s="265" t="s">
        <v>39</v>
      </c>
      <c r="G2480" s="263"/>
      <c r="H2480" s="263"/>
      <c r="I2480" s="263"/>
      <c r="J2480" s="263"/>
      <c r="K2480" s="263"/>
      <c r="L2480" s="263"/>
      <c r="M2480" s="263"/>
      <c r="N2480" s="263"/>
      <c r="O2480" s="263"/>
      <c r="P2480" s="263"/>
      <c r="Q2480" s="263"/>
      <c r="R2480" s="263"/>
      <c r="S2480" s="263"/>
      <c r="T2480" s="263"/>
      <c r="U2480" s="263"/>
      <c r="V2480" s="263"/>
      <c r="W2480" s="267"/>
      <c r="X2480" s="263"/>
      <c r="AZ2480" s="269" t="s">
        <v>41</v>
      </c>
      <c r="BA2480" s="269">
        <v>6</v>
      </c>
    </row>
    <row r="2481" spans="1:53" ht="39.950000000000003" customHeight="1">
      <c r="E2481" s="271"/>
      <c r="F2481" s="272"/>
      <c r="G2481" s="263"/>
      <c r="H2481" s="263"/>
      <c r="I2481" s="263" t="s">
        <v>32</v>
      </c>
      <c r="J2481" s="263"/>
      <c r="K2481" s="263"/>
      <c r="L2481" s="263"/>
      <c r="M2481" s="263"/>
      <c r="N2481" s="273"/>
      <c r="O2481" s="266"/>
      <c r="P2481" s="266" t="s">
        <v>34</v>
      </c>
      <c r="Q2481" s="266"/>
      <c r="R2481" s="266"/>
      <c r="S2481" s="266"/>
      <c r="T2481" s="266"/>
      <c r="U2481" s="263"/>
      <c r="V2481" s="263"/>
      <c r="W2481" s="267"/>
      <c r="X2481" s="263"/>
      <c r="AZ2481" s="269" t="s">
        <v>42</v>
      </c>
      <c r="BA2481" s="269">
        <v>7</v>
      </c>
    </row>
    <row r="2482" spans="1:53" ht="39.950000000000003" customHeight="1">
      <c r="E2482" s="264" t="s">
        <v>26</v>
      </c>
      <c r="F2482" s="265" t="s">
        <v>128</v>
      </c>
      <c r="G2482" s="263"/>
      <c r="H2482" s="263"/>
      <c r="I2482" s="486"/>
      <c r="J2482" s="486"/>
      <c r="K2482" s="486"/>
      <c r="L2482" s="486"/>
      <c r="M2482" s="263"/>
      <c r="N2482" s="486" t="str">
        <f>IF(V2475&gt;V2478,I2475,IF(V2478&gt;V2475,I2478,""))</f>
        <v>ŠINKAROVÁ Dáša</v>
      </c>
      <c r="O2482" s="486"/>
      <c r="P2482" s="486"/>
      <c r="Q2482" s="486"/>
      <c r="R2482" s="486"/>
      <c r="S2482" s="486"/>
      <c r="T2482" s="263"/>
      <c r="U2482" s="263"/>
      <c r="V2482" s="263"/>
      <c r="W2482" s="267"/>
      <c r="X2482" s="263"/>
      <c r="AZ2482" s="269" t="s">
        <v>43</v>
      </c>
      <c r="BA2482" s="269">
        <v>8</v>
      </c>
    </row>
    <row r="2483" spans="1:53" ht="39.950000000000003" customHeight="1">
      <c r="E2483" s="271"/>
      <c r="F2483" s="272"/>
      <c r="G2483" s="263"/>
      <c r="H2483" s="263"/>
      <c r="I2483" s="486"/>
      <c r="J2483" s="486"/>
      <c r="K2483" s="486"/>
      <c r="L2483" s="486"/>
      <c r="M2483" s="263"/>
      <c r="N2483" s="486"/>
      <c r="O2483" s="486"/>
      <c r="P2483" s="486"/>
      <c r="Q2483" s="486"/>
      <c r="R2483" s="486"/>
      <c r="S2483" s="486"/>
      <c r="T2483" s="263"/>
      <c r="U2483" s="263"/>
      <c r="V2483" s="263"/>
      <c r="W2483" s="267"/>
      <c r="X2483" s="263"/>
    </row>
    <row r="2484" spans="1:53" ht="39.950000000000003" customHeight="1">
      <c r="E2484" s="264" t="s">
        <v>27</v>
      </c>
      <c r="F2484" s="274" t="s">
        <v>350</v>
      </c>
      <c r="G2484" s="263"/>
      <c r="H2484" s="263"/>
      <c r="I2484" s="263"/>
      <c r="J2484" s="263"/>
      <c r="K2484" s="263"/>
      <c r="L2484" s="263"/>
      <c r="M2484" s="263"/>
      <c r="N2484" s="263"/>
      <c r="O2484" s="263"/>
      <c r="P2484" s="263"/>
      <c r="Q2484" s="263"/>
      <c r="R2484" s="263"/>
      <c r="S2484" s="263"/>
      <c r="T2484" s="263"/>
      <c r="U2484" s="263"/>
      <c r="V2484" s="263"/>
      <c r="W2484" s="267"/>
      <c r="X2484" s="263"/>
    </row>
    <row r="2485" spans="1:53" ht="39.950000000000003" customHeight="1">
      <c r="E2485" s="271"/>
      <c r="F2485" s="272"/>
      <c r="G2485" s="263"/>
      <c r="H2485" s="263" t="s">
        <v>33</v>
      </c>
      <c r="I2485" s="263"/>
      <c r="J2485" s="263"/>
      <c r="K2485" s="263"/>
      <c r="L2485" s="263"/>
      <c r="M2485" s="263"/>
      <c r="N2485" s="263"/>
      <c r="O2485" s="263"/>
      <c r="P2485" s="263"/>
      <c r="Q2485" s="263"/>
      <c r="R2485" s="263"/>
      <c r="S2485" s="263"/>
      <c r="T2485" s="263"/>
      <c r="U2485" s="263"/>
      <c r="V2485" s="263"/>
      <c r="W2485" s="267"/>
      <c r="X2485" s="263"/>
    </row>
    <row r="2486" spans="1:53" ht="39.950000000000003" customHeight="1">
      <c r="E2486" s="271"/>
      <c r="F2486" s="272"/>
      <c r="G2486" s="263"/>
      <c r="H2486" s="263"/>
      <c r="I2486" s="263"/>
      <c r="J2486" s="263"/>
      <c r="K2486" s="263"/>
      <c r="L2486" s="263"/>
      <c r="M2486" s="263"/>
      <c r="N2486" s="263"/>
      <c r="O2486" s="263"/>
      <c r="P2486" s="263"/>
      <c r="Q2486" s="263"/>
      <c r="R2486" s="263"/>
      <c r="S2486" s="263"/>
      <c r="T2486" s="263"/>
      <c r="U2486" s="263"/>
      <c r="V2486" s="263"/>
      <c r="W2486" s="267"/>
      <c r="X2486" s="263"/>
    </row>
    <row r="2487" spans="1:53" ht="39.950000000000003" customHeight="1">
      <c r="E2487" s="271"/>
      <c r="F2487" s="272"/>
      <c r="G2487" s="263"/>
      <c r="H2487" s="263"/>
      <c r="I2487" s="496" t="str">
        <f>I2475</f>
        <v>ŠINKAROVÁ Dáša</v>
      </c>
      <c r="J2487" s="496"/>
      <c r="K2487" s="496"/>
      <c r="L2487" s="496"/>
      <c r="M2487" s="263"/>
      <c r="N2487" s="263"/>
      <c r="O2487" s="263"/>
      <c r="P2487" s="496" t="str">
        <f>I2478</f>
        <v>DIVINSKÁ Natália</v>
      </c>
      <c r="Q2487" s="496"/>
      <c r="R2487" s="496"/>
      <c r="S2487" s="496"/>
      <c r="T2487" s="497"/>
      <c r="U2487" s="497"/>
      <c r="V2487" s="263"/>
      <c r="W2487" s="267"/>
      <c r="X2487" s="263"/>
    </row>
    <row r="2488" spans="1:53" ht="69.95" customHeight="1">
      <c r="E2488" s="264"/>
      <c r="F2488" s="265"/>
      <c r="G2488" s="263"/>
      <c r="H2488" s="275" t="s">
        <v>36</v>
      </c>
      <c r="I2488" s="483"/>
      <c r="J2488" s="494"/>
      <c r="K2488" s="494"/>
      <c r="L2488" s="495"/>
      <c r="M2488" s="263"/>
      <c r="N2488" s="263"/>
      <c r="O2488" s="275" t="s">
        <v>36</v>
      </c>
      <c r="P2488" s="486"/>
      <c r="Q2488" s="486"/>
      <c r="R2488" s="486"/>
      <c r="S2488" s="486"/>
      <c r="T2488" s="486"/>
      <c r="U2488" s="486"/>
      <c r="V2488" s="263"/>
      <c r="W2488" s="267"/>
      <c r="X2488" s="263"/>
    </row>
    <row r="2489" spans="1:53" ht="69.95" customHeight="1">
      <c r="E2489" s="264"/>
      <c r="F2489" s="265"/>
      <c r="G2489" s="263"/>
      <c r="H2489" s="275" t="s">
        <v>37</v>
      </c>
      <c r="I2489" s="486"/>
      <c r="J2489" s="486"/>
      <c r="K2489" s="486"/>
      <c r="L2489" s="486"/>
      <c r="M2489" s="263"/>
      <c r="N2489" s="263"/>
      <c r="O2489" s="275" t="s">
        <v>37</v>
      </c>
      <c r="P2489" s="486"/>
      <c r="Q2489" s="486"/>
      <c r="R2489" s="486"/>
      <c r="S2489" s="486"/>
      <c r="T2489" s="486"/>
      <c r="U2489" s="486"/>
      <c r="V2489" s="263"/>
      <c r="W2489" s="267"/>
      <c r="X2489" s="263"/>
    </row>
    <row r="2490" spans="1:53" ht="69.95" customHeight="1">
      <c r="E2490" s="264"/>
      <c r="F2490" s="265"/>
      <c r="G2490" s="263"/>
      <c r="H2490" s="275" t="s">
        <v>37</v>
      </c>
      <c r="I2490" s="486"/>
      <c r="J2490" s="486"/>
      <c r="K2490" s="486"/>
      <c r="L2490" s="486"/>
      <c r="M2490" s="263"/>
      <c r="N2490" s="263"/>
      <c r="O2490" s="275" t="s">
        <v>37</v>
      </c>
      <c r="P2490" s="486"/>
      <c r="Q2490" s="486"/>
      <c r="R2490" s="486"/>
      <c r="S2490" s="486"/>
      <c r="T2490" s="486"/>
      <c r="U2490" s="486"/>
      <c r="V2490" s="263"/>
      <c r="W2490" s="267"/>
      <c r="X2490" s="263"/>
    </row>
    <row r="2491" spans="1:53" ht="39.950000000000003" customHeight="1" thickBot="1">
      <c r="E2491" s="276"/>
      <c r="F2491" s="277"/>
      <c r="G2491" s="278"/>
      <c r="H2491" s="278"/>
      <c r="I2491" s="278"/>
      <c r="J2491" s="278"/>
      <c r="K2491" s="278"/>
      <c r="L2491" s="278"/>
      <c r="M2491" s="278"/>
      <c r="N2491" s="278"/>
      <c r="O2491" s="278"/>
      <c r="P2491" s="278"/>
      <c r="Q2491" s="278"/>
      <c r="R2491" s="278"/>
      <c r="S2491" s="278"/>
      <c r="T2491" s="279"/>
      <c r="U2491" s="279"/>
      <c r="V2491" s="279"/>
      <c r="W2491" s="280"/>
      <c r="X2491" s="263"/>
    </row>
    <row r="2492" spans="1:53" ht="62.25" thickBot="1"/>
    <row r="2493" spans="1:53" ht="39.950000000000003" customHeight="1">
      <c r="A2493" s="252" t="str">
        <f>CONCATENATE(F2500,F2502,F2504)</f>
        <v>DP12</v>
      </c>
      <c r="E2493" s="259" t="s">
        <v>70</v>
      </c>
      <c r="F2493" s="260">
        <f>VLOOKUP(CONCATENATE(A2493,1),'zoznam zapasov'!$A$6:$K$160,3,0)</f>
        <v>124</v>
      </c>
      <c r="G2493" s="261"/>
      <c r="H2493" s="322" t="s">
        <v>501</v>
      </c>
      <c r="I2493" s="261"/>
      <c r="J2493" s="261"/>
      <c r="K2493" s="261"/>
      <c r="L2493" s="261"/>
      <c r="M2493" s="261"/>
      <c r="N2493" s="261"/>
      <c r="O2493" s="261"/>
      <c r="P2493" s="261"/>
      <c r="Q2493" s="261"/>
      <c r="R2493" s="261"/>
      <c r="S2493" s="261"/>
      <c r="T2493" s="261"/>
      <c r="U2493" s="261"/>
      <c r="V2493" s="261" t="s">
        <v>30</v>
      </c>
      <c r="W2493" s="262"/>
      <c r="X2493" s="263"/>
      <c r="Y2493" s="253" t="str">
        <f>A2495</f>
        <v>DP121</v>
      </c>
      <c r="Z2493" s="258" t="str">
        <f>CONCATENATE(V2495,":",V2498)</f>
        <v>0:3</v>
      </c>
      <c r="AA2493" s="255" t="str">
        <f>N2502</f>
        <v>PEKOVÁ Zuzana</v>
      </c>
      <c r="AB2493" s="255" t="str">
        <f>IF(V2495&gt;V2498,AV2493,IF(V2498&gt;V2495,AV2494,""))</f>
        <v xml:space="preserve">3:0 ( 9,10,6,,,, ) </v>
      </c>
      <c r="AC2493" s="255" t="str">
        <f>CONCATENATE("Tbl.: ",F2495,"   H: ",F2498,"   D: ",F2497)</f>
        <v>Tbl.: 8   H: 16.30   D: So</v>
      </c>
      <c r="AE2493" s="253" t="s">
        <v>11</v>
      </c>
      <c r="AV2493" s="256" t="str">
        <f>CONCATENATE(V2495,":",V2498, " ( ",AN2495,",",AO2495,",",AP2495,",",AQ2495,",",AR2495,",",AS2495,",",AT2495," ) ")</f>
        <v xml:space="preserve">0:3 ( -9,-10,-6,,,, ) </v>
      </c>
    </row>
    <row r="2494" spans="1:53" ht="39.950000000000003" customHeight="1">
      <c r="E2494" s="264"/>
      <c r="F2494" s="265"/>
      <c r="G2494" s="321" t="s">
        <v>500</v>
      </c>
      <c r="H2494" s="323" t="s">
        <v>502</v>
      </c>
      <c r="I2494" s="263"/>
      <c r="J2494" s="263"/>
      <c r="K2494" s="263"/>
      <c r="L2494" s="263"/>
      <c r="M2494" s="263"/>
      <c r="N2494" s="266">
        <v>1</v>
      </c>
      <c r="O2494" s="266">
        <v>2</v>
      </c>
      <c r="P2494" s="266">
        <v>3</v>
      </c>
      <c r="Q2494" s="266">
        <v>4</v>
      </c>
      <c r="R2494" s="266">
        <v>5</v>
      </c>
      <c r="S2494" s="266">
        <v>6</v>
      </c>
      <c r="T2494" s="266">
        <v>7</v>
      </c>
      <c r="U2494" s="263"/>
      <c r="V2494" s="266" t="s">
        <v>31</v>
      </c>
      <c r="W2494" s="267"/>
      <c r="X2494" s="263"/>
      <c r="AE2494" s="253" t="s">
        <v>68</v>
      </c>
      <c r="AV2494" s="256" t="str">
        <f>CONCATENATE(V2498,":",V2495, " ( ",AN2496,",",AO2496,",",AP2496,",",AQ2496,",",AR2496,",",AS2496,",",AT2496," ) ")</f>
        <v xml:space="preserve">3:0 ( 9,10,6,,,, ) </v>
      </c>
    </row>
    <row r="2495" spans="1:53" ht="39.950000000000003" customHeight="1">
      <c r="A2495" s="252" t="str">
        <f>CONCATENATE(A2493,1)</f>
        <v>DP121</v>
      </c>
      <c r="E2495" s="264" t="s">
        <v>29</v>
      </c>
      <c r="F2495" s="265">
        <f>VLOOKUP(CONCATENATE(A2493,1),'zoznam zapasov'!$A$6:$K$160,11,0)</f>
        <v>8</v>
      </c>
      <c r="G2495" s="508"/>
      <c r="H2495" s="495"/>
      <c r="I2495" s="487" t="str">
        <f>IF(ISERROR(VLOOKUP(A2495,'KO KODY SPOLU'!$A$3:$B$189,2,0))=TRUE,"",VLOOKUP(A2495,'KO KODY SPOLU'!$A$3:$B$189,2,0))</f>
        <v>ŠVAJDLENKOVÁ Laura</v>
      </c>
      <c r="J2495" s="487"/>
      <c r="K2495" s="487"/>
      <c r="L2495" s="487"/>
      <c r="M2495" s="263"/>
      <c r="N2495" s="489">
        <v>9</v>
      </c>
      <c r="O2495" s="489">
        <v>10</v>
      </c>
      <c r="P2495" s="489">
        <v>6</v>
      </c>
      <c r="Q2495" s="489"/>
      <c r="R2495" s="489"/>
      <c r="S2495" s="489"/>
      <c r="T2495" s="489"/>
      <c r="U2495" s="263"/>
      <c r="V2495" s="493">
        <f>IF(SUM(AF2495:AL2496)=0,"",SUM(AF2495:AL2495))</f>
        <v>0</v>
      </c>
      <c r="W2495" s="267"/>
      <c r="X2495" s="263"/>
      <c r="AE2495" s="253" t="str">
        <f>VLOOKUP(I2495,vylosovanie!$F$8:$L$190,7,0)</f>
        <v>D61</v>
      </c>
      <c r="AF2495" s="268">
        <f>IF(N2495&gt;N2498,1,0)</f>
        <v>0</v>
      </c>
      <c r="AG2495" s="268">
        <f t="shared" ref="AG2495" si="2324">IF(O2495&gt;O2498,1,0)</f>
        <v>0</v>
      </c>
      <c r="AH2495" s="268">
        <f t="shared" ref="AH2495" si="2325">IF(P2495&gt;P2498,1,0)</f>
        <v>0</v>
      </c>
      <c r="AI2495" s="268">
        <f t="shared" ref="AI2495" si="2326">IF(Q2495&gt;Q2498,1,0)</f>
        <v>0</v>
      </c>
      <c r="AJ2495" s="268">
        <f t="shared" ref="AJ2495" si="2327">IF(R2495&gt;R2498,1,0)</f>
        <v>0</v>
      </c>
      <c r="AK2495" s="268">
        <f t="shared" ref="AK2495" si="2328">IF(S2495&gt;S2498,1,0)</f>
        <v>0</v>
      </c>
      <c r="AL2495" s="268">
        <f t="shared" ref="AL2495" si="2329">IF(T2495&gt;T2498,1,0)</f>
        <v>0</v>
      </c>
      <c r="AN2495" s="268">
        <f t="shared" ref="AN2495" si="2330">IF(ISBLANK(N2495)=TRUE,"",IF(AF2495=1,N2498,-N2495))</f>
        <v>-9</v>
      </c>
      <c r="AO2495" s="268">
        <f t="shared" ref="AO2495" si="2331">IF(ISBLANK(O2495)=TRUE,"",IF(AG2495=1,O2498,-O2495))</f>
        <v>-10</v>
      </c>
      <c r="AP2495" s="268">
        <f t="shared" ref="AP2495" si="2332">IF(ISBLANK(P2495)=TRUE,"",IF(AH2495=1,P2498,-P2495))</f>
        <v>-6</v>
      </c>
      <c r="AQ2495" s="268" t="str">
        <f t="shared" ref="AQ2495" si="2333">IF(ISBLANK(Q2495)=TRUE,"",IF(AI2495=1,Q2498,-Q2495))</f>
        <v/>
      </c>
      <c r="AR2495" s="268" t="str">
        <f t="shared" ref="AR2495" si="2334">IF(ISBLANK(R2495)=TRUE,"",IF(AJ2495=1,R2498,-R2495))</f>
        <v/>
      </c>
      <c r="AS2495" s="268" t="str">
        <f t="shared" ref="AS2495" si="2335">IF(ISBLANK(S2495)=TRUE,"",IF(AK2495=1,S2498,-S2495))</f>
        <v/>
      </c>
      <c r="AT2495" s="268" t="str">
        <f t="shared" ref="AT2495" si="2336">IF(ISBLANK(T2495)=TRUE,"",IF(AL2495=1,T2498,-T2495))</f>
        <v/>
      </c>
      <c r="AZ2495" s="269" t="s">
        <v>12</v>
      </c>
      <c r="BA2495" s="269">
        <v>1</v>
      </c>
    </row>
    <row r="2496" spans="1:53" ht="39.950000000000003" customHeight="1">
      <c r="E2496" s="264"/>
      <c r="F2496" s="265"/>
      <c r="G2496" s="509"/>
      <c r="H2496" s="495"/>
      <c r="I2496" s="487"/>
      <c r="J2496" s="487"/>
      <c r="K2496" s="487"/>
      <c r="L2496" s="487"/>
      <c r="M2496" s="263"/>
      <c r="N2496" s="490"/>
      <c r="O2496" s="490"/>
      <c r="P2496" s="490"/>
      <c r="Q2496" s="490"/>
      <c r="R2496" s="490"/>
      <c r="S2496" s="490"/>
      <c r="T2496" s="490"/>
      <c r="U2496" s="263"/>
      <c r="V2496" s="493"/>
      <c r="W2496" s="267"/>
      <c r="X2496" s="263"/>
      <c r="AE2496" s="253" t="str">
        <f>VLOOKUP(I2498,vylosovanie!$F$8:$L$190,7,0)</f>
        <v>D21</v>
      </c>
      <c r="AF2496" s="268">
        <f>IF(N2498&gt;N2495,1,0)</f>
        <v>1</v>
      </c>
      <c r="AG2496" s="268">
        <f t="shared" ref="AG2496" si="2337">IF(O2498&gt;O2495,1,0)</f>
        <v>1</v>
      </c>
      <c r="AH2496" s="268">
        <f t="shared" ref="AH2496" si="2338">IF(P2498&gt;P2495,1,0)</f>
        <v>1</v>
      </c>
      <c r="AI2496" s="268">
        <f t="shared" ref="AI2496" si="2339">IF(Q2498&gt;Q2495,1,0)</f>
        <v>0</v>
      </c>
      <c r="AJ2496" s="268">
        <f t="shared" ref="AJ2496" si="2340">IF(R2498&gt;R2495,1,0)</f>
        <v>0</v>
      </c>
      <c r="AK2496" s="268">
        <f t="shared" ref="AK2496" si="2341">IF(S2498&gt;S2495,1,0)</f>
        <v>0</v>
      </c>
      <c r="AL2496" s="268">
        <f t="shared" ref="AL2496" si="2342">IF(T2498&gt;T2495,1,0)</f>
        <v>0</v>
      </c>
      <c r="AN2496" s="268">
        <f t="shared" ref="AN2496" si="2343">IF(ISBLANK(N2498)=TRUE,"",IF(AF2496=1,N2495,-N2498))</f>
        <v>9</v>
      </c>
      <c r="AO2496" s="268">
        <f t="shared" ref="AO2496" si="2344">IF(ISBLANK(O2498)=TRUE,"",IF(AG2496=1,O2495,-O2498))</f>
        <v>10</v>
      </c>
      <c r="AP2496" s="268">
        <f t="shared" ref="AP2496" si="2345">IF(ISBLANK(P2498)=TRUE,"",IF(AH2496=1,P2495,-P2498))</f>
        <v>6</v>
      </c>
      <c r="AQ2496" s="268" t="str">
        <f t="shared" ref="AQ2496" si="2346">IF(ISBLANK(Q2498)=TRUE,"",IF(AI2496=1,Q2495,-Q2498))</f>
        <v/>
      </c>
      <c r="AR2496" s="268" t="str">
        <f t="shared" ref="AR2496" si="2347">IF(ISBLANK(R2498)=TRUE,"",IF(AJ2496=1,R2495,-R2498))</f>
        <v/>
      </c>
      <c r="AS2496" s="268" t="str">
        <f t="shared" ref="AS2496" si="2348">IF(ISBLANK(S2498)=TRUE,"",IF(AK2496=1,S2495,-S2498))</f>
        <v/>
      </c>
      <c r="AT2496" s="268" t="str">
        <f t="shared" ref="AT2496" si="2349">IF(ISBLANK(T2498)=TRUE,"",IF(AL2496=1,T2495,-T2498))</f>
        <v/>
      </c>
      <c r="AZ2496" s="269" t="s">
        <v>18</v>
      </c>
      <c r="BA2496" s="269">
        <v>2</v>
      </c>
    </row>
    <row r="2497" spans="1:53" ht="39.950000000000003" customHeight="1">
      <c r="E2497" s="264" t="s">
        <v>35</v>
      </c>
      <c r="F2497" s="265" t="str">
        <f>VLOOKUP(CONCATENATE(A2493,1),'zoznam zapasov'!$A$6:$K$160,9,0)</f>
        <v>So</v>
      </c>
      <c r="G2497" s="263"/>
      <c r="H2497" s="263"/>
      <c r="I2497" s="263"/>
      <c r="J2497" s="263"/>
      <c r="K2497" s="263"/>
      <c r="L2497" s="263"/>
      <c r="M2497" s="263"/>
      <c r="N2497" s="263"/>
      <c r="O2497" s="263"/>
      <c r="P2497" s="263"/>
      <c r="Q2497" s="263"/>
      <c r="R2497" s="263"/>
      <c r="S2497" s="263"/>
      <c r="T2497" s="263"/>
      <c r="U2497" s="263"/>
      <c r="V2497" s="263"/>
      <c r="W2497" s="267"/>
      <c r="X2497" s="263"/>
      <c r="AZ2497" s="269" t="s">
        <v>38</v>
      </c>
      <c r="BA2497" s="269">
        <v>3</v>
      </c>
    </row>
    <row r="2498" spans="1:53" ht="39.950000000000003" customHeight="1">
      <c r="A2498" s="252" t="str">
        <f>CONCATENATE(A2493,2)</f>
        <v>DP122</v>
      </c>
      <c r="E2498" s="264" t="s">
        <v>28</v>
      </c>
      <c r="F2498" s="270" t="str">
        <f>VLOOKUP(CONCATENATE(A2493,1),'zoznam zapasov'!$A$6:$K$160,10,0)</f>
        <v>16.30</v>
      </c>
      <c r="G2498" s="508"/>
      <c r="H2498" s="486"/>
      <c r="I2498" s="487" t="str">
        <f>IF(ISERROR(VLOOKUP(A2498,'KO KODY SPOLU'!$A$3:$B$189,2,0))=TRUE,"",VLOOKUP(A2498,'KO KODY SPOLU'!$A$3:$B$189,2,0))</f>
        <v>PEKOVÁ Zuzana</v>
      </c>
      <c r="J2498" s="487"/>
      <c r="K2498" s="487"/>
      <c r="L2498" s="487"/>
      <c r="M2498" s="263"/>
      <c r="N2498" s="489">
        <v>11</v>
      </c>
      <c r="O2498" s="489">
        <v>12</v>
      </c>
      <c r="P2498" s="489">
        <v>11</v>
      </c>
      <c r="Q2498" s="489"/>
      <c r="R2498" s="489"/>
      <c r="S2498" s="489"/>
      <c r="T2498" s="489"/>
      <c r="U2498" s="263"/>
      <c r="V2498" s="493">
        <f>IF(SUM(AF2495:AL2496)=0,"",SUM(AF2496:AL2496))</f>
        <v>3</v>
      </c>
      <c r="W2498" s="267"/>
      <c r="X2498" s="263"/>
      <c r="AZ2498" s="269" t="s">
        <v>39</v>
      </c>
      <c r="BA2498" s="269">
        <v>4</v>
      </c>
    </row>
    <row r="2499" spans="1:53" ht="39.950000000000003" customHeight="1">
      <c r="E2499" s="271"/>
      <c r="F2499" s="272"/>
      <c r="G2499" s="509"/>
      <c r="H2499" s="486"/>
      <c r="I2499" s="487"/>
      <c r="J2499" s="487"/>
      <c r="K2499" s="487"/>
      <c r="L2499" s="487"/>
      <c r="M2499" s="263"/>
      <c r="N2499" s="490"/>
      <c r="O2499" s="490"/>
      <c r="P2499" s="490"/>
      <c r="Q2499" s="490"/>
      <c r="R2499" s="490"/>
      <c r="S2499" s="490"/>
      <c r="T2499" s="490"/>
      <c r="U2499" s="263"/>
      <c r="V2499" s="493"/>
      <c r="W2499" s="267"/>
      <c r="X2499" s="263"/>
      <c r="AZ2499" s="269" t="s">
        <v>40</v>
      </c>
      <c r="BA2499" s="269">
        <v>5</v>
      </c>
    </row>
    <row r="2500" spans="1:53" ht="39.950000000000003" customHeight="1">
      <c r="E2500" s="264" t="s">
        <v>66</v>
      </c>
      <c r="F2500" s="265" t="s">
        <v>39</v>
      </c>
      <c r="G2500" s="263"/>
      <c r="H2500" s="263"/>
      <c r="I2500" s="263"/>
      <c r="J2500" s="263"/>
      <c r="K2500" s="263"/>
      <c r="L2500" s="263"/>
      <c r="M2500" s="263"/>
      <c r="N2500" s="263"/>
      <c r="O2500" s="263"/>
      <c r="P2500" s="263"/>
      <c r="Q2500" s="263"/>
      <c r="R2500" s="263"/>
      <c r="S2500" s="263"/>
      <c r="T2500" s="263"/>
      <c r="U2500" s="263"/>
      <c r="V2500" s="263"/>
      <c r="W2500" s="267"/>
      <c r="X2500" s="263"/>
      <c r="AZ2500" s="269" t="s">
        <v>41</v>
      </c>
      <c r="BA2500" s="269">
        <v>6</v>
      </c>
    </row>
    <row r="2501" spans="1:53" ht="39.950000000000003" customHeight="1">
      <c r="E2501" s="271"/>
      <c r="F2501" s="272"/>
      <c r="G2501" s="263"/>
      <c r="H2501" s="263"/>
      <c r="I2501" s="263" t="s">
        <v>32</v>
      </c>
      <c r="J2501" s="263"/>
      <c r="K2501" s="263"/>
      <c r="L2501" s="263"/>
      <c r="M2501" s="263"/>
      <c r="N2501" s="273"/>
      <c r="O2501" s="266"/>
      <c r="P2501" s="266" t="s">
        <v>34</v>
      </c>
      <c r="Q2501" s="266"/>
      <c r="R2501" s="266"/>
      <c r="S2501" s="266"/>
      <c r="T2501" s="266"/>
      <c r="U2501" s="263"/>
      <c r="V2501" s="263"/>
      <c r="W2501" s="267"/>
      <c r="X2501" s="263"/>
      <c r="AZ2501" s="269" t="s">
        <v>42</v>
      </c>
      <c r="BA2501" s="269">
        <v>7</v>
      </c>
    </row>
    <row r="2502" spans="1:53" ht="39.950000000000003" customHeight="1">
      <c r="E2502" s="264" t="s">
        <v>26</v>
      </c>
      <c r="F2502" s="265" t="s">
        <v>128</v>
      </c>
      <c r="G2502" s="263"/>
      <c r="H2502" s="263"/>
      <c r="I2502" s="486"/>
      <c r="J2502" s="486"/>
      <c r="K2502" s="486"/>
      <c r="L2502" s="486"/>
      <c r="M2502" s="263"/>
      <c r="N2502" s="486" t="str">
        <f>IF(V2495&gt;V2498,I2495,IF(V2498&gt;V2495,I2498,""))</f>
        <v>PEKOVÁ Zuzana</v>
      </c>
      <c r="O2502" s="486"/>
      <c r="P2502" s="486"/>
      <c r="Q2502" s="486"/>
      <c r="R2502" s="486"/>
      <c r="S2502" s="486"/>
      <c r="T2502" s="263"/>
      <c r="U2502" s="263"/>
      <c r="V2502" s="263"/>
      <c r="W2502" s="267"/>
      <c r="X2502" s="263"/>
      <c r="AZ2502" s="269" t="s">
        <v>43</v>
      </c>
      <c r="BA2502" s="269">
        <v>8</v>
      </c>
    </row>
    <row r="2503" spans="1:53" ht="39.950000000000003" customHeight="1">
      <c r="E2503" s="271"/>
      <c r="F2503" s="272"/>
      <c r="G2503" s="263"/>
      <c r="H2503" s="263"/>
      <c r="I2503" s="486"/>
      <c r="J2503" s="486"/>
      <c r="K2503" s="486"/>
      <c r="L2503" s="486"/>
      <c r="M2503" s="263"/>
      <c r="N2503" s="486"/>
      <c r="O2503" s="486"/>
      <c r="P2503" s="486"/>
      <c r="Q2503" s="486"/>
      <c r="R2503" s="486"/>
      <c r="S2503" s="486"/>
      <c r="T2503" s="263"/>
      <c r="U2503" s="263"/>
      <c r="V2503" s="263"/>
      <c r="W2503" s="267"/>
      <c r="X2503" s="263"/>
    </row>
    <row r="2504" spans="1:53" ht="39.950000000000003" customHeight="1">
      <c r="E2504" s="264" t="s">
        <v>27</v>
      </c>
      <c r="F2504" s="274" t="s">
        <v>351</v>
      </c>
      <c r="G2504" s="263"/>
      <c r="H2504" s="263"/>
      <c r="I2504" s="263"/>
      <c r="J2504" s="263"/>
      <c r="K2504" s="263"/>
      <c r="L2504" s="263"/>
      <c r="M2504" s="263"/>
      <c r="N2504" s="263"/>
      <c r="O2504" s="263"/>
      <c r="P2504" s="263"/>
      <c r="Q2504" s="263"/>
      <c r="R2504" s="263"/>
      <c r="S2504" s="263"/>
      <c r="T2504" s="263"/>
      <c r="U2504" s="263"/>
      <c r="V2504" s="263"/>
      <c r="W2504" s="267"/>
      <c r="X2504" s="263"/>
    </row>
    <row r="2505" spans="1:53" ht="39.950000000000003" customHeight="1">
      <c r="E2505" s="271"/>
      <c r="F2505" s="272"/>
      <c r="G2505" s="263"/>
      <c r="H2505" s="263" t="s">
        <v>33</v>
      </c>
      <c r="I2505" s="263"/>
      <c r="J2505" s="263"/>
      <c r="K2505" s="263"/>
      <c r="L2505" s="263"/>
      <c r="M2505" s="263"/>
      <c r="N2505" s="263"/>
      <c r="O2505" s="263"/>
      <c r="P2505" s="263"/>
      <c r="Q2505" s="263"/>
      <c r="R2505" s="263"/>
      <c r="S2505" s="263"/>
      <c r="T2505" s="263"/>
      <c r="U2505" s="263"/>
      <c r="V2505" s="263"/>
      <c r="W2505" s="267"/>
      <c r="X2505" s="263"/>
    </row>
    <row r="2506" spans="1:53" ht="39.950000000000003" customHeight="1">
      <c r="E2506" s="271"/>
      <c r="F2506" s="272"/>
      <c r="G2506" s="263"/>
      <c r="H2506" s="263"/>
      <c r="I2506" s="263"/>
      <c r="J2506" s="263"/>
      <c r="K2506" s="263"/>
      <c r="L2506" s="263"/>
      <c r="M2506" s="263"/>
      <c r="N2506" s="263"/>
      <c r="O2506" s="263"/>
      <c r="P2506" s="263"/>
      <c r="Q2506" s="263"/>
      <c r="R2506" s="263"/>
      <c r="S2506" s="263"/>
      <c r="T2506" s="263"/>
      <c r="U2506" s="263"/>
      <c r="V2506" s="263"/>
      <c r="W2506" s="267"/>
      <c r="X2506" s="263"/>
    </row>
    <row r="2507" spans="1:53" ht="39.950000000000003" customHeight="1">
      <c r="E2507" s="271"/>
      <c r="F2507" s="272"/>
      <c r="G2507" s="263"/>
      <c r="H2507" s="263"/>
      <c r="I2507" s="496" t="str">
        <f>I2495</f>
        <v>ŠVAJDLENKOVÁ Laura</v>
      </c>
      <c r="J2507" s="496"/>
      <c r="K2507" s="496"/>
      <c r="L2507" s="496"/>
      <c r="M2507" s="263"/>
      <c r="N2507" s="263"/>
      <c r="O2507" s="263"/>
      <c r="P2507" s="496" t="str">
        <f>I2498</f>
        <v>PEKOVÁ Zuzana</v>
      </c>
      <c r="Q2507" s="496"/>
      <c r="R2507" s="496"/>
      <c r="S2507" s="496"/>
      <c r="T2507" s="497"/>
      <c r="U2507" s="497"/>
      <c r="V2507" s="263"/>
      <c r="W2507" s="267"/>
      <c r="X2507" s="263"/>
    </row>
    <row r="2508" spans="1:53" ht="69.95" customHeight="1">
      <c r="E2508" s="264"/>
      <c r="F2508" s="265"/>
      <c r="G2508" s="263"/>
      <c r="H2508" s="275" t="s">
        <v>36</v>
      </c>
      <c r="I2508" s="483"/>
      <c r="J2508" s="494"/>
      <c r="K2508" s="494"/>
      <c r="L2508" s="495"/>
      <c r="M2508" s="263"/>
      <c r="N2508" s="263"/>
      <c r="O2508" s="275" t="s">
        <v>36</v>
      </c>
      <c r="P2508" s="486"/>
      <c r="Q2508" s="486"/>
      <c r="R2508" s="486"/>
      <c r="S2508" s="486"/>
      <c r="T2508" s="486"/>
      <c r="U2508" s="486"/>
      <c r="V2508" s="263"/>
      <c r="W2508" s="267"/>
      <c r="X2508" s="263"/>
    </row>
    <row r="2509" spans="1:53" ht="69.95" customHeight="1">
      <c r="E2509" s="264"/>
      <c r="F2509" s="265"/>
      <c r="G2509" s="263"/>
      <c r="H2509" s="275" t="s">
        <v>37</v>
      </c>
      <c r="I2509" s="486"/>
      <c r="J2509" s="486"/>
      <c r="K2509" s="486"/>
      <c r="L2509" s="486"/>
      <c r="M2509" s="263"/>
      <c r="N2509" s="263"/>
      <c r="O2509" s="275" t="s">
        <v>37</v>
      </c>
      <c r="P2509" s="486"/>
      <c r="Q2509" s="486"/>
      <c r="R2509" s="486"/>
      <c r="S2509" s="486"/>
      <c r="T2509" s="486"/>
      <c r="U2509" s="486"/>
      <c r="V2509" s="263"/>
      <c r="W2509" s="267"/>
      <c r="X2509" s="263"/>
    </row>
    <row r="2510" spans="1:53" ht="69.95" customHeight="1">
      <c r="E2510" s="264"/>
      <c r="F2510" s="265"/>
      <c r="G2510" s="263"/>
      <c r="H2510" s="275" t="s">
        <v>37</v>
      </c>
      <c r="I2510" s="486"/>
      <c r="J2510" s="486"/>
      <c r="K2510" s="486"/>
      <c r="L2510" s="486"/>
      <c r="M2510" s="263"/>
      <c r="N2510" s="263"/>
      <c r="O2510" s="275" t="s">
        <v>37</v>
      </c>
      <c r="P2510" s="486"/>
      <c r="Q2510" s="486"/>
      <c r="R2510" s="486"/>
      <c r="S2510" s="486"/>
      <c r="T2510" s="486"/>
      <c r="U2510" s="486"/>
      <c r="V2510" s="263"/>
      <c r="W2510" s="267"/>
      <c r="X2510" s="263"/>
    </row>
    <row r="2511" spans="1:53" ht="39.950000000000003" customHeight="1" thickBot="1">
      <c r="E2511" s="276"/>
      <c r="F2511" s="277"/>
      <c r="G2511" s="278"/>
      <c r="H2511" s="278"/>
      <c r="I2511" s="278"/>
      <c r="J2511" s="278"/>
      <c r="K2511" s="278"/>
      <c r="L2511" s="278"/>
      <c r="M2511" s="278"/>
      <c r="N2511" s="278"/>
      <c r="O2511" s="278"/>
      <c r="P2511" s="278"/>
      <c r="Q2511" s="278"/>
      <c r="R2511" s="278"/>
      <c r="S2511" s="278"/>
      <c r="T2511" s="279"/>
      <c r="U2511" s="279"/>
      <c r="V2511" s="279"/>
      <c r="W2511" s="280"/>
      <c r="X2511" s="263"/>
    </row>
    <row r="2512" spans="1:53" ht="62.25" thickBot="1"/>
    <row r="2513" spans="1:53" ht="39.950000000000003" customHeight="1">
      <c r="A2513" s="252" t="str">
        <f>CONCATENATE(F2520,F2522,F2524)</f>
        <v>CH4P9</v>
      </c>
      <c r="C2513" s="223"/>
      <c r="D2513" s="223"/>
      <c r="E2513" s="259" t="s">
        <v>70</v>
      </c>
      <c r="F2513" s="260">
        <f>VLOOKUP(CONCATENATE(A2513,1),'zoznam zapasov'!$A$6:$K$160,3,0)</f>
        <v>125</v>
      </c>
      <c r="G2513" s="261"/>
      <c r="H2513" s="322" t="s">
        <v>501</v>
      </c>
      <c r="I2513" s="261"/>
      <c r="J2513" s="261"/>
      <c r="K2513" s="261"/>
      <c r="L2513" s="261"/>
      <c r="M2513" s="261"/>
      <c r="N2513" s="261"/>
      <c r="O2513" s="261"/>
      <c r="P2513" s="261"/>
      <c r="Q2513" s="261"/>
      <c r="R2513" s="261"/>
      <c r="S2513" s="261"/>
      <c r="T2513" s="261"/>
      <c r="U2513" s="261"/>
      <c r="V2513" s="261" t="s">
        <v>30</v>
      </c>
      <c r="W2513" s="262"/>
      <c r="X2513" s="263"/>
      <c r="Y2513" s="253" t="str">
        <f>A2515</f>
        <v>CH4P91</v>
      </c>
      <c r="Z2513" s="258" t="str">
        <f>CONCATENATE(V2515,":",V2518)</f>
        <v>3:1</v>
      </c>
      <c r="AA2513" s="255" t="str">
        <f>IF(V2515&gt;V2518,B2515,IF(V2518&gt;V2515,B2518,""))</f>
        <v>DIKO / KYSEL</v>
      </c>
      <c r="AB2513" s="255" t="str">
        <f>IF(V2515&gt;V2518,AV2513,IF(V2518&gt;V2515,AV2514,""))</f>
        <v xml:space="preserve">3:1 ( -6,5,10,8,,, ) </v>
      </c>
      <c r="AC2513" s="255" t="str">
        <f>CONCATENATE("Tbl.: ",F2515,"   H: ",F2518,"   D: ",F2517)</f>
        <v>Tbl.: 1   H: 17.00   D: So</v>
      </c>
      <c r="AE2513" s="253" t="s">
        <v>11</v>
      </c>
      <c r="AV2513" s="256" t="str">
        <f>CONCATENATE(V2515,":",V2518, " ( ",AN2515,",",AO2515,",",AP2515,",",AQ2515,",",AR2515,",",AS2515,",",AT2515," ) ")</f>
        <v xml:space="preserve">3:1 ( -6,5,10,8,,, ) </v>
      </c>
    </row>
    <row r="2514" spans="1:53" ht="39.950000000000003" customHeight="1">
      <c r="C2514" s="223"/>
      <c r="D2514" s="223"/>
      <c r="E2514" s="264"/>
      <c r="F2514" s="265"/>
      <c r="G2514" s="321" t="s">
        <v>500</v>
      </c>
      <c r="H2514" s="323" t="s">
        <v>502</v>
      </c>
      <c r="I2514" s="263"/>
      <c r="J2514" s="263"/>
      <c r="K2514" s="263"/>
      <c r="L2514" s="263"/>
      <c r="M2514" s="263"/>
      <c r="N2514" s="266">
        <v>1</v>
      </c>
      <c r="O2514" s="266">
        <v>2</v>
      </c>
      <c r="P2514" s="266">
        <v>3</v>
      </c>
      <c r="Q2514" s="266">
        <v>4</v>
      </c>
      <c r="R2514" s="266">
        <v>5</v>
      </c>
      <c r="S2514" s="266">
        <v>6</v>
      </c>
      <c r="T2514" s="266">
        <v>7</v>
      </c>
      <c r="U2514" s="263"/>
      <c r="V2514" s="266" t="s">
        <v>31</v>
      </c>
      <c r="W2514" s="267"/>
      <c r="X2514" s="263"/>
      <c r="AE2514" s="253" t="s">
        <v>68</v>
      </c>
      <c r="AV2514" s="256" t="str">
        <f>CONCATENATE(V2518,":",V2515, " ( ",AN2516,",",AO2516,",",AP2516,",",AQ2516,",",AR2516,",",AS2516,",",AT2516," ) ")</f>
        <v xml:space="preserve">1:3 ( 6,-5,-10,-8,,, ) </v>
      </c>
    </row>
    <row r="2515" spans="1:53" ht="39.950000000000003" customHeight="1">
      <c r="A2515" s="252" t="str">
        <f>CONCATENATE(A2513,1)</f>
        <v>CH4P91</v>
      </c>
      <c r="B2515" s="252" t="str">
        <f>VLOOKUP(A2515,'KO KODY SPOLU'!$A$3:$B$189,2,0)</f>
        <v>DIKO / KYSEL</v>
      </c>
      <c r="C2515" s="223"/>
      <c r="D2515" s="223"/>
      <c r="E2515" s="264" t="s">
        <v>29</v>
      </c>
      <c r="F2515" s="265">
        <f>VLOOKUP(CONCATENATE(A2513,1),'zoznam zapasov'!$A$6:$K$160,11,0)</f>
        <v>1</v>
      </c>
      <c r="G2515" s="508"/>
      <c r="H2515" s="319"/>
      <c r="I2515" s="487" t="str">
        <f>IF(ISERROR(VLOOKUP(B2515,vylosovanie!$N$75:$Q$191,3,0))=TRUE," ",VLOOKUP(B2515,vylosovanie!$N$75:$Q$191,3,0))</f>
        <v>DIKO Dalibor</v>
      </c>
      <c r="J2515" s="488"/>
      <c r="K2515" s="488"/>
      <c r="L2515" s="488"/>
      <c r="M2515" s="263"/>
      <c r="N2515" s="489">
        <v>6</v>
      </c>
      <c r="O2515" s="489">
        <v>11</v>
      </c>
      <c r="P2515" s="489">
        <v>12</v>
      </c>
      <c r="Q2515" s="489">
        <v>11</v>
      </c>
      <c r="R2515" s="489"/>
      <c r="S2515" s="491"/>
      <c r="T2515" s="491"/>
      <c r="U2515" s="263"/>
      <c r="V2515" s="493">
        <f>IF(SUM(AF2515:AL2516)=0,"",SUM(AF2515:AL2515))</f>
        <v>3</v>
      </c>
      <c r="W2515" s="267"/>
      <c r="X2515" s="263"/>
      <c r="AE2515" s="253" t="str">
        <f>VLOOKUP(I2515,vylosovanie!$F$8:$L$190,7,0)</f>
        <v>CH11</v>
      </c>
      <c r="AF2515" s="268">
        <f>IF(N2515&gt;N2518,1,0)</f>
        <v>0</v>
      </c>
      <c r="AG2515" s="268">
        <f t="shared" ref="AG2515" si="2350">IF(O2515&gt;O2518,1,0)</f>
        <v>1</v>
      </c>
      <c r="AH2515" s="268">
        <f t="shared" ref="AH2515" si="2351">IF(P2515&gt;P2518,1,0)</f>
        <v>1</v>
      </c>
      <c r="AI2515" s="268">
        <f t="shared" ref="AI2515" si="2352">IF(Q2515&gt;Q2518,1,0)</f>
        <v>1</v>
      </c>
      <c r="AJ2515" s="268">
        <f t="shared" ref="AJ2515" si="2353">IF(R2515&gt;R2518,1,0)</f>
        <v>0</v>
      </c>
      <c r="AK2515" s="268">
        <f t="shared" ref="AK2515" si="2354">IF(S2515&gt;S2518,1,0)</f>
        <v>0</v>
      </c>
      <c r="AL2515" s="268">
        <f t="shared" ref="AL2515" si="2355">IF(T2515&gt;T2518,1,0)</f>
        <v>0</v>
      </c>
      <c r="AN2515" s="268">
        <f t="shared" ref="AN2515" si="2356">IF(ISBLANK(N2515)=TRUE,"",IF(AF2515=1,N2518,-N2515))</f>
        <v>-6</v>
      </c>
      <c r="AO2515" s="268">
        <f t="shared" ref="AO2515" si="2357">IF(ISBLANK(O2515)=TRUE,"",IF(AG2515=1,O2518,-O2515))</f>
        <v>5</v>
      </c>
      <c r="AP2515" s="268">
        <f t="shared" ref="AP2515" si="2358">IF(ISBLANK(P2515)=TRUE,"",IF(AH2515=1,P2518,-P2515))</f>
        <v>10</v>
      </c>
      <c r="AQ2515" s="268">
        <f t="shared" ref="AQ2515" si="2359">IF(ISBLANK(Q2515)=TRUE,"",IF(AI2515=1,Q2518,-Q2515))</f>
        <v>8</v>
      </c>
      <c r="AR2515" s="268" t="str">
        <f t="shared" ref="AR2515" si="2360">IF(ISBLANK(R2515)=TRUE,"",IF(AJ2515=1,R2518,-R2515))</f>
        <v/>
      </c>
      <c r="AS2515" s="268" t="str">
        <f t="shared" ref="AS2515" si="2361">IF(ISBLANK(S2515)=TRUE,"",IF(AK2515=1,S2518,-S2515))</f>
        <v/>
      </c>
      <c r="AT2515" s="268" t="str">
        <f t="shared" ref="AT2515" si="2362">IF(ISBLANK(T2515)=TRUE,"",IF(AL2515=1,T2518,-T2515))</f>
        <v/>
      </c>
      <c r="AZ2515" s="269" t="s">
        <v>12</v>
      </c>
      <c r="BA2515" s="269">
        <v>1</v>
      </c>
    </row>
    <row r="2516" spans="1:53" ht="39.950000000000003" customHeight="1">
      <c r="C2516" s="223"/>
      <c r="D2516" s="223"/>
      <c r="E2516" s="264"/>
      <c r="F2516" s="265"/>
      <c r="G2516" s="509"/>
      <c r="H2516" s="319"/>
      <c r="I2516" s="487" t="str">
        <f>IF(ISERROR(VLOOKUP(B2515,vylosovanie!$N$75:$Q$191,3,0))=TRUE," ",VLOOKUP(B2515,vylosovanie!$N$75:$Q$191,4,0))</f>
        <v>KYSEL Martin</v>
      </c>
      <c r="J2516" s="488"/>
      <c r="K2516" s="488"/>
      <c r="L2516" s="488"/>
      <c r="M2516" s="263"/>
      <c r="N2516" s="490"/>
      <c r="O2516" s="490"/>
      <c r="P2516" s="490"/>
      <c r="Q2516" s="490"/>
      <c r="R2516" s="490"/>
      <c r="S2516" s="492"/>
      <c r="T2516" s="492"/>
      <c r="U2516" s="263"/>
      <c r="V2516" s="493"/>
      <c r="W2516" s="267"/>
      <c r="X2516" s="263"/>
      <c r="AE2516" s="253" t="str">
        <f>VLOOKUP(I2518,vylosovanie!$F$8:$L$190,7,0)</f>
        <v>CH63</v>
      </c>
      <c r="AF2516" s="268">
        <f>IF(N2518&gt;N2515,1,0)</f>
        <v>1</v>
      </c>
      <c r="AG2516" s="268">
        <f t="shared" ref="AG2516" si="2363">IF(O2518&gt;O2515,1,0)</f>
        <v>0</v>
      </c>
      <c r="AH2516" s="268">
        <f t="shared" ref="AH2516" si="2364">IF(P2518&gt;P2515,1,0)</f>
        <v>0</v>
      </c>
      <c r="AI2516" s="268">
        <f t="shared" ref="AI2516" si="2365">IF(Q2518&gt;Q2515,1,0)</f>
        <v>0</v>
      </c>
      <c r="AJ2516" s="268">
        <f t="shared" ref="AJ2516" si="2366">IF(R2518&gt;R2515,1,0)</f>
        <v>0</v>
      </c>
      <c r="AK2516" s="268">
        <f t="shared" ref="AK2516" si="2367">IF(S2518&gt;S2515,1,0)</f>
        <v>0</v>
      </c>
      <c r="AL2516" s="268">
        <f t="shared" ref="AL2516" si="2368">IF(T2518&gt;T2515,1,0)</f>
        <v>0</v>
      </c>
      <c r="AN2516" s="268">
        <f t="shared" ref="AN2516" si="2369">IF(ISBLANK(N2518)=TRUE,"",IF(AF2516=1,N2515,-N2518))</f>
        <v>6</v>
      </c>
      <c r="AO2516" s="268">
        <f t="shared" ref="AO2516" si="2370">IF(ISBLANK(O2518)=TRUE,"",IF(AG2516=1,O2515,-O2518))</f>
        <v>-5</v>
      </c>
      <c r="AP2516" s="268">
        <f t="shared" ref="AP2516" si="2371">IF(ISBLANK(P2518)=TRUE,"",IF(AH2516=1,P2515,-P2518))</f>
        <v>-10</v>
      </c>
      <c r="AQ2516" s="268">
        <f t="shared" ref="AQ2516" si="2372">IF(ISBLANK(Q2518)=TRUE,"",IF(AI2516=1,Q2515,-Q2518))</f>
        <v>-8</v>
      </c>
      <c r="AR2516" s="268" t="str">
        <f t="shared" ref="AR2516" si="2373">IF(ISBLANK(R2518)=TRUE,"",IF(AJ2516=1,R2515,-R2518))</f>
        <v/>
      </c>
      <c r="AS2516" s="268" t="str">
        <f t="shared" ref="AS2516" si="2374">IF(ISBLANK(S2518)=TRUE,"",IF(AK2516=1,S2515,-S2518))</f>
        <v/>
      </c>
      <c r="AT2516" s="268" t="str">
        <f t="shared" ref="AT2516" si="2375">IF(ISBLANK(T2518)=TRUE,"",IF(AL2516=1,T2515,-T2518))</f>
        <v/>
      </c>
      <c r="AZ2516" s="269" t="s">
        <v>18</v>
      </c>
      <c r="BA2516" s="269">
        <v>2</v>
      </c>
    </row>
    <row r="2517" spans="1:53" ht="39.950000000000003" customHeight="1">
      <c r="C2517" s="223"/>
      <c r="D2517" s="223"/>
      <c r="E2517" s="264" t="s">
        <v>35</v>
      </c>
      <c r="F2517" s="265" t="str">
        <f>VLOOKUP(CONCATENATE(A2513,1),'zoznam zapasov'!$A$6:$K$160,9,0)</f>
        <v>So</v>
      </c>
      <c r="G2517" s="263"/>
      <c r="H2517" s="263"/>
      <c r="I2517" s="263"/>
      <c r="J2517" s="263"/>
      <c r="K2517" s="263"/>
      <c r="L2517" s="263"/>
      <c r="M2517" s="263"/>
      <c r="N2517" s="263"/>
      <c r="O2517" s="263"/>
      <c r="P2517" s="263"/>
      <c r="Q2517" s="263"/>
      <c r="R2517" s="263"/>
      <c r="S2517" s="263"/>
      <c r="T2517" s="263"/>
      <c r="U2517" s="263"/>
      <c r="V2517" s="263"/>
      <c r="W2517" s="267"/>
      <c r="X2517" s="263"/>
      <c r="AZ2517" s="269" t="s">
        <v>38</v>
      </c>
      <c r="BA2517" s="269">
        <v>3</v>
      </c>
    </row>
    <row r="2518" spans="1:53" ht="39.950000000000003" customHeight="1">
      <c r="A2518" s="252" t="str">
        <f>CONCATENATE(A2513,2)</f>
        <v>CH4P92</v>
      </c>
      <c r="B2518" s="252" t="str">
        <f>VLOOKUP(A2518,'KO KODY SPOLU'!$A$3:$B$189,2,0)</f>
        <v>PACH / DELINČAK</v>
      </c>
      <c r="C2518" s="223"/>
      <c r="D2518" s="223"/>
      <c r="E2518" s="264" t="s">
        <v>28</v>
      </c>
      <c r="F2518" s="270" t="str">
        <f>VLOOKUP(CONCATENATE(A2513,1),'zoznam zapasov'!$A$6:$K$160,10,0)</f>
        <v>17.00</v>
      </c>
      <c r="G2518" s="508"/>
      <c r="H2518" s="319"/>
      <c r="I2518" s="487" t="str">
        <f>IF(ISERROR(VLOOKUP(B2518,vylosovanie!$N$75:$Q$191,3,0))=TRUE," ",VLOOKUP(B2518,vylosovanie!$N$75:$Q$191,3,0))</f>
        <v>PACH Kamil</v>
      </c>
      <c r="J2518" s="488"/>
      <c r="K2518" s="488"/>
      <c r="L2518" s="488"/>
      <c r="M2518" s="263"/>
      <c r="N2518" s="489">
        <v>11</v>
      </c>
      <c r="O2518" s="489">
        <v>5</v>
      </c>
      <c r="P2518" s="489">
        <v>10</v>
      </c>
      <c r="Q2518" s="489">
        <v>8</v>
      </c>
      <c r="R2518" s="489"/>
      <c r="S2518" s="491"/>
      <c r="T2518" s="491"/>
      <c r="U2518" s="263"/>
      <c r="V2518" s="493">
        <f>IF(SUM(AF2515:AL2516)=0,"",SUM(AF2516:AL2516))</f>
        <v>1</v>
      </c>
      <c r="W2518" s="267"/>
      <c r="X2518" s="263"/>
      <c r="AZ2518" s="269" t="s">
        <v>39</v>
      </c>
      <c r="BA2518" s="269">
        <v>4</v>
      </c>
    </row>
    <row r="2519" spans="1:53" ht="39.950000000000003" customHeight="1">
      <c r="C2519" s="223"/>
      <c r="D2519" s="223"/>
      <c r="E2519" s="271"/>
      <c r="F2519" s="272"/>
      <c r="G2519" s="509"/>
      <c r="H2519" s="319"/>
      <c r="I2519" s="487" t="str">
        <f>IF(ISERROR(VLOOKUP(B2518,vylosovanie!$N$75:$Q$191,3,0))=TRUE," ",VLOOKUP(B2518,vylosovanie!$N$75:$Q$191,4,0))</f>
        <v>DELINČAK Filip</v>
      </c>
      <c r="J2519" s="488"/>
      <c r="K2519" s="488"/>
      <c r="L2519" s="488"/>
      <c r="M2519" s="263"/>
      <c r="N2519" s="490"/>
      <c r="O2519" s="490"/>
      <c r="P2519" s="490"/>
      <c r="Q2519" s="490"/>
      <c r="R2519" s="490"/>
      <c r="S2519" s="492"/>
      <c r="T2519" s="492"/>
      <c r="U2519" s="263"/>
      <c r="V2519" s="493"/>
      <c r="W2519" s="267"/>
      <c r="X2519" s="263"/>
      <c r="AZ2519" s="269" t="s">
        <v>40</v>
      </c>
      <c r="BA2519" s="269">
        <v>5</v>
      </c>
    </row>
    <row r="2520" spans="1:53" ht="39.950000000000003" customHeight="1">
      <c r="C2520" s="223"/>
      <c r="D2520" s="223"/>
      <c r="E2520" s="264" t="s">
        <v>66</v>
      </c>
      <c r="F2520" s="265" t="s">
        <v>309</v>
      </c>
      <c r="G2520" s="263"/>
      <c r="H2520" s="263"/>
      <c r="I2520" s="263"/>
      <c r="J2520" s="263"/>
      <c r="K2520" s="263"/>
      <c r="L2520" s="263"/>
      <c r="M2520" s="263"/>
      <c r="N2520" s="263"/>
      <c r="O2520" s="263"/>
      <c r="P2520" s="263"/>
      <c r="Q2520" s="263"/>
      <c r="R2520" s="263"/>
      <c r="S2520" s="263"/>
      <c r="T2520" s="263"/>
      <c r="U2520" s="263"/>
      <c r="V2520" s="263"/>
      <c r="W2520" s="267"/>
      <c r="X2520" s="263"/>
      <c r="AZ2520" s="269" t="s">
        <v>41</v>
      </c>
      <c r="BA2520" s="269">
        <v>6</v>
      </c>
    </row>
    <row r="2521" spans="1:53" ht="39.950000000000003" customHeight="1">
      <c r="C2521" s="223"/>
      <c r="D2521" s="223"/>
      <c r="E2521" s="271"/>
      <c r="F2521" s="272"/>
      <c r="G2521" s="263"/>
      <c r="H2521" s="263"/>
      <c r="I2521" s="263" t="s">
        <v>32</v>
      </c>
      <c r="J2521" s="263"/>
      <c r="K2521" s="263"/>
      <c r="L2521" s="263"/>
      <c r="M2521" s="263"/>
      <c r="N2521" s="273"/>
      <c r="O2521" s="266"/>
      <c r="P2521" s="266" t="s">
        <v>34</v>
      </c>
      <c r="Q2521" s="266"/>
      <c r="R2521" s="266"/>
      <c r="S2521" s="266"/>
      <c r="T2521" s="266"/>
      <c r="U2521" s="263"/>
      <c r="V2521" s="263"/>
      <c r="W2521" s="267"/>
      <c r="X2521" s="263"/>
      <c r="AZ2521" s="269" t="s">
        <v>42</v>
      </c>
      <c r="BA2521" s="269">
        <v>7</v>
      </c>
    </row>
    <row r="2522" spans="1:53" ht="39.950000000000003" customHeight="1">
      <c r="E2522" s="264" t="s">
        <v>26</v>
      </c>
      <c r="F2522" s="265" t="s">
        <v>128</v>
      </c>
      <c r="G2522" s="263"/>
      <c r="H2522" s="263"/>
      <c r="I2522" s="486"/>
      <c r="J2522" s="486"/>
      <c r="K2522" s="486"/>
      <c r="L2522" s="486"/>
      <c r="M2522" s="263"/>
      <c r="N2522" s="483" t="str">
        <f>IF(V2515&gt;V2518,I2515,IF(V2518&gt;V2515,I2518,""))</f>
        <v>DIKO Dalibor</v>
      </c>
      <c r="O2522" s="494"/>
      <c r="P2522" s="494"/>
      <c r="Q2522" s="494"/>
      <c r="R2522" s="494"/>
      <c r="S2522" s="495"/>
      <c r="T2522" s="263"/>
      <c r="U2522" s="263"/>
      <c r="V2522" s="263"/>
      <c r="W2522" s="267"/>
      <c r="X2522" s="263"/>
      <c r="AZ2522" s="269" t="s">
        <v>43</v>
      </c>
      <c r="BA2522" s="269">
        <v>8</v>
      </c>
    </row>
    <row r="2523" spans="1:53" ht="39.950000000000003" customHeight="1">
      <c r="E2523" s="271"/>
      <c r="F2523" s="272"/>
      <c r="G2523" s="263"/>
      <c r="H2523" s="263"/>
      <c r="I2523" s="486"/>
      <c r="J2523" s="486"/>
      <c r="K2523" s="486"/>
      <c r="L2523" s="486"/>
      <c r="M2523" s="263"/>
      <c r="N2523" s="483" t="str">
        <f>IF(V2515&gt;V2518,I2516,IF(V2518&gt;V2515,I2519,""))</f>
        <v>KYSEL Martin</v>
      </c>
      <c r="O2523" s="494"/>
      <c r="P2523" s="494"/>
      <c r="Q2523" s="494"/>
      <c r="R2523" s="494"/>
      <c r="S2523" s="495"/>
      <c r="T2523" s="263"/>
      <c r="U2523" s="263"/>
      <c r="V2523" s="263"/>
      <c r="W2523" s="267"/>
      <c r="X2523" s="263"/>
    </row>
    <row r="2524" spans="1:53" ht="39.950000000000003" customHeight="1">
      <c r="E2524" s="264" t="s">
        <v>27</v>
      </c>
      <c r="F2524" s="274" t="s">
        <v>348</v>
      </c>
      <c r="G2524" s="263"/>
      <c r="H2524" s="263"/>
      <c r="I2524" s="263"/>
      <c r="J2524" s="263"/>
      <c r="K2524" s="263"/>
      <c r="L2524" s="263"/>
      <c r="M2524" s="263"/>
      <c r="N2524" s="263"/>
      <c r="O2524" s="263"/>
      <c r="P2524" s="263"/>
      <c r="Q2524" s="263"/>
      <c r="R2524" s="263"/>
      <c r="S2524" s="263"/>
      <c r="T2524" s="263"/>
      <c r="U2524" s="263"/>
      <c r="V2524" s="263"/>
      <c r="W2524" s="267"/>
      <c r="X2524" s="263"/>
    </row>
    <row r="2525" spans="1:53" ht="39.950000000000003" customHeight="1">
      <c r="E2525" s="271"/>
      <c r="F2525" s="272"/>
      <c r="G2525" s="263"/>
      <c r="H2525" s="263" t="s">
        <v>33</v>
      </c>
      <c r="I2525" s="263"/>
      <c r="J2525" s="263"/>
      <c r="K2525" s="263"/>
      <c r="L2525" s="263"/>
      <c r="M2525" s="263"/>
      <c r="N2525" s="263"/>
      <c r="O2525" s="263"/>
      <c r="P2525" s="263"/>
      <c r="Q2525" s="263"/>
      <c r="R2525" s="263"/>
      <c r="S2525" s="263"/>
      <c r="T2525" s="263"/>
      <c r="U2525" s="263"/>
      <c r="V2525" s="263"/>
      <c r="W2525" s="267"/>
      <c r="X2525" s="263"/>
    </row>
    <row r="2526" spans="1:53" ht="39.950000000000003" customHeight="1">
      <c r="E2526" s="271"/>
      <c r="F2526" s="272"/>
      <c r="G2526" s="263"/>
      <c r="H2526" s="263"/>
      <c r="I2526" s="263"/>
      <c r="J2526" s="263"/>
      <c r="K2526" s="263"/>
      <c r="L2526" s="263"/>
      <c r="M2526" s="263"/>
      <c r="N2526" s="263"/>
      <c r="O2526" s="263"/>
      <c r="P2526" s="263"/>
      <c r="Q2526" s="263"/>
      <c r="R2526" s="263"/>
      <c r="S2526" s="263"/>
      <c r="T2526" s="263"/>
      <c r="U2526" s="263"/>
      <c r="V2526" s="263"/>
      <c r="W2526" s="267"/>
      <c r="X2526" s="263"/>
    </row>
    <row r="2527" spans="1:53" ht="39.950000000000003" customHeight="1">
      <c r="E2527" s="271"/>
      <c r="F2527" s="272"/>
      <c r="G2527" s="263"/>
      <c r="H2527" s="263"/>
      <c r="I2527" s="496" t="str">
        <f>I2515</f>
        <v>DIKO Dalibor</v>
      </c>
      <c r="J2527" s="496"/>
      <c r="K2527" s="496"/>
      <c r="L2527" s="496"/>
      <c r="M2527" s="263"/>
      <c r="N2527" s="263"/>
      <c r="P2527" s="496" t="str">
        <f>I2518</f>
        <v>PACH Kamil</v>
      </c>
      <c r="Q2527" s="496"/>
      <c r="R2527" s="496"/>
      <c r="S2527" s="496"/>
      <c r="T2527" s="497"/>
      <c r="U2527" s="497"/>
      <c r="V2527" s="263"/>
      <c r="W2527" s="267"/>
      <c r="X2527" s="263"/>
    </row>
    <row r="2528" spans="1:53" ht="39.950000000000003" customHeight="1">
      <c r="E2528" s="271"/>
      <c r="F2528" s="272"/>
      <c r="G2528" s="263"/>
      <c r="H2528" s="263"/>
      <c r="I2528" s="496" t="str">
        <f>I2516</f>
        <v>KYSEL Martin</v>
      </c>
      <c r="J2528" s="496"/>
      <c r="K2528" s="496"/>
      <c r="L2528" s="496"/>
      <c r="M2528" s="263"/>
      <c r="N2528" s="263"/>
      <c r="O2528" s="263"/>
      <c r="P2528" s="496" t="str">
        <f>I2519</f>
        <v>DELINČAK Filip</v>
      </c>
      <c r="Q2528" s="496"/>
      <c r="R2528" s="496"/>
      <c r="S2528" s="496"/>
      <c r="T2528" s="497"/>
      <c r="U2528" s="497"/>
      <c r="V2528" s="263"/>
      <c r="W2528" s="267"/>
      <c r="X2528" s="263"/>
    </row>
    <row r="2529" spans="1:53" ht="69.95" customHeight="1">
      <c r="E2529" s="264"/>
      <c r="F2529" s="265"/>
      <c r="G2529" s="263"/>
      <c r="H2529" s="275" t="s">
        <v>36</v>
      </c>
      <c r="I2529" s="483"/>
      <c r="J2529" s="484"/>
      <c r="K2529" s="484"/>
      <c r="L2529" s="485"/>
      <c r="M2529" s="263"/>
      <c r="N2529" s="263"/>
      <c r="O2529" s="275" t="s">
        <v>36</v>
      </c>
      <c r="P2529" s="486"/>
      <c r="Q2529" s="486"/>
      <c r="R2529" s="486"/>
      <c r="S2529" s="486"/>
      <c r="T2529" s="486"/>
      <c r="U2529" s="486"/>
      <c r="V2529" s="263"/>
      <c r="W2529" s="267"/>
      <c r="X2529" s="263"/>
    </row>
    <row r="2530" spans="1:53" ht="69.95" customHeight="1">
      <c r="E2530" s="264"/>
      <c r="F2530" s="265"/>
      <c r="G2530" s="263"/>
      <c r="H2530" s="275" t="s">
        <v>37</v>
      </c>
      <c r="I2530" s="486"/>
      <c r="J2530" s="486"/>
      <c r="K2530" s="486"/>
      <c r="L2530" s="486"/>
      <c r="M2530" s="263"/>
      <c r="N2530" s="263"/>
      <c r="O2530" s="275" t="s">
        <v>37</v>
      </c>
      <c r="P2530" s="486"/>
      <c r="Q2530" s="486"/>
      <c r="R2530" s="486"/>
      <c r="S2530" s="486"/>
      <c r="T2530" s="486"/>
      <c r="U2530" s="486"/>
      <c r="V2530" s="263"/>
      <c r="W2530" s="267"/>
      <c r="X2530" s="263"/>
    </row>
    <row r="2531" spans="1:53" ht="69.95" customHeight="1">
      <c r="E2531" s="264"/>
      <c r="F2531" s="265"/>
      <c r="G2531" s="263"/>
      <c r="H2531" s="275" t="s">
        <v>37</v>
      </c>
      <c r="I2531" s="486"/>
      <c r="J2531" s="486"/>
      <c r="K2531" s="486"/>
      <c r="L2531" s="486"/>
      <c r="M2531" s="263"/>
      <c r="N2531" s="263"/>
      <c r="O2531" s="275" t="s">
        <v>37</v>
      </c>
      <c r="P2531" s="486"/>
      <c r="Q2531" s="486"/>
      <c r="R2531" s="486"/>
      <c r="S2531" s="486"/>
      <c r="T2531" s="486"/>
      <c r="U2531" s="486"/>
      <c r="V2531" s="263"/>
      <c r="W2531" s="267"/>
      <c r="X2531" s="263"/>
    </row>
    <row r="2532" spans="1:53" ht="39.950000000000003" customHeight="1" thickBot="1">
      <c r="E2532" s="276"/>
      <c r="F2532" s="277"/>
      <c r="G2532" s="278"/>
      <c r="H2532" s="278"/>
      <c r="I2532" s="278"/>
      <c r="J2532" s="278"/>
      <c r="K2532" s="278"/>
      <c r="L2532" s="278"/>
      <c r="M2532" s="278"/>
      <c r="N2532" s="278"/>
      <c r="O2532" s="278"/>
      <c r="P2532" s="278"/>
      <c r="Q2532" s="278"/>
      <c r="R2532" s="278"/>
      <c r="S2532" s="278"/>
      <c r="T2532" s="279"/>
      <c r="U2532" s="279"/>
      <c r="V2532" s="279"/>
      <c r="W2532" s="280"/>
      <c r="X2532" s="263"/>
    </row>
    <row r="2533" spans="1:53" ht="62.25" thickBot="1"/>
    <row r="2534" spans="1:53" ht="39.950000000000003" customHeight="1">
      <c r="A2534" s="252" t="str">
        <f>CONCATENATE(F2541,F2543,F2545)</f>
        <v>CH4P10</v>
      </c>
      <c r="C2534" s="223"/>
      <c r="D2534" s="223"/>
      <c r="E2534" s="259" t="s">
        <v>70</v>
      </c>
      <c r="F2534" s="260">
        <f>VLOOKUP(CONCATENATE(A2534,1),'zoznam zapasov'!$A$6:$K$160,3,0)</f>
        <v>126</v>
      </c>
      <c r="G2534" s="261"/>
      <c r="H2534" s="322" t="s">
        <v>501</v>
      </c>
      <c r="I2534" s="261"/>
      <c r="J2534" s="261"/>
      <c r="K2534" s="261"/>
      <c r="L2534" s="261"/>
      <c r="M2534" s="261"/>
      <c r="N2534" s="261"/>
      <c r="O2534" s="261"/>
      <c r="P2534" s="261"/>
      <c r="Q2534" s="261"/>
      <c r="R2534" s="261"/>
      <c r="S2534" s="261"/>
      <c r="T2534" s="261"/>
      <c r="U2534" s="261"/>
      <c r="V2534" s="261" t="s">
        <v>30</v>
      </c>
      <c r="W2534" s="262"/>
      <c r="X2534" s="263"/>
      <c r="Y2534" s="253" t="str">
        <f>A2536</f>
        <v>CH4P101</v>
      </c>
      <c r="Z2534" s="258" t="str">
        <f>CONCATENATE(V2536,":",V2539)</f>
        <v>1:3</v>
      </c>
      <c r="AA2534" s="255" t="str">
        <f>IF(V2536&gt;V2539,B2536,IF(V2539&gt;V2536,B2539,""))</f>
        <v>FEČO / PAPÁNEK</v>
      </c>
      <c r="AB2534" s="255" t="str">
        <f>IF(V2536&gt;V2539,AV2534,IF(V2539&gt;V2536,AV2535,""))</f>
        <v xml:space="preserve">3:1 ( -9,10,3,6,,, ) </v>
      </c>
      <c r="AC2534" s="255" t="str">
        <f>CONCATENATE("Tbl.: ",F2536,"   H: ",F2539,"   D: ",F2538)</f>
        <v>Tbl.: 2   H: 17.00   D: So</v>
      </c>
      <c r="AE2534" s="253" t="s">
        <v>11</v>
      </c>
      <c r="AV2534" s="256" t="str">
        <f>CONCATENATE(V2536,":",V2539, " ( ",AN2536,",",AO2536,",",AP2536,",",AQ2536,",",AR2536,",",AS2536,",",AT2536," ) ")</f>
        <v xml:space="preserve">1:3 ( 9,-10,-3,-6,,, ) </v>
      </c>
    </row>
    <row r="2535" spans="1:53" ht="39.950000000000003" customHeight="1">
      <c r="C2535" s="223"/>
      <c r="D2535" s="223"/>
      <c r="E2535" s="264"/>
      <c r="F2535" s="265"/>
      <c r="G2535" s="321" t="s">
        <v>500</v>
      </c>
      <c r="H2535" s="323" t="s">
        <v>502</v>
      </c>
      <c r="I2535" s="263"/>
      <c r="J2535" s="263"/>
      <c r="K2535" s="263"/>
      <c r="L2535" s="263"/>
      <c r="M2535" s="263"/>
      <c r="N2535" s="266">
        <v>1</v>
      </c>
      <c r="O2535" s="266">
        <v>2</v>
      </c>
      <c r="P2535" s="266">
        <v>3</v>
      </c>
      <c r="Q2535" s="266">
        <v>4</v>
      </c>
      <c r="R2535" s="266">
        <v>5</v>
      </c>
      <c r="S2535" s="266">
        <v>6</v>
      </c>
      <c r="T2535" s="266">
        <v>7</v>
      </c>
      <c r="U2535" s="263"/>
      <c r="V2535" s="266" t="s">
        <v>31</v>
      </c>
      <c r="W2535" s="267"/>
      <c r="X2535" s="263"/>
      <c r="AE2535" s="253" t="s">
        <v>68</v>
      </c>
      <c r="AV2535" s="256" t="str">
        <f>CONCATENATE(V2539,":",V2536, " ( ",AN2537,",",AO2537,",",AP2537,",",AQ2537,",",AR2537,",",AS2537,",",AT2537," ) ")</f>
        <v xml:space="preserve">3:1 ( -9,10,3,6,,, ) </v>
      </c>
    </row>
    <row r="2536" spans="1:53" ht="39.950000000000003" customHeight="1">
      <c r="A2536" s="252" t="str">
        <f>CONCATENATE(A2534,1)</f>
        <v>CH4P101</v>
      </c>
      <c r="B2536" s="252" t="str">
        <f>VLOOKUP(A2536,'KO KODY SPOLU'!$A$3:$B$189,2,0)</f>
        <v>FUSEK / FREUND</v>
      </c>
      <c r="C2536" s="223"/>
      <c r="D2536" s="223"/>
      <c r="E2536" s="264" t="s">
        <v>29</v>
      </c>
      <c r="F2536" s="265">
        <f>VLOOKUP(CONCATENATE(A2534,1),'zoznam zapasov'!$A$6:$K$160,11,0)</f>
        <v>2</v>
      </c>
      <c r="G2536" s="508"/>
      <c r="H2536" s="319"/>
      <c r="I2536" s="487" t="str">
        <f>IF(ISERROR(VLOOKUP(B2536,vylosovanie!$N$75:$Q$191,3,0))=TRUE," ",VLOOKUP(B2536,vylosovanie!$N$75:$Q$191,3,0))</f>
        <v>FUSEK Patrik</v>
      </c>
      <c r="J2536" s="488"/>
      <c r="K2536" s="488"/>
      <c r="L2536" s="488"/>
      <c r="M2536" s="263"/>
      <c r="N2536" s="489">
        <v>11</v>
      </c>
      <c r="O2536" s="489">
        <v>10</v>
      </c>
      <c r="P2536" s="489">
        <v>3</v>
      </c>
      <c r="Q2536" s="489">
        <v>6</v>
      </c>
      <c r="R2536" s="489"/>
      <c r="S2536" s="491"/>
      <c r="T2536" s="491"/>
      <c r="U2536" s="263"/>
      <c r="V2536" s="493">
        <f>IF(SUM(AF2536:AL2537)=0,"",SUM(AF2536:AL2536))</f>
        <v>1</v>
      </c>
      <c r="W2536" s="267"/>
      <c r="X2536" s="263"/>
      <c r="AE2536" s="253" t="str">
        <f>VLOOKUP(I2536,vylosovanie!$F$8:$L$190,7,0)</f>
        <v>CH82</v>
      </c>
      <c r="AF2536" s="268">
        <f>IF(N2536&gt;N2539,1,0)</f>
        <v>1</v>
      </c>
      <c r="AG2536" s="268">
        <f t="shared" ref="AG2536" si="2376">IF(O2536&gt;O2539,1,0)</f>
        <v>0</v>
      </c>
      <c r="AH2536" s="268">
        <f t="shared" ref="AH2536" si="2377">IF(P2536&gt;P2539,1,0)</f>
        <v>0</v>
      </c>
      <c r="AI2536" s="268">
        <f t="shared" ref="AI2536" si="2378">IF(Q2536&gt;Q2539,1,0)</f>
        <v>0</v>
      </c>
      <c r="AJ2536" s="268">
        <f t="shared" ref="AJ2536" si="2379">IF(R2536&gt;R2539,1,0)</f>
        <v>0</v>
      </c>
      <c r="AK2536" s="268">
        <f t="shared" ref="AK2536" si="2380">IF(S2536&gt;S2539,1,0)</f>
        <v>0</v>
      </c>
      <c r="AL2536" s="268">
        <f t="shared" ref="AL2536" si="2381">IF(T2536&gt;T2539,1,0)</f>
        <v>0</v>
      </c>
      <c r="AN2536" s="268">
        <f t="shared" ref="AN2536" si="2382">IF(ISBLANK(N2536)=TRUE,"",IF(AF2536=1,N2539,-N2536))</f>
        <v>9</v>
      </c>
      <c r="AO2536" s="268">
        <f t="shared" ref="AO2536" si="2383">IF(ISBLANK(O2536)=TRUE,"",IF(AG2536=1,O2539,-O2536))</f>
        <v>-10</v>
      </c>
      <c r="AP2536" s="268">
        <f t="shared" ref="AP2536" si="2384">IF(ISBLANK(P2536)=TRUE,"",IF(AH2536=1,P2539,-P2536))</f>
        <v>-3</v>
      </c>
      <c r="AQ2536" s="268">
        <f t="shared" ref="AQ2536" si="2385">IF(ISBLANK(Q2536)=TRUE,"",IF(AI2536=1,Q2539,-Q2536))</f>
        <v>-6</v>
      </c>
      <c r="AR2536" s="268" t="str">
        <f t="shared" ref="AR2536" si="2386">IF(ISBLANK(R2536)=TRUE,"",IF(AJ2536=1,R2539,-R2536))</f>
        <v/>
      </c>
      <c r="AS2536" s="268" t="str">
        <f t="shared" ref="AS2536" si="2387">IF(ISBLANK(S2536)=TRUE,"",IF(AK2536=1,S2539,-S2536))</f>
        <v/>
      </c>
      <c r="AT2536" s="268" t="str">
        <f t="shared" ref="AT2536" si="2388">IF(ISBLANK(T2536)=TRUE,"",IF(AL2536=1,T2539,-T2536))</f>
        <v/>
      </c>
      <c r="AZ2536" s="269" t="s">
        <v>12</v>
      </c>
      <c r="BA2536" s="269">
        <v>1</v>
      </c>
    </row>
    <row r="2537" spans="1:53" ht="39.950000000000003" customHeight="1">
      <c r="C2537" s="223"/>
      <c r="D2537" s="223"/>
      <c r="E2537" s="264"/>
      <c r="F2537" s="265"/>
      <c r="G2537" s="509"/>
      <c r="H2537" s="319"/>
      <c r="I2537" s="487" t="str">
        <f>IF(ISERROR(VLOOKUP(B2536,vylosovanie!$N$75:$Q$191,3,0))=TRUE," ",VLOOKUP(B2536,vylosovanie!$N$75:$Q$191,4,0))</f>
        <v>FREUND Andrej</v>
      </c>
      <c r="J2537" s="488"/>
      <c r="K2537" s="488"/>
      <c r="L2537" s="488"/>
      <c r="M2537" s="263"/>
      <c r="N2537" s="490"/>
      <c r="O2537" s="490"/>
      <c r="P2537" s="490"/>
      <c r="Q2537" s="490"/>
      <c r="R2537" s="490"/>
      <c r="S2537" s="492"/>
      <c r="T2537" s="492"/>
      <c r="U2537" s="263"/>
      <c r="V2537" s="493"/>
      <c r="W2537" s="267"/>
      <c r="X2537" s="263"/>
      <c r="AE2537" s="253" t="str">
        <f>VLOOKUP(I2539,vylosovanie!$F$8:$L$190,7,0)</f>
        <v>CH31</v>
      </c>
      <c r="AF2537" s="268">
        <f>IF(N2539&gt;N2536,1,0)</f>
        <v>0</v>
      </c>
      <c r="AG2537" s="268">
        <f t="shared" ref="AG2537" si="2389">IF(O2539&gt;O2536,1,0)</f>
        <v>1</v>
      </c>
      <c r="AH2537" s="268">
        <f t="shared" ref="AH2537" si="2390">IF(P2539&gt;P2536,1,0)</f>
        <v>1</v>
      </c>
      <c r="AI2537" s="268">
        <f t="shared" ref="AI2537" si="2391">IF(Q2539&gt;Q2536,1,0)</f>
        <v>1</v>
      </c>
      <c r="AJ2537" s="268">
        <f t="shared" ref="AJ2537" si="2392">IF(R2539&gt;R2536,1,0)</f>
        <v>0</v>
      </c>
      <c r="AK2537" s="268">
        <f t="shared" ref="AK2537" si="2393">IF(S2539&gt;S2536,1,0)</f>
        <v>0</v>
      </c>
      <c r="AL2537" s="268">
        <f t="shared" ref="AL2537" si="2394">IF(T2539&gt;T2536,1,0)</f>
        <v>0</v>
      </c>
      <c r="AN2537" s="268">
        <f t="shared" ref="AN2537" si="2395">IF(ISBLANK(N2539)=TRUE,"",IF(AF2537=1,N2536,-N2539))</f>
        <v>-9</v>
      </c>
      <c r="AO2537" s="268">
        <f t="shared" ref="AO2537" si="2396">IF(ISBLANK(O2539)=TRUE,"",IF(AG2537=1,O2536,-O2539))</f>
        <v>10</v>
      </c>
      <c r="AP2537" s="268">
        <f t="shared" ref="AP2537" si="2397">IF(ISBLANK(P2539)=TRUE,"",IF(AH2537=1,P2536,-P2539))</f>
        <v>3</v>
      </c>
      <c r="AQ2537" s="268">
        <f t="shared" ref="AQ2537" si="2398">IF(ISBLANK(Q2539)=TRUE,"",IF(AI2537=1,Q2536,-Q2539))</f>
        <v>6</v>
      </c>
      <c r="AR2537" s="268" t="str">
        <f t="shared" ref="AR2537" si="2399">IF(ISBLANK(R2539)=TRUE,"",IF(AJ2537=1,R2536,-R2539))</f>
        <v/>
      </c>
      <c r="AS2537" s="268" t="str">
        <f t="shared" ref="AS2537" si="2400">IF(ISBLANK(S2539)=TRUE,"",IF(AK2537=1,S2536,-S2539))</f>
        <v/>
      </c>
      <c r="AT2537" s="268" t="str">
        <f t="shared" ref="AT2537" si="2401">IF(ISBLANK(T2539)=TRUE,"",IF(AL2537=1,T2536,-T2539))</f>
        <v/>
      </c>
      <c r="AZ2537" s="269" t="s">
        <v>18</v>
      </c>
      <c r="BA2537" s="269">
        <v>2</v>
      </c>
    </row>
    <row r="2538" spans="1:53" ht="39.950000000000003" customHeight="1">
      <c r="C2538" s="223"/>
      <c r="D2538" s="223"/>
      <c r="E2538" s="264" t="s">
        <v>35</v>
      </c>
      <c r="F2538" s="265" t="str">
        <f>VLOOKUP(CONCATENATE(A2534,1),'zoznam zapasov'!$A$6:$K$160,9,0)</f>
        <v>So</v>
      </c>
      <c r="G2538" s="263"/>
      <c r="H2538" s="263"/>
      <c r="I2538" s="263"/>
      <c r="J2538" s="263"/>
      <c r="K2538" s="263"/>
      <c r="L2538" s="263"/>
      <c r="M2538" s="263"/>
      <c r="N2538" s="263"/>
      <c r="O2538" s="263"/>
      <c r="P2538" s="263"/>
      <c r="Q2538" s="263"/>
      <c r="R2538" s="263"/>
      <c r="S2538" s="263"/>
      <c r="T2538" s="263"/>
      <c r="U2538" s="263"/>
      <c r="V2538" s="263"/>
      <c r="W2538" s="267"/>
      <c r="X2538" s="263"/>
      <c r="AZ2538" s="269" t="s">
        <v>38</v>
      </c>
      <c r="BA2538" s="269">
        <v>3</v>
      </c>
    </row>
    <row r="2539" spans="1:53" ht="39.950000000000003" customHeight="1">
      <c r="A2539" s="252" t="str">
        <f>CONCATENATE(A2534,2)</f>
        <v>CH4P102</v>
      </c>
      <c r="B2539" s="252" t="str">
        <f>VLOOKUP(A2539,'KO KODY SPOLU'!$A$3:$B$189,2,0)</f>
        <v>FEČO / PAPÁNEK</v>
      </c>
      <c r="C2539" s="223"/>
      <c r="D2539" s="223"/>
      <c r="E2539" s="264" t="s">
        <v>28</v>
      </c>
      <c r="F2539" s="270" t="str">
        <f>VLOOKUP(CONCATENATE(A2534,1),'zoznam zapasov'!$A$6:$K$160,10,0)</f>
        <v>17.00</v>
      </c>
      <c r="G2539" s="508"/>
      <c r="H2539" s="319"/>
      <c r="I2539" s="487" t="str">
        <f>IF(ISERROR(VLOOKUP(B2539,vylosovanie!$N$75:$Q$191,3,0))=TRUE," ",VLOOKUP(B2539,vylosovanie!$N$75:$Q$191,3,0))</f>
        <v>FEČO Samuel</v>
      </c>
      <c r="J2539" s="488"/>
      <c r="K2539" s="488"/>
      <c r="L2539" s="488"/>
      <c r="M2539" s="263"/>
      <c r="N2539" s="489">
        <v>9</v>
      </c>
      <c r="O2539" s="489">
        <v>12</v>
      </c>
      <c r="P2539" s="489">
        <v>11</v>
      </c>
      <c r="Q2539" s="489">
        <v>11</v>
      </c>
      <c r="R2539" s="489"/>
      <c r="S2539" s="491"/>
      <c r="T2539" s="491"/>
      <c r="U2539" s="263"/>
      <c r="V2539" s="493">
        <f>IF(SUM(AF2536:AL2537)=0,"",SUM(AF2537:AL2537))</f>
        <v>3</v>
      </c>
      <c r="W2539" s="267"/>
      <c r="X2539" s="263"/>
      <c r="AZ2539" s="269" t="s">
        <v>39</v>
      </c>
      <c r="BA2539" s="269">
        <v>4</v>
      </c>
    </row>
    <row r="2540" spans="1:53" ht="39.950000000000003" customHeight="1">
      <c r="C2540" s="223"/>
      <c r="D2540" s="223"/>
      <c r="E2540" s="271"/>
      <c r="F2540" s="272"/>
      <c r="G2540" s="509"/>
      <c r="H2540" s="319"/>
      <c r="I2540" s="487" t="str">
        <f>IF(ISERROR(VLOOKUP(B2539,vylosovanie!$N$75:$Q$191,3,0))=TRUE," ",VLOOKUP(B2539,vylosovanie!$N$75:$Q$191,4,0))</f>
        <v>PAPÁNEK Martin</v>
      </c>
      <c r="J2540" s="488"/>
      <c r="K2540" s="488"/>
      <c r="L2540" s="488"/>
      <c r="M2540" s="263"/>
      <c r="N2540" s="490"/>
      <c r="O2540" s="490"/>
      <c r="P2540" s="490"/>
      <c r="Q2540" s="490"/>
      <c r="R2540" s="490"/>
      <c r="S2540" s="492"/>
      <c r="T2540" s="492"/>
      <c r="U2540" s="263"/>
      <c r="V2540" s="493"/>
      <c r="W2540" s="267"/>
      <c r="X2540" s="263"/>
      <c r="AZ2540" s="269" t="s">
        <v>40</v>
      </c>
      <c r="BA2540" s="269">
        <v>5</v>
      </c>
    </row>
    <row r="2541" spans="1:53" ht="39.950000000000003" customHeight="1">
      <c r="C2541" s="223"/>
      <c r="D2541" s="223"/>
      <c r="E2541" s="264" t="s">
        <v>66</v>
      </c>
      <c r="F2541" s="265" t="s">
        <v>309</v>
      </c>
      <c r="G2541" s="263"/>
      <c r="H2541" s="263"/>
      <c r="I2541" s="263"/>
      <c r="J2541" s="263"/>
      <c r="K2541" s="263"/>
      <c r="L2541" s="263"/>
      <c r="M2541" s="263"/>
      <c r="N2541" s="263"/>
      <c r="O2541" s="263"/>
      <c r="P2541" s="263"/>
      <c r="Q2541" s="263"/>
      <c r="R2541" s="263"/>
      <c r="S2541" s="263"/>
      <c r="T2541" s="263"/>
      <c r="U2541" s="263"/>
      <c r="V2541" s="263"/>
      <c r="W2541" s="267"/>
      <c r="X2541" s="263"/>
      <c r="AZ2541" s="269" t="s">
        <v>41</v>
      </c>
      <c r="BA2541" s="269">
        <v>6</v>
      </c>
    </row>
    <row r="2542" spans="1:53" ht="39.950000000000003" customHeight="1">
      <c r="C2542" s="223"/>
      <c r="D2542" s="223"/>
      <c r="E2542" s="271"/>
      <c r="F2542" s="272"/>
      <c r="G2542" s="263"/>
      <c r="H2542" s="263"/>
      <c r="I2542" s="263" t="s">
        <v>32</v>
      </c>
      <c r="J2542" s="263"/>
      <c r="K2542" s="263"/>
      <c r="L2542" s="263"/>
      <c r="M2542" s="263"/>
      <c r="N2542" s="273"/>
      <c r="O2542" s="266"/>
      <c r="P2542" s="266" t="s">
        <v>34</v>
      </c>
      <c r="Q2542" s="266"/>
      <c r="R2542" s="266"/>
      <c r="S2542" s="266"/>
      <c r="T2542" s="266"/>
      <c r="U2542" s="263"/>
      <c r="V2542" s="263"/>
      <c r="W2542" s="267"/>
      <c r="X2542" s="263"/>
      <c r="AZ2542" s="269" t="s">
        <v>42</v>
      </c>
      <c r="BA2542" s="269">
        <v>7</v>
      </c>
    </row>
    <row r="2543" spans="1:53" ht="39.950000000000003" customHeight="1">
      <c r="E2543" s="264" t="s">
        <v>26</v>
      </c>
      <c r="F2543" s="265" t="s">
        <v>128</v>
      </c>
      <c r="G2543" s="263"/>
      <c r="H2543" s="263"/>
      <c r="I2543" s="486"/>
      <c r="J2543" s="486"/>
      <c r="K2543" s="486"/>
      <c r="L2543" s="486"/>
      <c r="M2543" s="263"/>
      <c r="N2543" s="483" t="str">
        <f>IF(V2536&gt;V2539,I2536,IF(V2539&gt;V2536,I2539,""))</f>
        <v>FEČO Samuel</v>
      </c>
      <c r="O2543" s="494"/>
      <c r="P2543" s="494"/>
      <c r="Q2543" s="494"/>
      <c r="R2543" s="494"/>
      <c r="S2543" s="495"/>
      <c r="T2543" s="263"/>
      <c r="U2543" s="263"/>
      <c r="V2543" s="263"/>
      <c r="W2543" s="267"/>
      <c r="X2543" s="263"/>
      <c r="AZ2543" s="269" t="s">
        <v>43</v>
      </c>
      <c r="BA2543" s="269">
        <v>8</v>
      </c>
    </row>
    <row r="2544" spans="1:53" ht="39.950000000000003" customHeight="1">
      <c r="E2544" s="271"/>
      <c r="F2544" s="272"/>
      <c r="G2544" s="263"/>
      <c r="H2544" s="263"/>
      <c r="I2544" s="486"/>
      <c r="J2544" s="486"/>
      <c r="K2544" s="486"/>
      <c r="L2544" s="486"/>
      <c r="M2544" s="263"/>
      <c r="N2544" s="483" t="str">
        <f>IF(V2536&gt;V2539,I2537,IF(V2539&gt;V2536,I2540,""))</f>
        <v>PAPÁNEK Martin</v>
      </c>
      <c r="O2544" s="494"/>
      <c r="P2544" s="494"/>
      <c r="Q2544" s="494"/>
      <c r="R2544" s="494"/>
      <c r="S2544" s="495"/>
      <c r="T2544" s="263"/>
      <c r="U2544" s="263"/>
      <c r="V2544" s="263"/>
      <c r="W2544" s="267"/>
      <c r="X2544" s="263"/>
    </row>
    <row r="2545" spans="1:53" ht="39.950000000000003" customHeight="1">
      <c r="E2545" s="264" t="s">
        <v>27</v>
      </c>
      <c r="F2545" s="274" t="s">
        <v>349</v>
      </c>
      <c r="G2545" s="263"/>
      <c r="H2545" s="263"/>
      <c r="I2545" s="263"/>
      <c r="J2545" s="263"/>
      <c r="K2545" s="263"/>
      <c r="L2545" s="263"/>
      <c r="M2545" s="263"/>
      <c r="N2545" s="263"/>
      <c r="O2545" s="263"/>
      <c r="P2545" s="263"/>
      <c r="Q2545" s="263"/>
      <c r="R2545" s="263"/>
      <c r="S2545" s="263"/>
      <c r="T2545" s="263"/>
      <c r="U2545" s="263"/>
      <c r="V2545" s="263"/>
      <c r="W2545" s="267"/>
      <c r="X2545" s="263"/>
    </row>
    <row r="2546" spans="1:53" ht="39.950000000000003" customHeight="1">
      <c r="E2546" s="271"/>
      <c r="F2546" s="272"/>
      <c r="G2546" s="263"/>
      <c r="H2546" s="263" t="s">
        <v>33</v>
      </c>
      <c r="I2546" s="263"/>
      <c r="J2546" s="263"/>
      <c r="K2546" s="263"/>
      <c r="L2546" s="263"/>
      <c r="M2546" s="263"/>
      <c r="N2546" s="263"/>
      <c r="O2546" s="263"/>
      <c r="P2546" s="263"/>
      <c r="Q2546" s="263"/>
      <c r="R2546" s="263"/>
      <c r="S2546" s="263"/>
      <c r="T2546" s="263"/>
      <c r="U2546" s="263"/>
      <c r="V2546" s="263"/>
      <c r="W2546" s="267"/>
      <c r="X2546" s="263"/>
    </row>
    <row r="2547" spans="1:53" ht="39.950000000000003" customHeight="1">
      <c r="E2547" s="271"/>
      <c r="F2547" s="272"/>
      <c r="G2547" s="263"/>
      <c r="H2547" s="263"/>
      <c r="I2547" s="263"/>
      <c r="J2547" s="263"/>
      <c r="K2547" s="263"/>
      <c r="L2547" s="263"/>
      <c r="M2547" s="263"/>
      <c r="N2547" s="263"/>
      <c r="O2547" s="263"/>
      <c r="P2547" s="263"/>
      <c r="Q2547" s="263"/>
      <c r="R2547" s="263"/>
      <c r="S2547" s="263"/>
      <c r="T2547" s="263"/>
      <c r="U2547" s="263"/>
      <c r="V2547" s="263"/>
      <c r="W2547" s="267"/>
      <c r="X2547" s="263"/>
    </row>
    <row r="2548" spans="1:53" ht="39.950000000000003" customHeight="1">
      <c r="E2548" s="271"/>
      <c r="F2548" s="272"/>
      <c r="G2548" s="263"/>
      <c r="H2548" s="263"/>
      <c r="I2548" s="496" t="str">
        <f>I2536</f>
        <v>FUSEK Patrik</v>
      </c>
      <c r="J2548" s="496"/>
      <c r="K2548" s="496"/>
      <c r="L2548" s="496"/>
      <c r="M2548" s="263"/>
      <c r="N2548" s="263"/>
      <c r="P2548" s="496" t="str">
        <f>I2539</f>
        <v>FEČO Samuel</v>
      </c>
      <c r="Q2548" s="496"/>
      <c r="R2548" s="496"/>
      <c r="S2548" s="496"/>
      <c r="T2548" s="497"/>
      <c r="U2548" s="497"/>
      <c r="V2548" s="263"/>
      <c r="W2548" s="267"/>
      <c r="X2548" s="263"/>
    </row>
    <row r="2549" spans="1:53" ht="39.950000000000003" customHeight="1">
      <c r="E2549" s="271"/>
      <c r="F2549" s="272"/>
      <c r="G2549" s="263"/>
      <c r="H2549" s="263"/>
      <c r="I2549" s="496" t="str">
        <f>I2537</f>
        <v>FREUND Andrej</v>
      </c>
      <c r="J2549" s="496"/>
      <c r="K2549" s="496"/>
      <c r="L2549" s="496"/>
      <c r="M2549" s="263"/>
      <c r="N2549" s="263"/>
      <c r="O2549" s="263"/>
      <c r="P2549" s="496" t="str">
        <f>I2540</f>
        <v>PAPÁNEK Martin</v>
      </c>
      <c r="Q2549" s="496"/>
      <c r="R2549" s="496"/>
      <c r="S2549" s="496"/>
      <c r="T2549" s="497"/>
      <c r="U2549" s="497"/>
      <c r="V2549" s="263"/>
      <c r="W2549" s="267"/>
      <c r="X2549" s="263"/>
    </row>
    <row r="2550" spans="1:53" ht="69.95" customHeight="1">
      <c r="E2550" s="264"/>
      <c r="F2550" s="265"/>
      <c r="G2550" s="263"/>
      <c r="H2550" s="275" t="s">
        <v>36</v>
      </c>
      <c r="I2550" s="483"/>
      <c r="J2550" s="484"/>
      <c r="K2550" s="484"/>
      <c r="L2550" s="485"/>
      <c r="M2550" s="263"/>
      <c r="N2550" s="263"/>
      <c r="O2550" s="275" t="s">
        <v>36</v>
      </c>
      <c r="P2550" s="486"/>
      <c r="Q2550" s="486"/>
      <c r="R2550" s="486"/>
      <c r="S2550" s="486"/>
      <c r="T2550" s="486"/>
      <c r="U2550" s="486"/>
      <c r="V2550" s="263"/>
      <c r="W2550" s="267"/>
      <c r="X2550" s="263"/>
    </row>
    <row r="2551" spans="1:53" ht="69.95" customHeight="1">
      <c r="E2551" s="264"/>
      <c r="F2551" s="265"/>
      <c r="G2551" s="263"/>
      <c r="H2551" s="275" t="s">
        <v>37</v>
      </c>
      <c r="I2551" s="486"/>
      <c r="J2551" s="486"/>
      <c r="K2551" s="486"/>
      <c r="L2551" s="486"/>
      <c r="M2551" s="263"/>
      <c r="N2551" s="263"/>
      <c r="O2551" s="275" t="s">
        <v>37</v>
      </c>
      <c r="P2551" s="486"/>
      <c r="Q2551" s="486"/>
      <c r="R2551" s="486"/>
      <c r="S2551" s="486"/>
      <c r="T2551" s="486"/>
      <c r="U2551" s="486"/>
      <c r="V2551" s="263"/>
      <c r="W2551" s="267"/>
      <c r="X2551" s="263"/>
    </row>
    <row r="2552" spans="1:53" ht="69.95" customHeight="1">
      <c r="E2552" s="264"/>
      <c r="F2552" s="265"/>
      <c r="G2552" s="263"/>
      <c r="H2552" s="275" t="s">
        <v>37</v>
      </c>
      <c r="I2552" s="486"/>
      <c r="J2552" s="486"/>
      <c r="K2552" s="486"/>
      <c r="L2552" s="486"/>
      <c r="M2552" s="263"/>
      <c r="N2552" s="263"/>
      <c r="O2552" s="275" t="s">
        <v>37</v>
      </c>
      <c r="P2552" s="486"/>
      <c r="Q2552" s="486"/>
      <c r="R2552" s="486"/>
      <c r="S2552" s="486"/>
      <c r="T2552" s="486"/>
      <c r="U2552" s="486"/>
      <c r="V2552" s="263"/>
      <c r="W2552" s="267"/>
      <c r="X2552" s="263"/>
    </row>
    <row r="2553" spans="1:53" ht="39.950000000000003" customHeight="1" thickBot="1">
      <c r="E2553" s="276"/>
      <c r="F2553" s="277"/>
      <c r="G2553" s="278"/>
      <c r="H2553" s="278"/>
      <c r="I2553" s="278"/>
      <c r="J2553" s="278"/>
      <c r="K2553" s="278"/>
      <c r="L2553" s="278"/>
      <c r="M2553" s="278"/>
      <c r="N2553" s="278"/>
      <c r="O2553" s="278"/>
      <c r="P2553" s="278"/>
      <c r="Q2553" s="278"/>
      <c r="R2553" s="278"/>
      <c r="S2553" s="278"/>
      <c r="T2553" s="279"/>
      <c r="U2553" s="279"/>
      <c r="V2553" s="279"/>
      <c r="W2553" s="280"/>
      <c r="X2553" s="263"/>
    </row>
    <row r="2554" spans="1:53" ht="62.25" thickBot="1"/>
    <row r="2555" spans="1:53" ht="39.950000000000003" customHeight="1">
      <c r="A2555" s="252" t="str">
        <f>CONCATENATE(F2562,F2564,F2566)</f>
        <v>CH4P11</v>
      </c>
      <c r="C2555" s="223"/>
      <c r="D2555" s="223"/>
      <c r="E2555" s="259" t="s">
        <v>70</v>
      </c>
      <c r="F2555" s="260">
        <f>VLOOKUP(CONCATENATE(A2555,1),'zoznam zapasov'!$A$6:$K$160,3,0)</f>
        <v>127</v>
      </c>
      <c r="G2555" s="261"/>
      <c r="H2555" s="322" t="s">
        <v>501</v>
      </c>
      <c r="I2555" s="261"/>
      <c r="J2555" s="261"/>
      <c r="K2555" s="261"/>
      <c r="L2555" s="261"/>
      <c r="M2555" s="261"/>
      <c r="N2555" s="261"/>
      <c r="O2555" s="261"/>
      <c r="P2555" s="261"/>
      <c r="Q2555" s="261"/>
      <c r="R2555" s="261"/>
      <c r="S2555" s="261"/>
      <c r="T2555" s="261"/>
      <c r="U2555" s="261"/>
      <c r="V2555" s="261" t="s">
        <v>30</v>
      </c>
      <c r="W2555" s="262"/>
      <c r="X2555" s="263"/>
      <c r="Y2555" s="253" t="str">
        <f>A2557</f>
        <v>CH4P111</v>
      </c>
      <c r="Z2555" s="258" t="str">
        <f>CONCATENATE(V2557,":",V2560)</f>
        <v>2:3</v>
      </c>
      <c r="AA2555" s="255" t="str">
        <f>IF(V2557&gt;V2560,B2557,IF(V2560&gt;V2557,B2560,""))</f>
        <v>ĎANOVSKÝ / MILAN</v>
      </c>
      <c r="AB2555" s="255" t="str">
        <f>IF(V2557&gt;V2560,AV2555,IF(V2560&gt;V2557,AV2556,""))</f>
        <v xml:space="preserve">3:2 ( -7,15,-10,8,14,, ) </v>
      </c>
      <c r="AC2555" s="255" t="str">
        <f>CONCATENATE("Tbl.: ",F2557,"   H: ",F2560,"   D: ",F2559)</f>
        <v>Tbl.: 3   H: 17.00   D: So</v>
      </c>
      <c r="AE2555" s="253" t="s">
        <v>11</v>
      </c>
      <c r="AV2555" s="256" t="str">
        <f>CONCATENATE(V2557,":",V2560, " ( ",AN2557,",",AO2557,",",AP2557,",",AQ2557,",",AR2557,",",AS2557,",",AT2557," ) ")</f>
        <v xml:space="preserve">2:3 ( 7,-15,10,-8,-14,, ) </v>
      </c>
    </row>
    <row r="2556" spans="1:53" ht="39.950000000000003" customHeight="1">
      <c r="C2556" s="223"/>
      <c r="D2556" s="223"/>
      <c r="E2556" s="264"/>
      <c r="F2556" s="265"/>
      <c r="G2556" s="321" t="s">
        <v>500</v>
      </c>
      <c r="H2556" s="323" t="s">
        <v>502</v>
      </c>
      <c r="I2556" s="263"/>
      <c r="J2556" s="263"/>
      <c r="K2556" s="263"/>
      <c r="L2556" s="263"/>
      <c r="M2556" s="263"/>
      <c r="N2556" s="266">
        <v>1</v>
      </c>
      <c r="O2556" s="266">
        <v>2</v>
      </c>
      <c r="P2556" s="266">
        <v>3</v>
      </c>
      <c r="Q2556" s="266">
        <v>4</v>
      </c>
      <c r="R2556" s="266">
        <v>5</v>
      </c>
      <c r="S2556" s="266">
        <v>6</v>
      </c>
      <c r="T2556" s="266">
        <v>7</v>
      </c>
      <c r="U2556" s="263"/>
      <c r="V2556" s="266" t="s">
        <v>31</v>
      </c>
      <c r="W2556" s="267"/>
      <c r="X2556" s="263"/>
      <c r="AE2556" s="253" t="s">
        <v>68</v>
      </c>
      <c r="AV2556" s="256" t="str">
        <f>CONCATENATE(V2560,":",V2557, " ( ",AN2558,",",AO2558,",",AP2558,",",AQ2558,",",AR2558,",",AS2558,",",AT2558," ) ")</f>
        <v xml:space="preserve">3:2 ( -7,15,-10,8,14,, ) </v>
      </c>
    </row>
    <row r="2557" spans="1:53" ht="39.950000000000003" customHeight="1">
      <c r="A2557" s="252" t="str">
        <f>CONCATENATE(A2555,1)</f>
        <v>CH4P111</v>
      </c>
      <c r="B2557" s="252" t="str">
        <f>VLOOKUP(A2557,'KO KODY SPOLU'!$A$3:$B$189,2,0)</f>
        <v>PETRÍK / TUREK</v>
      </c>
      <c r="C2557" s="223"/>
      <c r="D2557" s="223"/>
      <c r="E2557" s="264" t="s">
        <v>29</v>
      </c>
      <c r="F2557" s="265">
        <f>VLOOKUP(CONCATENATE(A2555,1),'zoznam zapasov'!$A$6:$K$160,11,0)</f>
        <v>3</v>
      </c>
      <c r="G2557" s="508"/>
      <c r="H2557" s="319"/>
      <c r="I2557" s="487" t="str">
        <f>IF(ISERROR(VLOOKUP(B2557,vylosovanie!$N$75:$Q$191,3,0))=TRUE," ",VLOOKUP(B2557,vylosovanie!$N$75:$Q$191,3,0))</f>
        <v>PETRÍK Filip</v>
      </c>
      <c r="J2557" s="488"/>
      <c r="K2557" s="488"/>
      <c r="L2557" s="488"/>
      <c r="M2557" s="263"/>
      <c r="N2557" s="489">
        <v>11</v>
      </c>
      <c r="O2557" s="489">
        <v>15</v>
      </c>
      <c r="P2557" s="489">
        <v>12</v>
      </c>
      <c r="Q2557" s="489">
        <v>8</v>
      </c>
      <c r="R2557" s="489">
        <v>14</v>
      </c>
      <c r="S2557" s="491"/>
      <c r="T2557" s="491"/>
      <c r="U2557" s="263"/>
      <c r="V2557" s="493">
        <f>IF(SUM(AF2557:AL2558)=0,"",SUM(AF2557:AL2557))</f>
        <v>2</v>
      </c>
      <c r="W2557" s="267"/>
      <c r="X2557" s="263"/>
      <c r="AE2557" s="253" t="str">
        <f>VLOOKUP(I2557,vylosovanie!$F$8:$L$190,7,0)</f>
        <v>CH51</v>
      </c>
      <c r="AF2557" s="268">
        <f>IF(N2557&gt;N2560,1,0)</f>
        <v>1</v>
      </c>
      <c r="AG2557" s="268">
        <f t="shared" ref="AG2557" si="2402">IF(O2557&gt;O2560,1,0)</f>
        <v>0</v>
      </c>
      <c r="AH2557" s="268">
        <f t="shared" ref="AH2557" si="2403">IF(P2557&gt;P2560,1,0)</f>
        <v>1</v>
      </c>
      <c r="AI2557" s="268">
        <f t="shared" ref="AI2557" si="2404">IF(Q2557&gt;Q2560,1,0)</f>
        <v>0</v>
      </c>
      <c r="AJ2557" s="268">
        <f t="shared" ref="AJ2557" si="2405">IF(R2557&gt;R2560,1,0)</f>
        <v>0</v>
      </c>
      <c r="AK2557" s="268">
        <f t="shared" ref="AK2557" si="2406">IF(S2557&gt;S2560,1,0)</f>
        <v>0</v>
      </c>
      <c r="AL2557" s="268">
        <f t="shared" ref="AL2557" si="2407">IF(T2557&gt;T2560,1,0)</f>
        <v>0</v>
      </c>
      <c r="AN2557" s="268">
        <f t="shared" ref="AN2557" si="2408">IF(ISBLANK(N2557)=TRUE,"",IF(AF2557=1,N2560,-N2557))</f>
        <v>7</v>
      </c>
      <c r="AO2557" s="268">
        <f t="shared" ref="AO2557" si="2409">IF(ISBLANK(O2557)=TRUE,"",IF(AG2557=1,O2560,-O2557))</f>
        <v>-15</v>
      </c>
      <c r="AP2557" s="268">
        <f t="shared" ref="AP2557" si="2410">IF(ISBLANK(P2557)=TRUE,"",IF(AH2557=1,P2560,-P2557))</f>
        <v>10</v>
      </c>
      <c r="AQ2557" s="268">
        <f t="shared" ref="AQ2557" si="2411">IF(ISBLANK(Q2557)=TRUE,"",IF(AI2557=1,Q2560,-Q2557))</f>
        <v>-8</v>
      </c>
      <c r="AR2557" s="268">
        <f t="shared" ref="AR2557" si="2412">IF(ISBLANK(R2557)=TRUE,"",IF(AJ2557=1,R2560,-R2557))</f>
        <v>-14</v>
      </c>
      <c r="AS2557" s="268" t="str">
        <f t="shared" ref="AS2557" si="2413">IF(ISBLANK(S2557)=TRUE,"",IF(AK2557=1,S2560,-S2557))</f>
        <v/>
      </c>
      <c r="AT2557" s="268" t="str">
        <f t="shared" ref="AT2557" si="2414">IF(ISBLANK(T2557)=TRUE,"",IF(AL2557=1,T2560,-T2557))</f>
        <v/>
      </c>
      <c r="AZ2557" s="269" t="s">
        <v>12</v>
      </c>
      <c r="BA2557" s="269">
        <v>1</v>
      </c>
    </row>
    <row r="2558" spans="1:53" ht="39.950000000000003" customHeight="1">
      <c r="C2558" s="223"/>
      <c r="D2558" s="223"/>
      <c r="E2558" s="264"/>
      <c r="F2558" s="265"/>
      <c r="G2558" s="509"/>
      <c r="H2558" s="319"/>
      <c r="I2558" s="487" t="str">
        <f>IF(ISERROR(VLOOKUP(B2557,vylosovanie!$N$75:$Q$191,3,0))=TRUE," ",VLOOKUP(B2557,vylosovanie!$N$75:$Q$191,4,0))</f>
        <v>TUREK Teodor</v>
      </c>
      <c r="J2558" s="488"/>
      <c r="K2558" s="488"/>
      <c r="L2558" s="488"/>
      <c r="M2558" s="263"/>
      <c r="N2558" s="490"/>
      <c r="O2558" s="490"/>
      <c r="P2558" s="490"/>
      <c r="Q2558" s="490"/>
      <c r="R2558" s="490"/>
      <c r="S2558" s="492"/>
      <c r="T2558" s="492"/>
      <c r="U2558" s="263"/>
      <c r="V2558" s="493"/>
      <c r="W2558" s="267"/>
      <c r="X2558" s="263"/>
      <c r="AE2558" s="253" t="str">
        <f>VLOOKUP(I2560,vylosovanie!$F$8:$L$190,7,0)</f>
        <v>CH52</v>
      </c>
      <c r="AF2558" s="268">
        <f>IF(N2560&gt;N2557,1,0)</f>
        <v>0</v>
      </c>
      <c r="AG2558" s="268">
        <f t="shared" ref="AG2558" si="2415">IF(O2560&gt;O2557,1,0)</f>
        <v>1</v>
      </c>
      <c r="AH2558" s="268">
        <f t="shared" ref="AH2558" si="2416">IF(P2560&gt;P2557,1,0)</f>
        <v>0</v>
      </c>
      <c r="AI2558" s="268">
        <f t="shared" ref="AI2558" si="2417">IF(Q2560&gt;Q2557,1,0)</f>
        <v>1</v>
      </c>
      <c r="AJ2558" s="268">
        <f t="shared" ref="AJ2558" si="2418">IF(R2560&gt;R2557,1,0)</f>
        <v>1</v>
      </c>
      <c r="AK2558" s="268">
        <f t="shared" ref="AK2558" si="2419">IF(S2560&gt;S2557,1,0)</f>
        <v>0</v>
      </c>
      <c r="AL2558" s="268">
        <f t="shared" ref="AL2558" si="2420">IF(T2560&gt;T2557,1,0)</f>
        <v>0</v>
      </c>
      <c r="AN2558" s="268">
        <f t="shared" ref="AN2558" si="2421">IF(ISBLANK(N2560)=TRUE,"",IF(AF2558=1,N2557,-N2560))</f>
        <v>-7</v>
      </c>
      <c r="AO2558" s="268">
        <f t="shared" ref="AO2558" si="2422">IF(ISBLANK(O2560)=TRUE,"",IF(AG2558=1,O2557,-O2560))</f>
        <v>15</v>
      </c>
      <c r="AP2558" s="268">
        <f t="shared" ref="AP2558" si="2423">IF(ISBLANK(P2560)=TRUE,"",IF(AH2558=1,P2557,-P2560))</f>
        <v>-10</v>
      </c>
      <c r="AQ2558" s="268">
        <f t="shared" ref="AQ2558" si="2424">IF(ISBLANK(Q2560)=TRUE,"",IF(AI2558=1,Q2557,-Q2560))</f>
        <v>8</v>
      </c>
      <c r="AR2558" s="268">
        <f t="shared" ref="AR2558" si="2425">IF(ISBLANK(R2560)=TRUE,"",IF(AJ2558=1,R2557,-R2560))</f>
        <v>14</v>
      </c>
      <c r="AS2558" s="268" t="str">
        <f t="shared" ref="AS2558" si="2426">IF(ISBLANK(S2560)=TRUE,"",IF(AK2558=1,S2557,-S2560))</f>
        <v/>
      </c>
      <c r="AT2558" s="268" t="str">
        <f t="shared" ref="AT2558" si="2427">IF(ISBLANK(T2560)=TRUE,"",IF(AL2558=1,T2557,-T2560))</f>
        <v/>
      </c>
      <c r="AZ2558" s="269" t="s">
        <v>18</v>
      </c>
      <c r="BA2558" s="269">
        <v>2</v>
      </c>
    </row>
    <row r="2559" spans="1:53" ht="39.950000000000003" customHeight="1">
      <c r="C2559" s="223"/>
      <c r="D2559" s="223"/>
      <c r="E2559" s="264" t="s">
        <v>35</v>
      </c>
      <c r="F2559" s="265" t="str">
        <f>VLOOKUP(CONCATENATE(A2555,1),'zoznam zapasov'!$A$6:$K$160,9,0)</f>
        <v>So</v>
      </c>
      <c r="G2559" s="263"/>
      <c r="H2559" s="263"/>
      <c r="I2559" s="263"/>
      <c r="J2559" s="263"/>
      <c r="K2559" s="263"/>
      <c r="L2559" s="263"/>
      <c r="M2559" s="263"/>
      <c r="N2559" s="263"/>
      <c r="O2559" s="263"/>
      <c r="P2559" s="263"/>
      <c r="Q2559" s="263"/>
      <c r="R2559" s="263"/>
      <c r="S2559" s="263"/>
      <c r="T2559" s="263"/>
      <c r="U2559" s="263"/>
      <c r="V2559" s="263"/>
      <c r="W2559" s="267"/>
      <c r="X2559" s="263"/>
      <c r="AZ2559" s="269" t="s">
        <v>38</v>
      </c>
      <c r="BA2559" s="269">
        <v>3</v>
      </c>
    </row>
    <row r="2560" spans="1:53" ht="39.950000000000003" customHeight="1">
      <c r="A2560" s="252" t="str">
        <f>CONCATENATE(A2555,2)</f>
        <v>CH4P112</v>
      </c>
      <c r="B2560" s="252" t="str">
        <f>VLOOKUP(A2560,'KO KODY SPOLU'!$A$3:$B$189,2,0)</f>
        <v>ĎANOVSKÝ / MILAN</v>
      </c>
      <c r="C2560" s="223"/>
      <c r="D2560" s="223"/>
      <c r="E2560" s="264" t="s">
        <v>28</v>
      </c>
      <c r="F2560" s="270" t="str">
        <f>VLOOKUP(CONCATENATE(A2555,1),'zoznam zapasov'!$A$6:$K$160,10,0)</f>
        <v>17.00</v>
      </c>
      <c r="G2560" s="508"/>
      <c r="H2560" s="319"/>
      <c r="I2560" s="487" t="str">
        <f>IF(ISERROR(VLOOKUP(B2560,vylosovanie!$N$75:$Q$191,3,0))=TRUE," ",VLOOKUP(B2560,vylosovanie!$N$75:$Q$191,3,0))</f>
        <v>ĎANOVSKÝ Martin</v>
      </c>
      <c r="J2560" s="488"/>
      <c r="K2560" s="488"/>
      <c r="L2560" s="488"/>
      <c r="M2560" s="263"/>
      <c r="N2560" s="489">
        <v>7</v>
      </c>
      <c r="O2560" s="489">
        <v>17</v>
      </c>
      <c r="P2560" s="489">
        <v>10</v>
      </c>
      <c r="Q2560" s="489">
        <v>11</v>
      </c>
      <c r="R2560" s="489">
        <v>16</v>
      </c>
      <c r="S2560" s="491"/>
      <c r="T2560" s="491"/>
      <c r="U2560" s="263"/>
      <c r="V2560" s="493">
        <f>IF(SUM(AF2557:AL2558)=0,"",SUM(AF2558:AL2558))</f>
        <v>3</v>
      </c>
      <c r="W2560" s="267"/>
      <c r="X2560" s="263"/>
      <c r="AZ2560" s="269" t="s">
        <v>39</v>
      </c>
      <c r="BA2560" s="269">
        <v>4</v>
      </c>
    </row>
    <row r="2561" spans="1:53" ht="39.950000000000003" customHeight="1">
      <c r="C2561" s="223"/>
      <c r="D2561" s="223"/>
      <c r="E2561" s="271"/>
      <c r="F2561" s="272"/>
      <c r="G2561" s="509"/>
      <c r="H2561" s="319"/>
      <c r="I2561" s="487" t="str">
        <f>IF(ISERROR(VLOOKUP(B2560,vylosovanie!$N$75:$Q$191,3,0))=TRUE," ",VLOOKUP(B2560,vylosovanie!$N$75:$Q$191,4,0))</f>
        <v>MILAN Martin</v>
      </c>
      <c r="J2561" s="488"/>
      <c r="K2561" s="488"/>
      <c r="L2561" s="488"/>
      <c r="M2561" s="263"/>
      <c r="N2561" s="490"/>
      <c r="O2561" s="490"/>
      <c r="P2561" s="490"/>
      <c r="Q2561" s="490"/>
      <c r="R2561" s="490"/>
      <c r="S2561" s="492"/>
      <c r="T2561" s="492"/>
      <c r="U2561" s="263"/>
      <c r="V2561" s="493"/>
      <c r="W2561" s="267"/>
      <c r="X2561" s="263"/>
      <c r="AZ2561" s="269" t="s">
        <v>40</v>
      </c>
      <c r="BA2561" s="269">
        <v>5</v>
      </c>
    </row>
    <row r="2562" spans="1:53" ht="39.950000000000003" customHeight="1">
      <c r="C2562" s="223"/>
      <c r="D2562" s="223"/>
      <c r="E2562" s="264" t="s">
        <v>66</v>
      </c>
      <c r="F2562" s="265" t="s">
        <v>309</v>
      </c>
      <c r="G2562" s="263"/>
      <c r="H2562" s="263"/>
      <c r="I2562" s="263"/>
      <c r="J2562" s="263"/>
      <c r="K2562" s="263"/>
      <c r="L2562" s="263"/>
      <c r="M2562" s="263"/>
      <c r="N2562" s="263"/>
      <c r="O2562" s="263"/>
      <c r="P2562" s="263"/>
      <c r="Q2562" s="263"/>
      <c r="R2562" s="263"/>
      <c r="S2562" s="263"/>
      <c r="T2562" s="263"/>
      <c r="U2562" s="263"/>
      <c r="V2562" s="263"/>
      <c r="W2562" s="267"/>
      <c r="X2562" s="263"/>
      <c r="AZ2562" s="269" t="s">
        <v>41</v>
      </c>
      <c r="BA2562" s="269">
        <v>6</v>
      </c>
    </row>
    <row r="2563" spans="1:53" ht="39.950000000000003" customHeight="1">
      <c r="C2563" s="223"/>
      <c r="D2563" s="223"/>
      <c r="E2563" s="271"/>
      <c r="F2563" s="272"/>
      <c r="G2563" s="263"/>
      <c r="H2563" s="263"/>
      <c r="I2563" s="263" t="s">
        <v>32</v>
      </c>
      <c r="J2563" s="263"/>
      <c r="K2563" s="263"/>
      <c r="L2563" s="263"/>
      <c r="M2563" s="263"/>
      <c r="N2563" s="273"/>
      <c r="O2563" s="266"/>
      <c r="P2563" s="266" t="s">
        <v>34</v>
      </c>
      <c r="Q2563" s="266"/>
      <c r="R2563" s="266"/>
      <c r="S2563" s="266"/>
      <c r="T2563" s="266"/>
      <c r="U2563" s="263"/>
      <c r="V2563" s="263"/>
      <c r="W2563" s="267"/>
      <c r="X2563" s="263"/>
      <c r="AZ2563" s="269" t="s">
        <v>42</v>
      </c>
      <c r="BA2563" s="269">
        <v>7</v>
      </c>
    </row>
    <row r="2564" spans="1:53" ht="39.950000000000003" customHeight="1">
      <c r="E2564" s="264" t="s">
        <v>26</v>
      </c>
      <c r="F2564" s="265" t="s">
        <v>128</v>
      </c>
      <c r="G2564" s="263"/>
      <c r="H2564" s="263"/>
      <c r="I2564" s="486"/>
      <c r="J2564" s="486"/>
      <c r="K2564" s="486"/>
      <c r="L2564" s="486"/>
      <c r="M2564" s="263"/>
      <c r="N2564" s="483" t="str">
        <f>IF(V2557&gt;V2560,I2557,IF(V2560&gt;V2557,I2560,""))</f>
        <v>ĎANOVSKÝ Martin</v>
      </c>
      <c r="O2564" s="494"/>
      <c r="P2564" s="494"/>
      <c r="Q2564" s="494"/>
      <c r="R2564" s="494"/>
      <c r="S2564" s="495"/>
      <c r="T2564" s="263"/>
      <c r="U2564" s="263"/>
      <c r="V2564" s="263"/>
      <c r="W2564" s="267"/>
      <c r="X2564" s="263"/>
      <c r="AZ2564" s="269" t="s">
        <v>43</v>
      </c>
      <c r="BA2564" s="269">
        <v>8</v>
      </c>
    </row>
    <row r="2565" spans="1:53" ht="39.950000000000003" customHeight="1">
      <c r="E2565" s="271"/>
      <c r="F2565" s="272"/>
      <c r="G2565" s="263"/>
      <c r="H2565" s="263"/>
      <c r="I2565" s="486"/>
      <c r="J2565" s="486"/>
      <c r="K2565" s="486"/>
      <c r="L2565" s="486"/>
      <c r="M2565" s="263"/>
      <c r="N2565" s="483" t="str">
        <f>IF(V2557&gt;V2560,I2558,IF(V2560&gt;V2557,I2561,""))</f>
        <v>MILAN Martin</v>
      </c>
      <c r="O2565" s="494"/>
      <c r="P2565" s="494"/>
      <c r="Q2565" s="494"/>
      <c r="R2565" s="494"/>
      <c r="S2565" s="495"/>
      <c r="T2565" s="263"/>
      <c r="U2565" s="263"/>
      <c r="V2565" s="263"/>
      <c r="W2565" s="267"/>
      <c r="X2565" s="263"/>
    </row>
    <row r="2566" spans="1:53" ht="39.950000000000003" customHeight="1">
      <c r="E2566" s="264" t="s">
        <v>27</v>
      </c>
      <c r="F2566" s="274" t="s">
        <v>350</v>
      </c>
      <c r="G2566" s="263"/>
      <c r="H2566" s="263"/>
      <c r="I2566" s="263"/>
      <c r="J2566" s="263"/>
      <c r="K2566" s="263"/>
      <c r="L2566" s="263"/>
      <c r="M2566" s="263"/>
      <c r="N2566" s="263"/>
      <c r="O2566" s="263"/>
      <c r="P2566" s="263"/>
      <c r="Q2566" s="263"/>
      <c r="R2566" s="263"/>
      <c r="S2566" s="263"/>
      <c r="T2566" s="263"/>
      <c r="U2566" s="263"/>
      <c r="V2566" s="263"/>
      <c r="W2566" s="267"/>
      <c r="X2566" s="263"/>
    </row>
    <row r="2567" spans="1:53" ht="39.950000000000003" customHeight="1">
      <c r="E2567" s="271"/>
      <c r="F2567" s="272"/>
      <c r="G2567" s="263"/>
      <c r="H2567" s="263" t="s">
        <v>33</v>
      </c>
      <c r="I2567" s="263"/>
      <c r="J2567" s="263"/>
      <c r="K2567" s="263"/>
      <c r="L2567" s="263"/>
      <c r="M2567" s="263"/>
      <c r="N2567" s="263"/>
      <c r="O2567" s="263"/>
      <c r="P2567" s="263"/>
      <c r="Q2567" s="263"/>
      <c r="R2567" s="263"/>
      <c r="S2567" s="263"/>
      <c r="T2567" s="263"/>
      <c r="U2567" s="263"/>
      <c r="V2567" s="263"/>
      <c r="W2567" s="267"/>
      <c r="X2567" s="263"/>
    </row>
    <row r="2568" spans="1:53" ht="39.950000000000003" customHeight="1">
      <c r="E2568" s="271"/>
      <c r="F2568" s="272"/>
      <c r="G2568" s="263"/>
      <c r="H2568" s="263"/>
      <c r="I2568" s="263"/>
      <c r="J2568" s="263"/>
      <c r="K2568" s="263"/>
      <c r="L2568" s="263"/>
      <c r="M2568" s="263"/>
      <c r="N2568" s="263"/>
      <c r="O2568" s="263"/>
      <c r="P2568" s="263"/>
      <c r="Q2568" s="263"/>
      <c r="R2568" s="263"/>
      <c r="S2568" s="263"/>
      <c r="T2568" s="263"/>
      <c r="U2568" s="263"/>
      <c r="V2568" s="263"/>
      <c r="W2568" s="267"/>
      <c r="X2568" s="263"/>
    </row>
    <row r="2569" spans="1:53" ht="39.950000000000003" customHeight="1">
      <c r="E2569" s="271"/>
      <c r="F2569" s="272"/>
      <c r="G2569" s="263"/>
      <c r="H2569" s="263"/>
      <c r="I2569" s="496" t="str">
        <f>I2557</f>
        <v>PETRÍK Filip</v>
      </c>
      <c r="J2569" s="496"/>
      <c r="K2569" s="496"/>
      <c r="L2569" s="496"/>
      <c r="M2569" s="263"/>
      <c r="N2569" s="263"/>
      <c r="P2569" s="496" t="str">
        <f>I2560</f>
        <v>ĎANOVSKÝ Martin</v>
      </c>
      <c r="Q2569" s="496"/>
      <c r="R2569" s="496"/>
      <c r="S2569" s="496"/>
      <c r="T2569" s="497"/>
      <c r="U2569" s="497"/>
      <c r="V2569" s="263"/>
      <c r="W2569" s="267"/>
      <c r="X2569" s="263"/>
    </row>
    <row r="2570" spans="1:53" ht="39.950000000000003" customHeight="1">
      <c r="E2570" s="271"/>
      <c r="F2570" s="272"/>
      <c r="G2570" s="263"/>
      <c r="H2570" s="263"/>
      <c r="I2570" s="496" t="str">
        <f>I2558</f>
        <v>TUREK Teodor</v>
      </c>
      <c r="J2570" s="496"/>
      <c r="K2570" s="496"/>
      <c r="L2570" s="496"/>
      <c r="M2570" s="263"/>
      <c r="N2570" s="263"/>
      <c r="O2570" s="263"/>
      <c r="P2570" s="496" t="str">
        <f>I2561</f>
        <v>MILAN Martin</v>
      </c>
      <c r="Q2570" s="496"/>
      <c r="R2570" s="496"/>
      <c r="S2570" s="496"/>
      <c r="T2570" s="497"/>
      <c r="U2570" s="497"/>
      <c r="V2570" s="263"/>
      <c r="W2570" s="267"/>
      <c r="X2570" s="263"/>
    </row>
    <row r="2571" spans="1:53" ht="69.95" customHeight="1">
      <c r="E2571" s="264"/>
      <c r="F2571" s="265"/>
      <c r="G2571" s="263"/>
      <c r="H2571" s="275" t="s">
        <v>36</v>
      </c>
      <c r="I2571" s="483"/>
      <c r="J2571" s="484"/>
      <c r="K2571" s="484"/>
      <c r="L2571" s="485"/>
      <c r="M2571" s="263"/>
      <c r="N2571" s="263"/>
      <c r="O2571" s="275" t="s">
        <v>36</v>
      </c>
      <c r="P2571" s="486"/>
      <c r="Q2571" s="486"/>
      <c r="R2571" s="486"/>
      <c r="S2571" s="486"/>
      <c r="T2571" s="486"/>
      <c r="U2571" s="486"/>
      <c r="V2571" s="263"/>
      <c r="W2571" s="267"/>
      <c r="X2571" s="263"/>
    </row>
    <row r="2572" spans="1:53" ht="69.95" customHeight="1">
      <c r="E2572" s="264"/>
      <c r="F2572" s="265"/>
      <c r="G2572" s="263"/>
      <c r="H2572" s="275" t="s">
        <v>37</v>
      </c>
      <c r="I2572" s="486"/>
      <c r="J2572" s="486"/>
      <c r="K2572" s="486"/>
      <c r="L2572" s="486"/>
      <c r="M2572" s="263"/>
      <c r="N2572" s="263"/>
      <c r="O2572" s="275" t="s">
        <v>37</v>
      </c>
      <c r="P2572" s="486"/>
      <c r="Q2572" s="486"/>
      <c r="R2572" s="486"/>
      <c r="S2572" s="486"/>
      <c r="T2572" s="486"/>
      <c r="U2572" s="486"/>
      <c r="V2572" s="263"/>
      <c r="W2572" s="267"/>
      <c r="X2572" s="263"/>
    </row>
    <row r="2573" spans="1:53" ht="69.95" customHeight="1">
      <c r="E2573" s="264"/>
      <c r="F2573" s="265"/>
      <c r="G2573" s="263"/>
      <c r="H2573" s="275" t="s">
        <v>37</v>
      </c>
      <c r="I2573" s="486"/>
      <c r="J2573" s="486"/>
      <c r="K2573" s="486"/>
      <c r="L2573" s="486"/>
      <c r="M2573" s="263"/>
      <c r="N2573" s="263"/>
      <c r="O2573" s="275" t="s">
        <v>37</v>
      </c>
      <c r="P2573" s="486"/>
      <c r="Q2573" s="486"/>
      <c r="R2573" s="486"/>
      <c r="S2573" s="486"/>
      <c r="T2573" s="486"/>
      <c r="U2573" s="486"/>
      <c r="V2573" s="263"/>
      <c r="W2573" s="267"/>
      <c r="X2573" s="263"/>
    </row>
    <row r="2574" spans="1:53" ht="39.950000000000003" customHeight="1" thickBot="1">
      <c r="E2574" s="276"/>
      <c r="F2574" s="277"/>
      <c r="G2574" s="278"/>
      <c r="H2574" s="278"/>
      <c r="I2574" s="278"/>
      <c r="J2574" s="278"/>
      <c r="K2574" s="278"/>
      <c r="L2574" s="278"/>
      <c r="M2574" s="278"/>
      <c r="N2574" s="278"/>
      <c r="O2574" s="278"/>
      <c r="P2574" s="278"/>
      <c r="Q2574" s="278"/>
      <c r="R2574" s="278"/>
      <c r="S2574" s="278"/>
      <c r="T2574" s="279"/>
      <c r="U2574" s="279"/>
      <c r="V2574" s="279"/>
      <c r="W2574" s="280"/>
      <c r="X2574" s="263"/>
    </row>
    <row r="2575" spans="1:53" ht="62.25" thickBot="1"/>
    <row r="2576" spans="1:53" ht="39.950000000000003" customHeight="1">
      <c r="A2576" s="252" t="str">
        <f>CONCATENATE(F2583,F2585,F2587)</f>
        <v>CH4P12</v>
      </c>
      <c r="C2576" s="223"/>
      <c r="D2576" s="223"/>
      <c r="E2576" s="259" t="s">
        <v>70</v>
      </c>
      <c r="F2576" s="260">
        <f>VLOOKUP(CONCATENATE(A2576,1),'zoznam zapasov'!$A$6:$K$160,3,0)</f>
        <v>128</v>
      </c>
      <c r="G2576" s="261"/>
      <c r="H2576" s="322" t="s">
        <v>501</v>
      </c>
      <c r="I2576" s="261"/>
      <c r="J2576" s="261"/>
      <c r="K2576" s="261"/>
      <c r="L2576" s="261"/>
      <c r="M2576" s="261"/>
      <c r="N2576" s="261"/>
      <c r="O2576" s="261"/>
      <c r="P2576" s="261"/>
      <c r="Q2576" s="261"/>
      <c r="R2576" s="261"/>
      <c r="S2576" s="261"/>
      <c r="T2576" s="261"/>
      <c r="U2576" s="261"/>
      <c r="V2576" s="261" t="s">
        <v>30</v>
      </c>
      <c r="W2576" s="262"/>
      <c r="X2576" s="263"/>
      <c r="Y2576" s="253" t="str">
        <f>A2578</f>
        <v>CH4P121</v>
      </c>
      <c r="Z2576" s="258" t="str">
        <f>CONCATENATE(V2578,":",V2581)</f>
        <v>3:1</v>
      </c>
      <c r="AA2576" s="255" t="str">
        <f>IF(V2578&gt;V2581,B2578,IF(V2581&gt;V2578,B2581,""))</f>
        <v>HURKA / JALOVECKÝ</v>
      </c>
      <c r="AB2576" s="255" t="str">
        <f>IF(V2578&gt;V2581,AV2576,IF(V2581&gt;V2578,AV2577,""))</f>
        <v xml:space="preserve">3:1 ( 5,8,-12,7,,, ) </v>
      </c>
      <c r="AC2576" s="255" t="str">
        <f>CONCATENATE("Tbl.: ",F2578,"   H: ",F2581,"   D: ",F2580)</f>
        <v>Tbl.: 4   H: 17.00   D: So</v>
      </c>
      <c r="AE2576" s="253" t="s">
        <v>11</v>
      </c>
      <c r="AV2576" s="256" t="str">
        <f>CONCATENATE(V2578,":",V2581, " ( ",AN2578,",",AO2578,",",AP2578,",",AQ2578,",",AR2578,",",AS2578,",",AT2578," ) ")</f>
        <v xml:space="preserve">3:1 ( 5,8,-12,7,,, ) </v>
      </c>
    </row>
    <row r="2577" spans="1:53" ht="39.950000000000003" customHeight="1">
      <c r="C2577" s="223"/>
      <c r="D2577" s="223"/>
      <c r="E2577" s="264"/>
      <c r="F2577" s="265"/>
      <c r="G2577" s="321" t="s">
        <v>500</v>
      </c>
      <c r="H2577" s="323" t="s">
        <v>502</v>
      </c>
      <c r="I2577" s="263"/>
      <c r="J2577" s="263"/>
      <c r="K2577" s="263"/>
      <c r="L2577" s="263"/>
      <c r="M2577" s="263"/>
      <c r="N2577" s="266">
        <v>1</v>
      </c>
      <c r="O2577" s="266">
        <v>2</v>
      </c>
      <c r="P2577" s="266">
        <v>3</v>
      </c>
      <c r="Q2577" s="266">
        <v>4</v>
      </c>
      <c r="R2577" s="266">
        <v>5</v>
      </c>
      <c r="S2577" s="266">
        <v>6</v>
      </c>
      <c r="T2577" s="266">
        <v>7</v>
      </c>
      <c r="U2577" s="263"/>
      <c r="V2577" s="266" t="s">
        <v>31</v>
      </c>
      <c r="W2577" s="267"/>
      <c r="X2577" s="263"/>
      <c r="AE2577" s="253" t="s">
        <v>68</v>
      </c>
      <c r="AV2577" s="256" t="str">
        <f>CONCATENATE(V2581,":",V2578, " ( ",AN2579,",",AO2579,",",AP2579,",",AQ2579,",",AR2579,",",AS2579,",",AT2579," ) ")</f>
        <v xml:space="preserve">1:3 ( -5,-8,12,-7,,, ) </v>
      </c>
    </row>
    <row r="2578" spans="1:53" ht="39.950000000000003" customHeight="1">
      <c r="A2578" s="252" t="str">
        <f>CONCATENATE(A2576,1)</f>
        <v>CH4P121</v>
      </c>
      <c r="B2578" s="252" t="str">
        <f>VLOOKUP(A2578,'KO KODY SPOLU'!$A$3:$B$189,2,0)</f>
        <v>HURKA / JALOVECKÝ</v>
      </c>
      <c r="C2578" s="223"/>
      <c r="D2578" s="223"/>
      <c r="E2578" s="264" t="s">
        <v>29</v>
      </c>
      <c r="F2578" s="265">
        <f>VLOOKUP(CONCATENATE(A2576,1),'zoznam zapasov'!$A$6:$K$160,11,0)</f>
        <v>4</v>
      </c>
      <c r="G2578" s="508"/>
      <c r="H2578" s="319"/>
      <c r="I2578" s="487" t="str">
        <f>IF(ISERROR(VLOOKUP(B2578,vylosovanie!$N$75:$Q$191,3,0))=TRUE," ",VLOOKUP(B2578,vylosovanie!$N$75:$Q$191,3,0))</f>
        <v>HURKA Rastislav</v>
      </c>
      <c r="J2578" s="488"/>
      <c r="K2578" s="488"/>
      <c r="L2578" s="488"/>
      <c r="M2578" s="263"/>
      <c r="N2578" s="489">
        <v>11</v>
      </c>
      <c r="O2578" s="489">
        <v>11</v>
      </c>
      <c r="P2578" s="489">
        <v>12</v>
      </c>
      <c r="Q2578" s="489">
        <v>11</v>
      </c>
      <c r="R2578" s="489"/>
      <c r="S2578" s="491"/>
      <c r="T2578" s="491"/>
      <c r="U2578" s="263"/>
      <c r="V2578" s="493">
        <f>IF(SUM(AF2578:AL2579)=0,"",SUM(AF2578:AL2578))</f>
        <v>3</v>
      </c>
      <c r="W2578" s="267"/>
      <c r="X2578" s="263"/>
      <c r="AE2578" s="253" t="str">
        <f>VLOOKUP(I2578,vylosovanie!$F$8:$L$190,7,0)</f>
        <v>CH42</v>
      </c>
      <c r="AF2578" s="268">
        <f>IF(N2578&gt;N2581,1,0)</f>
        <v>1</v>
      </c>
      <c r="AG2578" s="268">
        <f t="shared" ref="AG2578" si="2428">IF(O2578&gt;O2581,1,0)</f>
        <v>1</v>
      </c>
      <c r="AH2578" s="268">
        <f t="shared" ref="AH2578" si="2429">IF(P2578&gt;P2581,1,0)</f>
        <v>0</v>
      </c>
      <c r="AI2578" s="268">
        <f t="shared" ref="AI2578" si="2430">IF(Q2578&gt;Q2581,1,0)</f>
        <v>1</v>
      </c>
      <c r="AJ2578" s="268">
        <f t="shared" ref="AJ2578" si="2431">IF(R2578&gt;R2581,1,0)</f>
        <v>0</v>
      </c>
      <c r="AK2578" s="268">
        <f t="shared" ref="AK2578" si="2432">IF(S2578&gt;S2581,1,0)</f>
        <v>0</v>
      </c>
      <c r="AL2578" s="268">
        <f t="shared" ref="AL2578" si="2433">IF(T2578&gt;T2581,1,0)</f>
        <v>0</v>
      </c>
      <c r="AN2578" s="268">
        <f t="shared" ref="AN2578" si="2434">IF(ISBLANK(N2578)=TRUE,"",IF(AF2578=1,N2581,-N2578))</f>
        <v>5</v>
      </c>
      <c r="AO2578" s="268">
        <f t="shared" ref="AO2578" si="2435">IF(ISBLANK(O2578)=TRUE,"",IF(AG2578=1,O2581,-O2578))</f>
        <v>8</v>
      </c>
      <c r="AP2578" s="268">
        <f t="shared" ref="AP2578" si="2436">IF(ISBLANK(P2578)=TRUE,"",IF(AH2578=1,P2581,-P2578))</f>
        <v>-12</v>
      </c>
      <c r="AQ2578" s="268">
        <f t="shared" ref="AQ2578" si="2437">IF(ISBLANK(Q2578)=TRUE,"",IF(AI2578=1,Q2581,-Q2578))</f>
        <v>7</v>
      </c>
      <c r="AR2578" s="268" t="str">
        <f t="shared" ref="AR2578" si="2438">IF(ISBLANK(R2578)=TRUE,"",IF(AJ2578=1,R2581,-R2578))</f>
        <v/>
      </c>
      <c r="AS2578" s="268" t="str">
        <f t="shared" ref="AS2578" si="2439">IF(ISBLANK(S2578)=TRUE,"",IF(AK2578=1,S2581,-S2578))</f>
        <v/>
      </c>
      <c r="AT2578" s="268" t="str">
        <f t="shared" ref="AT2578" si="2440">IF(ISBLANK(T2578)=TRUE,"",IF(AL2578=1,T2581,-T2578))</f>
        <v/>
      </c>
      <c r="AZ2578" s="269" t="s">
        <v>12</v>
      </c>
      <c r="BA2578" s="269">
        <v>1</v>
      </c>
    </row>
    <row r="2579" spans="1:53" ht="39.950000000000003" customHeight="1">
      <c r="C2579" s="223"/>
      <c r="D2579" s="223"/>
      <c r="E2579" s="264"/>
      <c r="F2579" s="265"/>
      <c r="G2579" s="509"/>
      <c r="H2579" s="319"/>
      <c r="I2579" s="487" t="str">
        <f>IF(ISERROR(VLOOKUP(B2578,vylosovanie!$N$75:$Q$191,3,0))=TRUE," ",VLOOKUP(B2578,vylosovanie!$N$75:$Q$191,4,0))</f>
        <v>JALOVECKÝ Marek</v>
      </c>
      <c r="J2579" s="488"/>
      <c r="K2579" s="488"/>
      <c r="L2579" s="488"/>
      <c r="M2579" s="263"/>
      <c r="N2579" s="490"/>
      <c r="O2579" s="490"/>
      <c r="P2579" s="490"/>
      <c r="Q2579" s="490"/>
      <c r="R2579" s="490"/>
      <c r="S2579" s="492"/>
      <c r="T2579" s="492"/>
      <c r="U2579" s="263"/>
      <c r="V2579" s="493"/>
      <c r="W2579" s="267"/>
      <c r="X2579" s="263"/>
      <c r="AE2579" s="253" t="str">
        <f>VLOOKUP(I2581,vylosovanie!$F$8:$L$190,7,0)</f>
        <v>CH41</v>
      </c>
      <c r="AF2579" s="268">
        <f>IF(N2581&gt;N2578,1,0)</f>
        <v>0</v>
      </c>
      <c r="AG2579" s="268">
        <f t="shared" ref="AG2579" si="2441">IF(O2581&gt;O2578,1,0)</f>
        <v>0</v>
      </c>
      <c r="AH2579" s="268">
        <f t="shared" ref="AH2579" si="2442">IF(P2581&gt;P2578,1,0)</f>
        <v>1</v>
      </c>
      <c r="AI2579" s="268">
        <f t="shared" ref="AI2579" si="2443">IF(Q2581&gt;Q2578,1,0)</f>
        <v>0</v>
      </c>
      <c r="AJ2579" s="268">
        <f t="shared" ref="AJ2579" si="2444">IF(R2581&gt;R2578,1,0)</f>
        <v>0</v>
      </c>
      <c r="AK2579" s="268">
        <f t="shared" ref="AK2579" si="2445">IF(S2581&gt;S2578,1,0)</f>
        <v>0</v>
      </c>
      <c r="AL2579" s="268">
        <f t="shared" ref="AL2579" si="2446">IF(T2581&gt;T2578,1,0)</f>
        <v>0</v>
      </c>
      <c r="AN2579" s="268">
        <f t="shared" ref="AN2579" si="2447">IF(ISBLANK(N2581)=TRUE,"",IF(AF2579=1,N2578,-N2581))</f>
        <v>-5</v>
      </c>
      <c r="AO2579" s="268">
        <f t="shared" ref="AO2579" si="2448">IF(ISBLANK(O2581)=TRUE,"",IF(AG2579=1,O2578,-O2581))</f>
        <v>-8</v>
      </c>
      <c r="AP2579" s="268">
        <f t="shared" ref="AP2579" si="2449">IF(ISBLANK(P2581)=TRUE,"",IF(AH2579=1,P2578,-P2581))</f>
        <v>12</v>
      </c>
      <c r="AQ2579" s="268">
        <f t="shared" ref="AQ2579" si="2450">IF(ISBLANK(Q2581)=TRUE,"",IF(AI2579=1,Q2578,-Q2581))</f>
        <v>-7</v>
      </c>
      <c r="AR2579" s="268" t="str">
        <f t="shared" ref="AR2579" si="2451">IF(ISBLANK(R2581)=TRUE,"",IF(AJ2579=1,R2578,-R2581))</f>
        <v/>
      </c>
      <c r="AS2579" s="268" t="str">
        <f t="shared" ref="AS2579" si="2452">IF(ISBLANK(S2581)=TRUE,"",IF(AK2579=1,S2578,-S2581))</f>
        <v/>
      </c>
      <c r="AT2579" s="268" t="str">
        <f t="shared" ref="AT2579" si="2453">IF(ISBLANK(T2581)=TRUE,"",IF(AL2579=1,T2578,-T2581))</f>
        <v/>
      </c>
      <c r="AZ2579" s="269" t="s">
        <v>18</v>
      </c>
      <c r="BA2579" s="269">
        <v>2</v>
      </c>
    </row>
    <row r="2580" spans="1:53" ht="39.950000000000003" customHeight="1">
      <c r="C2580" s="223"/>
      <c r="D2580" s="223"/>
      <c r="E2580" s="264" t="s">
        <v>35</v>
      </c>
      <c r="F2580" s="265" t="str">
        <f>VLOOKUP(CONCATENATE(A2576,1),'zoznam zapasov'!$A$6:$K$160,9,0)</f>
        <v>So</v>
      </c>
      <c r="G2580" s="263"/>
      <c r="H2580" s="263"/>
      <c r="I2580" s="263"/>
      <c r="J2580" s="263"/>
      <c r="K2580" s="263"/>
      <c r="L2580" s="263"/>
      <c r="M2580" s="263"/>
      <c r="N2580" s="263"/>
      <c r="O2580" s="263"/>
      <c r="P2580" s="263"/>
      <c r="Q2580" s="263"/>
      <c r="R2580" s="263"/>
      <c r="S2580" s="263"/>
      <c r="T2580" s="263"/>
      <c r="U2580" s="263"/>
      <c r="V2580" s="263"/>
      <c r="W2580" s="267"/>
      <c r="X2580" s="263"/>
      <c r="AZ2580" s="269" t="s">
        <v>38</v>
      </c>
      <c r="BA2580" s="269">
        <v>3</v>
      </c>
    </row>
    <row r="2581" spans="1:53" ht="39.950000000000003" customHeight="1">
      <c r="A2581" s="252" t="str">
        <f>CONCATENATE(A2576,2)</f>
        <v>CH4P122</v>
      </c>
      <c r="B2581" s="252" t="str">
        <f>VLOOKUP(A2581,'KO KODY SPOLU'!$A$3:$B$189,2,0)</f>
        <v>PINDURA / CYPRICH</v>
      </c>
      <c r="C2581" s="223"/>
      <c r="D2581" s="223"/>
      <c r="E2581" s="264" t="s">
        <v>28</v>
      </c>
      <c r="F2581" s="270" t="str">
        <f>VLOOKUP(CONCATENATE(A2576,1),'zoznam zapasov'!$A$6:$K$160,10,0)</f>
        <v>17.00</v>
      </c>
      <c r="G2581" s="508"/>
      <c r="H2581" s="319"/>
      <c r="I2581" s="487" t="str">
        <f>IF(ISERROR(VLOOKUP(B2581,vylosovanie!$N$75:$Q$191,3,0))=TRUE," ",VLOOKUP(B2581,vylosovanie!$N$75:$Q$191,3,0))</f>
        <v>PINDURA Tobiáš</v>
      </c>
      <c r="J2581" s="488"/>
      <c r="K2581" s="488"/>
      <c r="L2581" s="488"/>
      <c r="M2581" s="263"/>
      <c r="N2581" s="489">
        <v>5</v>
      </c>
      <c r="O2581" s="489">
        <v>8</v>
      </c>
      <c r="P2581" s="489">
        <v>14</v>
      </c>
      <c r="Q2581" s="489">
        <v>7</v>
      </c>
      <c r="R2581" s="489"/>
      <c r="S2581" s="491"/>
      <c r="T2581" s="491"/>
      <c r="U2581" s="263"/>
      <c r="V2581" s="493">
        <f>IF(SUM(AF2578:AL2579)=0,"",SUM(AF2579:AL2579))</f>
        <v>1</v>
      </c>
      <c r="W2581" s="267"/>
      <c r="X2581" s="263"/>
      <c r="AZ2581" s="269" t="s">
        <v>39</v>
      </c>
      <c r="BA2581" s="269">
        <v>4</v>
      </c>
    </row>
    <row r="2582" spans="1:53" ht="39.950000000000003" customHeight="1">
      <c r="C2582" s="223"/>
      <c r="D2582" s="223"/>
      <c r="E2582" s="271"/>
      <c r="F2582" s="272"/>
      <c r="G2582" s="509"/>
      <c r="H2582" s="319"/>
      <c r="I2582" s="487" t="str">
        <f>IF(ISERROR(VLOOKUP(B2581,vylosovanie!$N$75:$Q$191,3,0))=TRUE," ",VLOOKUP(B2581,vylosovanie!$N$75:$Q$191,4,0))</f>
        <v>CYPRICH Samuel</v>
      </c>
      <c r="J2582" s="488"/>
      <c r="K2582" s="488"/>
      <c r="L2582" s="488"/>
      <c r="M2582" s="263"/>
      <c r="N2582" s="490"/>
      <c r="O2582" s="490"/>
      <c r="P2582" s="490"/>
      <c r="Q2582" s="490"/>
      <c r="R2582" s="490"/>
      <c r="S2582" s="492"/>
      <c r="T2582" s="492"/>
      <c r="U2582" s="263"/>
      <c r="V2582" s="493"/>
      <c r="W2582" s="267"/>
      <c r="X2582" s="263"/>
      <c r="AZ2582" s="269" t="s">
        <v>40</v>
      </c>
      <c r="BA2582" s="269">
        <v>5</v>
      </c>
    </row>
    <row r="2583" spans="1:53" ht="39.950000000000003" customHeight="1">
      <c r="C2583" s="223"/>
      <c r="D2583" s="223"/>
      <c r="E2583" s="264" t="s">
        <v>66</v>
      </c>
      <c r="F2583" s="265" t="s">
        <v>309</v>
      </c>
      <c r="G2583" s="263"/>
      <c r="H2583" s="263"/>
      <c r="I2583" s="263"/>
      <c r="J2583" s="263"/>
      <c r="K2583" s="263"/>
      <c r="L2583" s="263"/>
      <c r="M2583" s="263"/>
      <c r="N2583" s="263"/>
      <c r="O2583" s="263"/>
      <c r="P2583" s="263"/>
      <c r="Q2583" s="263"/>
      <c r="R2583" s="263"/>
      <c r="S2583" s="263"/>
      <c r="T2583" s="263"/>
      <c r="U2583" s="263"/>
      <c r="V2583" s="263"/>
      <c r="W2583" s="267"/>
      <c r="X2583" s="263"/>
      <c r="AZ2583" s="269" t="s">
        <v>41</v>
      </c>
      <c r="BA2583" s="269">
        <v>6</v>
      </c>
    </row>
    <row r="2584" spans="1:53" ht="39.950000000000003" customHeight="1">
      <c r="C2584" s="223"/>
      <c r="D2584" s="223"/>
      <c r="E2584" s="271"/>
      <c r="F2584" s="272"/>
      <c r="G2584" s="263"/>
      <c r="H2584" s="263"/>
      <c r="I2584" s="263" t="s">
        <v>32</v>
      </c>
      <c r="J2584" s="263"/>
      <c r="K2584" s="263"/>
      <c r="L2584" s="263"/>
      <c r="M2584" s="263"/>
      <c r="N2584" s="273"/>
      <c r="O2584" s="266"/>
      <c r="P2584" s="266" t="s">
        <v>34</v>
      </c>
      <c r="Q2584" s="266"/>
      <c r="R2584" s="266"/>
      <c r="S2584" s="266"/>
      <c r="T2584" s="266"/>
      <c r="U2584" s="263"/>
      <c r="V2584" s="263"/>
      <c r="W2584" s="267"/>
      <c r="X2584" s="263"/>
      <c r="AZ2584" s="269" t="s">
        <v>42</v>
      </c>
      <c r="BA2584" s="269">
        <v>7</v>
      </c>
    </row>
    <row r="2585" spans="1:53" ht="39.950000000000003" customHeight="1">
      <c r="E2585" s="264" t="s">
        <v>26</v>
      </c>
      <c r="F2585" s="265" t="s">
        <v>128</v>
      </c>
      <c r="G2585" s="263"/>
      <c r="H2585" s="263"/>
      <c r="I2585" s="486"/>
      <c r="J2585" s="486"/>
      <c r="K2585" s="486"/>
      <c r="L2585" s="486"/>
      <c r="M2585" s="263"/>
      <c r="N2585" s="483" t="str">
        <f>IF(V2578&gt;V2581,I2578,IF(V2581&gt;V2578,I2581,""))</f>
        <v>HURKA Rastislav</v>
      </c>
      <c r="O2585" s="494"/>
      <c r="P2585" s="494"/>
      <c r="Q2585" s="494"/>
      <c r="R2585" s="494"/>
      <c r="S2585" s="495"/>
      <c r="T2585" s="263"/>
      <c r="U2585" s="263"/>
      <c r="V2585" s="263"/>
      <c r="W2585" s="267"/>
      <c r="X2585" s="263"/>
      <c r="AZ2585" s="269" t="s">
        <v>43</v>
      </c>
      <c r="BA2585" s="269">
        <v>8</v>
      </c>
    </row>
    <row r="2586" spans="1:53" ht="39.950000000000003" customHeight="1">
      <c r="E2586" s="271"/>
      <c r="F2586" s="272"/>
      <c r="G2586" s="263"/>
      <c r="H2586" s="263"/>
      <c r="I2586" s="486"/>
      <c r="J2586" s="486"/>
      <c r="K2586" s="486"/>
      <c r="L2586" s="486"/>
      <c r="M2586" s="263"/>
      <c r="N2586" s="483" t="str">
        <f>IF(V2578&gt;V2581,I2579,IF(V2581&gt;V2578,I2582,""))</f>
        <v>JALOVECKÝ Marek</v>
      </c>
      <c r="O2586" s="494"/>
      <c r="P2586" s="494"/>
      <c r="Q2586" s="494"/>
      <c r="R2586" s="494"/>
      <c r="S2586" s="495"/>
      <c r="T2586" s="263"/>
      <c r="U2586" s="263"/>
      <c r="V2586" s="263"/>
      <c r="W2586" s="267"/>
      <c r="X2586" s="263"/>
    </row>
    <row r="2587" spans="1:53" ht="39.950000000000003" customHeight="1">
      <c r="E2587" s="264" t="s">
        <v>27</v>
      </c>
      <c r="F2587" s="274" t="s">
        <v>351</v>
      </c>
      <c r="G2587" s="263"/>
      <c r="H2587" s="263"/>
      <c r="I2587" s="263"/>
      <c r="J2587" s="263"/>
      <c r="K2587" s="263"/>
      <c r="L2587" s="263"/>
      <c r="M2587" s="263"/>
      <c r="N2587" s="263"/>
      <c r="O2587" s="263"/>
      <c r="P2587" s="263"/>
      <c r="Q2587" s="263"/>
      <c r="R2587" s="263"/>
      <c r="S2587" s="263"/>
      <c r="T2587" s="263"/>
      <c r="U2587" s="263"/>
      <c r="V2587" s="263"/>
      <c r="W2587" s="267"/>
      <c r="X2587" s="263"/>
    </row>
    <row r="2588" spans="1:53" ht="39.950000000000003" customHeight="1">
      <c r="E2588" s="271"/>
      <c r="F2588" s="272"/>
      <c r="G2588" s="263"/>
      <c r="H2588" s="263" t="s">
        <v>33</v>
      </c>
      <c r="I2588" s="263"/>
      <c r="J2588" s="263"/>
      <c r="K2588" s="263"/>
      <c r="L2588" s="263"/>
      <c r="M2588" s="263"/>
      <c r="N2588" s="263"/>
      <c r="O2588" s="263"/>
      <c r="P2588" s="263"/>
      <c r="Q2588" s="263"/>
      <c r="R2588" s="263"/>
      <c r="S2588" s="263"/>
      <c r="T2588" s="263"/>
      <c r="U2588" s="263"/>
      <c r="V2588" s="263"/>
      <c r="W2588" s="267"/>
      <c r="X2588" s="263"/>
    </row>
    <row r="2589" spans="1:53" ht="39.950000000000003" customHeight="1">
      <c r="E2589" s="271"/>
      <c r="F2589" s="272"/>
      <c r="G2589" s="263"/>
      <c r="H2589" s="263"/>
      <c r="I2589" s="263"/>
      <c r="J2589" s="263"/>
      <c r="K2589" s="263"/>
      <c r="L2589" s="263"/>
      <c r="M2589" s="263"/>
      <c r="N2589" s="263"/>
      <c r="O2589" s="263"/>
      <c r="P2589" s="263"/>
      <c r="Q2589" s="263"/>
      <c r="R2589" s="263"/>
      <c r="S2589" s="263"/>
      <c r="T2589" s="263"/>
      <c r="U2589" s="263"/>
      <c r="V2589" s="263"/>
      <c r="W2589" s="267"/>
      <c r="X2589" s="263"/>
    </row>
    <row r="2590" spans="1:53" ht="39.950000000000003" customHeight="1">
      <c r="E2590" s="271"/>
      <c r="F2590" s="272"/>
      <c r="G2590" s="263"/>
      <c r="H2590" s="263"/>
      <c r="I2590" s="496" t="str">
        <f>I2578</f>
        <v>HURKA Rastislav</v>
      </c>
      <c r="J2590" s="496"/>
      <c r="K2590" s="496"/>
      <c r="L2590" s="496"/>
      <c r="M2590" s="263"/>
      <c r="N2590" s="263"/>
      <c r="P2590" s="496" t="str">
        <f>I2581</f>
        <v>PINDURA Tobiáš</v>
      </c>
      <c r="Q2590" s="496"/>
      <c r="R2590" s="496"/>
      <c r="S2590" s="496"/>
      <c r="T2590" s="497"/>
      <c r="U2590" s="497"/>
      <c r="V2590" s="263"/>
      <c r="W2590" s="267"/>
      <c r="X2590" s="263"/>
    </row>
    <row r="2591" spans="1:53" ht="39.950000000000003" customHeight="1">
      <c r="E2591" s="271"/>
      <c r="F2591" s="272"/>
      <c r="G2591" s="263"/>
      <c r="H2591" s="263"/>
      <c r="I2591" s="496" t="str">
        <f>I2579</f>
        <v>JALOVECKÝ Marek</v>
      </c>
      <c r="J2591" s="496"/>
      <c r="K2591" s="496"/>
      <c r="L2591" s="496"/>
      <c r="M2591" s="263"/>
      <c r="N2591" s="263"/>
      <c r="O2591" s="263"/>
      <c r="P2591" s="496" t="str">
        <f>I2582</f>
        <v>CYPRICH Samuel</v>
      </c>
      <c r="Q2591" s="496"/>
      <c r="R2591" s="496"/>
      <c r="S2591" s="496"/>
      <c r="T2591" s="497"/>
      <c r="U2591" s="497"/>
      <c r="V2591" s="263"/>
      <c r="W2591" s="267"/>
      <c r="X2591" s="263"/>
    </row>
    <row r="2592" spans="1:53" ht="69.95" customHeight="1">
      <c r="E2592" s="264"/>
      <c r="F2592" s="265"/>
      <c r="G2592" s="263"/>
      <c r="H2592" s="275" t="s">
        <v>36</v>
      </c>
      <c r="I2592" s="483"/>
      <c r="J2592" s="484"/>
      <c r="K2592" s="484"/>
      <c r="L2592" s="485"/>
      <c r="M2592" s="263"/>
      <c r="N2592" s="263"/>
      <c r="O2592" s="275" t="s">
        <v>36</v>
      </c>
      <c r="P2592" s="486"/>
      <c r="Q2592" s="486"/>
      <c r="R2592" s="486"/>
      <c r="S2592" s="486"/>
      <c r="T2592" s="486"/>
      <c r="U2592" s="486"/>
      <c r="V2592" s="263"/>
      <c r="W2592" s="267"/>
      <c r="X2592" s="263"/>
    </row>
    <row r="2593" spans="1:53" ht="69.95" customHeight="1">
      <c r="E2593" s="264"/>
      <c r="F2593" s="265"/>
      <c r="G2593" s="263"/>
      <c r="H2593" s="275" t="s">
        <v>37</v>
      </c>
      <c r="I2593" s="486"/>
      <c r="J2593" s="486"/>
      <c r="K2593" s="486"/>
      <c r="L2593" s="486"/>
      <c r="M2593" s="263"/>
      <c r="N2593" s="263"/>
      <c r="O2593" s="275" t="s">
        <v>37</v>
      </c>
      <c r="P2593" s="486"/>
      <c r="Q2593" s="486"/>
      <c r="R2593" s="486"/>
      <c r="S2593" s="486"/>
      <c r="T2593" s="486"/>
      <c r="U2593" s="486"/>
      <c r="V2593" s="263"/>
      <c r="W2593" s="267"/>
      <c r="X2593" s="263"/>
    </row>
    <row r="2594" spans="1:53" ht="69.95" customHeight="1">
      <c r="E2594" s="264"/>
      <c r="F2594" s="265"/>
      <c r="G2594" s="263"/>
      <c r="H2594" s="275" t="s">
        <v>37</v>
      </c>
      <c r="I2594" s="486"/>
      <c r="J2594" s="486"/>
      <c r="K2594" s="486"/>
      <c r="L2594" s="486"/>
      <c r="M2594" s="263"/>
      <c r="N2594" s="263"/>
      <c r="O2594" s="275" t="s">
        <v>37</v>
      </c>
      <c r="P2594" s="486"/>
      <c r="Q2594" s="486"/>
      <c r="R2594" s="486"/>
      <c r="S2594" s="486"/>
      <c r="T2594" s="486"/>
      <c r="U2594" s="486"/>
      <c r="V2594" s="263"/>
      <c r="W2594" s="267"/>
      <c r="X2594" s="263"/>
    </row>
    <row r="2595" spans="1:53" ht="39.950000000000003" customHeight="1" thickBot="1">
      <c r="E2595" s="276"/>
      <c r="F2595" s="277"/>
      <c r="G2595" s="278"/>
      <c r="H2595" s="278"/>
      <c r="I2595" s="278"/>
      <c r="J2595" s="278"/>
      <c r="K2595" s="278"/>
      <c r="L2595" s="278"/>
      <c r="M2595" s="278"/>
      <c r="N2595" s="278"/>
      <c r="O2595" s="278"/>
      <c r="P2595" s="278"/>
      <c r="Q2595" s="278"/>
      <c r="R2595" s="278"/>
      <c r="S2595" s="278"/>
      <c r="T2595" s="279"/>
      <c r="U2595" s="279"/>
      <c r="V2595" s="279"/>
      <c r="W2595" s="280"/>
      <c r="X2595" s="263"/>
    </row>
    <row r="2596" spans="1:53" ht="62.25" thickBot="1"/>
    <row r="2597" spans="1:53" ht="39.950000000000003" customHeight="1">
      <c r="A2597" s="252" t="str">
        <f>CONCATENATE(F2604,F2606,F2608)</f>
        <v>D4P9</v>
      </c>
      <c r="C2597" s="223"/>
      <c r="D2597" s="223"/>
      <c r="E2597" s="259" t="s">
        <v>70</v>
      </c>
      <c r="F2597" s="260">
        <f>VLOOKUP(CONCATENATE(A2597,1),'zoznam zapasov'!$A$6:$K$160,3,0)</f>
        <v>129</v>
      </c>
      <c r="G2597" s="261"/>
      <c r="H2597" s="322" t="s">
        <v>501</v>
      </c>
      <c r="I2597" s="261"/>
      <c r="J2597" s="261"/>
      <c r="K2597" s="261"/>
      <c r="L2597" s="261"/>
      <c r="M2597" s="261"/>
      <c r="N2597" s="261"/>
      <c r="O2597" s="261"/>
      <c r="P2597" s="261"/>
      <c r="Q2597" s="261"/>
      <c r="R2597" s="261"/>
      <c r="S2597" s="261"/>
      <c r="T2597" s="261"/>
      <c r="U2597" s="261"/>
      <c r="V2597" s="261" t="s">
        <v>30</v>
      </c>
      <c r="W2597" s="262"/>
      <c r="X2597" s="263"/>
      <c r="Y2597" s="253" t="str">
        <f>A2599</f>
        <v>D4P91</v>
      </c>
      <c r="Z2597" s="258" t="str">
        <f>CONCATENATE(V2599,":",V2602)</f>
        <v>3:0</v>
      </c>
      <c r="AA2597" s="255" t="str">
        <f>IF(V2599&gt;V2602,B2599,IF(V2602&gt;V2599,B2602,""))</f>
        <v>LABOŠOVÁ / ŠINKAROVÁ</v>
      </c>
      <c r="AB2597" s="255" t="str">
        <f>IF(V2599&gt;V2602,AV2597,IF(V2602&gt;V2599,AV2598,""))</f>
        <v xml:space="preserve">3:0 ( 4,7,4,,,, ) </v>
      </c>
      <c r="AC2597" s="255" t="str">
        <f>CONCATENATE("Tbl.: ",F2599,"   H: ",F2602,"   D: ",F2601)</f>
        <v>Tbl.: 5   H: 17.00   D: So</v>
      </c>
      <c r="AE2597" s="253" t="s">
        <v>11</v>
      </c>
      <c r="AV2597" s="256" t="str">
        <f>CONCATENATE(V2599,":",V2602, " ( ",AN2599,",",AO2599,",",AP2599,",",AQ2599,",",AR2599,",",AS2599,",",AT2599," ) ")</f>
        <v xml:space="preserve">3:0 ( 4,7,4,,,, ) </v>
      </c>
    </row>
    <row r="2598" spans="1:53" ht="39.950000000000003" customHeight="1">
      <c r="C2598" s="223"/>
      <c r="D2598" s="223"/>
      <c r="E2598" s="264"/>
      <c r="F2598" s="265"/>
      <c r="G2598" s="321" t="s">
        <v>500</v>
      </c>
      <c r="H2598" s="323" t="s">
        <v>502</v>
      </c>
      <c r="I2598" s="263"/>
      <c r="J2598" s="263"/>
      <c r="K2598" s="263"/>
      <c r="L2598" s="263"/>
      <c r="M2598" s="263"/>
      <c r="N2598" s="266">
        <v>1</v>
      </c>
      <c r="O2598" s="266">
        <v>2</v>
      </c>
      <c r="P2598" s="266">
        <v>3</v>
      </c>
      <c r="Q2598" s="266">
        <v>4</v>
      </c>
      <c r="R2598" s="266">
        <v>5</v>
      </c>
      <c r="S2598" s="266">
        <v>6</v>
      </c>
      <c r="T2598" s="266">
        <v>7</v>
      </c>
      <c r="U2598" s="263"/>
      <c r="V2598" s="266" t="s">
        <v>31</v>
      </c>
      <c r="W2598" s="267"/>
      <c r="X2598" s="263"/>
      <c r="AE2598" s="253" t="s">
        <v>68</v>
      </c>
      <c r="AV2598" s="256" t="str">
        <f>CONCATENATE(V2602,":",V2599, " ( ",AN2600,",",AO2600,",",AP2600,",",AQ2600,",",AR2600,",",AS2600,",",AT2600," ) ")</f>
        <v xml:space="preserve">0:3 ( -4,-7,-4,,,, ) </v>
      </c>
    </row>
    <row r="2599" spans="1:53" ht="39.950000000000003" customHeight="1">
      <c r="A2599" s="252" t="str">
        <f>CONCATENATE(A2597,1)</f>
        <v>D4P91</v>
      </c>
      <c r="B2599" s="252" t="str">
        <f>VLOOKUP(A2599,'KO KODY SPOLU'!$A$3:$B$189,2,0)</f>
        <v>LABOŠOVÁ / ŠINKAROVÁ</v>
      </c>
      <c r="C2599" s="223"/>
      <c r="D2599" s="223"/>
      <c r="E2599" s="264" t="s">
        <v>29</v>
      </c>
      <c r="F2599" s="265">
        <f>VLOOKUP(CONCATENATE(A2597,1),'zoznam zapasov'!$A$6:$K$160,11,0)</f>
        <v>5</v>
      </c>
      <c r="G2599" s="508"/>
      <c r="H2599" s="319"/>
      <c r="I2599" s="487" t="str">
        <f>IF(ISERROR(VLOOKUP(B2599,vylosovanie!$N$75:$Q$191,3,0))=TRUE," ",VLOOKUP(B2599,vylosovanie!$N$75:$Q$191,3,0))</f>
        <v>LABOŠOVÁ Ema</v>
      </c>
      <c r="J2599" s="488"/>
      <c r="K2599" s="488"/>
      <c r="L2599" s="488"/>
      <c r="M2599" s="263"/>
      <c r="N2599" s="489">
        <v>11</v>
      </c>
      <c r="O2599" s="489">
        <v>11</v>
      </c>
      <c r="P2599" s="489">
        <v>11</v>
      </c>
      <c r="Q2599" s="489"/>
      <c r="R2599" s="489"/>
      <c r="S2599" s="491"/>
      <c r="T2599" s="491"/>
      <c r="U2599" s="263"/>
      <c r="V2599" s="493">
        <f>IF(SUM(AF2599:AL2600)=0,"",SUM(AF2599:AL2599))</f>
        <v>3</v>
      </c>
      <c r="W2599" s="267"/>
      <c r="X2599" s="263"/>
      <c r="AE2599" s="253" t="str">
        <f>VLOOKUP(I2599,vylosovanie!$F$8:$L$190,7,0)</f>
        <v>D11</v>
      </c>
      <c r="AF2599" s="268">
        <f>IF(N2599&gt;N2602,1,0)</f>
        <v>1</v>
      </c>
      <c r="AG2599" s="268">
        <f t="shared" ref="AG2599" si="2454">IF(O2599&gt;O2602,1,0)</f>
        <v>1</v>
      </c>
      <c r="AH2599" s="268">
        <f t="shared" ref="AH2599" si="2455">IF(P2599&gt;P2602,1,0)</f>
        <v>1</v>
      </c>
      <c r="AI2599" s="268">
        <f t="shared" ref="AI2599" si="2456">IF(Q2599&gt;Q2602,1,0)</f>
        <v>0</v>
      </c>
      <c r="AJ2599" s="268">
        <f t="shared" ref="AJ2599" si="2457">IF(R2599&gt;R2602,1,0)</f>
        <v>0</v>
      </c>
      <c r="AK2599" s="268">
        <f t="shared" ref="AK2599" si="2458">IF(S2599&gt;S2602,1,0)</f>
        <v>0</v>
      </c>
      <c r="AL2599" s="268">
        <f t="shared" ref="AL2599" si="2459">IF(T2599&gt;T2602,1,0)</f>
        <v>0</v>
      </c>
      <c r="AN2599" s="268">
        <f t="shared" ref="AN2599" si="2460">IF(ISBLANK(N2599)=TRUE,"",IF(AF2599=1,N2602,-N2599))</f>
        <v>4</v>
      </c>
      <c r="AO2599" s="268">
        <f t="shared" ref="AO2599" si="2461">IF(ISBLANK(O2599)=TRUE,"",IF(AG2599=1,O2602,-O2599))</f>
        <v>7</v>
      </c>
      <c r="AP2599" s="268">
        <f t="shared" ref="AP2599" si="2462">IF(ISBLANK(P2599)=TRUE,"",IF(AH2599=1,P2602,-P2599))</f>
        <v>4</v>
      </c>
      <c r="AQ2599" s="268" t="str">
        <f t="shared" ref="AQ2599" si="2463">IF(ISBLANK(Q2599)=TRUE,"",IF(AI2599=1,Q2602,-Q2599))</f>
        <v/>
      </c>
      <c r="AR2599" s="268" t="str">
        <f t="shared" ref="AR2599" si="2464">IF(ISBLANK(R2599)=TRUE,"",IF(AJ2599=1,R2602,-R2599))</f>
        <v/>
      </c>
      <c r="AS2599" s="268" t="str">
        <f t="shared" ref="AS2599" si="2465">IF(ISBLANK(S2599)=TRUE,"",IF(AK2599=1,S2602,-S2599))</f>
        <v/>
      </c>
      <c r="AT2599" s="268" t="str">
        <f t="shared" ref="AT2599" si="2466">IF(ISBLANK(T2599)=TRUE,"",IF(AL2599=1,T2602,-T2599))</f>
        <v/>
      </c>
      <c r="AZ2599" s="269" t="s">
        <v>12</v>
      </c>
      <c r="BA2599" s="269">
        <v>1</v>
      </c>
    </row>
    <row r="2600" spans="1:53" ht="39.950000000000003" customHeight="1">
      <c r="C2600" s="223"/>
      <c r="D2600" s="223"/>
      <c r="E2600" s="264"/>
      <c r="F2600" s="265"/>
      <c r="G2600" s="509"/>
      <c r="H2600" s="319"/>
      <c r="I2600" s="487" t="str">
        <f>IF(ISERROR(VLOOKUP(B2599,vylosovanie!$N$75:$Q$191,3,0))=TRUE," ",VLOOKUP(B2599,vylosovanie!$N$75:$Q$191,4,0))</f>
        <v>ŠINKAROVÁ Dáša</v>
      </c>
      <c r="J2600" s="488"/>
      <c r="K2600" s="488"/>
      <c r="L2600" s="488"/>
      <c r="M2600" s="263"/>
      <c r="N2600" s="490"/>
      <c r="O2600" s="490"/>
      <c r="P2600" s="490"/>
      <c r="Q2600" s="490"/>
      <c r="R2600" s="490"/>
      <c r="S2600" s="492"/>
      <c r="T2600" s="492"/>
      <c r="U2600" s="263"/>
      <c r="V2600" s="493"/>
      <c r="W2600" s="267"/>
      <c r="X2600" s="263"/>
      <c r="AE2600" s="253" t="str">
        <f>VLOOKUP(I2602,vylosovanie!$F$8:$L$190,7,0)</f>
        <v>D83</v>
      </c>
      <c r="AF2600" s="268">
        <f>IF(N2602&gt;N2599,1,0)</f>
        <v>0</v>
      </c>
      <c r="AG2600" s="268">
        <f t="shared" ref="AG2600" si="2467">IF(O2602&gt;O2599,1,0)</f>
        <v>0</v>
      </c>
      <c r="AH2600" s="268">
        <f t="shared" ref="AH2600" si="2468">IF(P2602&gt;P2599,1,0)</f>
        <v>0</v>
      </c>
      <c r="AI2600" s="268">
        <f t="shared" ref="AI2600" si="2469">IF(Q2602&gt;Q2599,1,0)</f>
        <v>0</v>
      </c>
      <c r="AJ2600" s="268">
        <f t="shared" ref="AJ2600" si="2470">IF(R2602&gt;R2599,1,0)</f>
        <v>0</v>
      </c>
      <c r="AK2600" s="268">
        <f t="shared" ref="AK2600" si="2471">IF(S2602&gt;S2599,1,0)</f>
        <v>0</v>
      </c>
      <c r="AL2600" s="268">
        <f t="shared" ref="AL2600" si="2472">IF(T2602&gt;T2599,1,0)</f>
        <v>0</v>
      </c>
      <c r="AN2600" s="268">
        <f t="shared" ref="AN2600" si="2473">IF(ISBLANK(N2602)=TRUE,"",IF(AF2600=1,N2599,-N2602))</f>
        <v>-4</v>
      </c>
      <c r="AO2600" s="268">
        <f t="shared" ref="AO2600" si="2474">IF(ISBLANK(O2602)=TRUE,"",IF(AG2600=1,O2599,-O2602))</f>
        <v>-7</v>
      </c>
      <c r="AP2600" s="268">
        <f t="shared" ref="AP2600" si="2475">IF(ISBLANK(P2602)=TRUE,"",IF(AH2600=1,P2599,-P2602))</f>
        <v>-4</v>
      </c>
      <c r="AQ2600" s="268" t="str">
        <f t="shared" ref="AQ2600" si="2476">IF(ISBLANK(Q2602)=TRUE,"",IF(AI2600=1,Q2599,-Q2602))</f>
        <v/>
      </c>
      <c r="AR2600" s="268" t="str">
        <f t="shared" ref="AR2600" si="2477">IF(ISBLANK(R2602)=TRUE,"",IF(AJ2600=1,R2599,-R2602))</f>
        <v/>
      </c>
      <c r="AS2600" s="268" t="str">
        <f t="shared" ref="AS2600" si="2478">IF(ISBLANK(S2602)=TRUE,"",IF(AK2600=1,S2599,-S2602))</f>
        <v/>
      </c>
      <c r="AT2600" s="268" t="str">
        <f t="shared" ref="AT2600" si="2479">IF(ISBLANK(T2602)=TRUE,"",IF(AL2600=1,T2599,-T2602))</f>
        <v/>
      </c>
      <c r="AZ2600" s="269" t="s">
        <v>18</v>
      </c>
      <c r="BA2600" s="269">
        <v>2</v>
      </c>
    </row>
    <row r="2601" spans="1:53" ht="39.950000000000003" customHeight="1">
      <c r="C2601" s="223"/>
      <c r="D2601" s="223"/>
      <c r="E2601" s="264" t="s">
        <v>35</v>
      </c>
      <c r="F2601" s="265" t="str">
        <f>VLOOKUP(CONCATENATE(A2597,1),'zoznam zapasov'!$A$6:$K$160,9,0)</f>
        <v>So</v>
      </c>
      <c r="G2601" s="263"/>
      <c r="H2601" s="263"/>
      <c r="I2601" s="263"/>
      <c r="J2601" s="263"/>
      <c r="K2601" s="263"/>
      <c r="L2601" s="263"/>
      <c r="M2601" s="263"/>
      <c r="N2601" s="263"/>
      <c r="O2601" s="263"/>
      <c r="P2601" s="263"/>
      <c r="Q2601" s="263"/>
      <c r="R2601" s="263"/>
      <c r="S2601" s="263"/>
      <c r="T2601" s="263"/>
      <c r="U2601" s="263"/>
      <c r="V2601" s="263"/>
      <c r="W2601" s="267"/>
      <c r="X2601" s="263"/>
      <c r="AZ2601" s="269" t="s">
        <v>38</v>
      </c>
      <c r="BA2601" s="269">
        <v>3</v>
      </c>
    </row>
    <row r="2602" spans="1:53" ht="39.950000000000003" customHeight="1">
      <c r="A2602" s="252" t="str">
        <f>CONCATENATE(A2597,2)</f>
        <v>D4P92</v>
      </c>
      <c r="B2602" s="252" t="str">
        <f>VLOOKUP(A2602,'KO KODY SPOLU'!$A$3:$B$189,2,0)</f>
        <v>PISARČIKOVÁ / HUDÁKOVÁ</v>
      </c>
      <c r="C2602" s="223"/>
      <c r="D2602" s="223"/>
      <c r="E2602" s="264" t="s">
        <v>28</v>
      </c>
      <c r="F2602" s="270" t="str">
        <f>VLOOKUP(CONCATENATE(A2597,1),'zoznam zapasov'!$A$6:$K$160,10,0)</f>
        <v>17.00</v>
      </c>
      <c r="G2602" s="508"/>
      <c r="H2602" s="319"/>
      <c r="I2602" s="487" t="str">
        <f>IF(ISERROR(VLOOKUP(B2602,vylosovanie!$N$75:$Q$191,3,0))=TRUE," ",VLOOKUP(B2602,vylosovanie!$N$75:$Q$191,3,0))</f>
        <v>PISARČIKOVÁ Frederika</v>
      </c>
      <c r="J2602" s="488"/>
      <c r="K2602" s="488"/>
      <c r="L2602" s="488"/>
      <c r="M2602" s="263"/>
      <c r="N2602" s="489">
        <v>4</v>
      </c>
      <c r="O2602" s="489">
        <v>7</v>
      </c>
      <c r="P2602" s="489">
        <v>4</v>
      </c>
      <c r="Q2602" s="489"/>
      <c r="R2602" s="489"/>
      <c r="S2602" s="491"/>
      <c r="T2602" s="491"/>
      <c r="U2602" s="263"/>
      <c r="V2602" s="493">
        <f>IF(SUM(AF2599:AL2600)=0,"",SUM(AF2600:AL2600))</f>
        <v>0</v>
      </c>
      <c r="W2602" s="267"/>
      <c r="X2602" s="263"/>
      <c r="AZ2602" s="269" t="s">
        <v>39</v>
      </c>
      <c r="BA2602" s="269">
        <v>4</v>
      </c>
    </row>
    <row r="2603" spans="1:53" ht="39.950000000000003" customHeight="1">
      <c r="C2603" s="223"/>
      <c r="D2603" s="223"/>
      <c r="E2603" s="271"/>
      <c r="F2603" s="272"/>
      <c r="G2603" s="509"/>
      <c r="H2603" s="319"/>
      <c r="I2603" s="487" t="str">
        <f>IF(ISERROR(VLOOKUP(B2602,vylosovanie!$N$75:$Q$191,3,0))=TRUE," ",VLOOKUP(B2602,vylosovanie!$N$75:$Q$191,4,0))</f>
        <v>HUDÁKOVÁ Ivana</v>
      </c>
      <c r="J2603" s="488"/>
      <c r="K2603" s="488"/>
      <c r="L2603" s="488"/>
      <c r="M2603" s="263"/>
      <c r="N2603" s="490"/>
      <c r="O2603" s="490"/>
      <c r="P2603" s="490"/>
      <c r="Q2603" s="490"/>
      <c r="R2603" s="490"/>
      <c r="S2603" s="492"/>
      <c r="T2603" s="492"/>
      <c r="U2603" s="263"/>
      <c r="V2603" s="493"/>
      <c r="W2603" s="267"/>
      <c r="X2603" s="263"/>
      <c r="AZ2603" s="269" t="s">
        <v>40</v>
      </c>
      <c r="BA2603" s="269">
        <v>5</v>
      </c>
    </row>
    <row r="2604" spans="1:53" ht="39.950000000000003" customHeight="1">
      <c r="C2604" s="223"/>
      <c r="D2604" s="223"/>
      <c r="E2604" s="264" t="s">
        <v>66</v>
      </c>
      <c r="F2604" s="265" t="s">
        <v>95</v>
      </c>
      <c r="G2604" s="263"/>
      <c r="H2604" s="263"/>
      <c r="I2604" s="263"/>
      <c r="J2604" s="263"/>
      <c r="K2604" s="263"/>
      <c r="L2604" s="263"/>
      <c r="M2604" s="263"/>
      <c r="N2604" s="263"/>
      <c r="O2604" s="263"/>
      <c r="P2604" s="263"/>
      <c r="Q2604" s="263"/>
      <c r="R2604" s="263"/>
      <c r="S2604" s="263"/>
      <c r="T2604" s="263"/>
      <c r="U2604" s="263"/>
      <c r="V2604" s="263"/>
      <c r="W2604" s="267"/>
      <c r="X2604" s="263"/>
      <c r="AZ2604" s="269" t="s">
        <v>41</v>
      </c>
      <c r="BA2604" s="269">
        <v>6</v>
      </c>
    </row>
    <row r="2605" spans="1:53" ht="39.950000000000003" customHeight="1">
      <c r="C2605" s="223"/>
      <c r="D2605" s="223"/>
      <c r="E2605" s="271"/>
      <c r="F2605" s="272"/>
      <c r="G2605" s="263"/>
      <c r="H2605" s="263"/>
      <c r="I2605" s="263" t="s">
        <v>32</v>
      </c>
      <c r="J2605" s="263"/>
      <c r="K2605" s="263"/>
      <c r="L2605" s="263"/>
      <c r="M2605" s="263"/>
      <c r="N2605" s="273"/>
      <c r="O2605" s="266"/>
      <c r="P2605" s="266" t="s">
        <v>34</v>
      </c>
      <c r="Q2605" s="266"/>
      <c r="R2605" s="266"/>
      <c r="S2605" s="266"/>
      <c r="T2605" s="266"/>
      <c r="U2605" s="263"/>
      <c r="V2605" s="263"/>
      <c r="W2605" s="267"/>
      <c r="X2605" s="263"/>
      <c r="AZ2605" s="269" t="s">
        <v>42</v>
      </c>
      <c r="BA2605" s="269">
        <v>7</v>
      </c>
    </row>
    <row r="2606" spans="1:53" ht="39.950000000000003" customHeight="1">
      <c r="E2606" s="264" t="s">
        <v>26</v>
      </c>
      <c r="F2606" s="265" t="s">
        <v>128</v>
      </c>
      <c r="G2606" s="263"/>
      <c r="H2606" s="263"/>
      <c r="I2606" s="486"/>
      <c r="J2606" s="486"/>
      <c r="K2606" s="486"/>
      <c r="L2606" s="486"/>
      <c r="M2606" s="263"/>
      <c r="N2606" s="483" t="str">
        <f>IF(V2599&gt;V2602,I2599,IF(V2602&gt;V2599,I2602,""))</f>
        <v>LABOŠOVÁ Ema</v>
      </c>
      <c r="O2606" s="494"/>
      <c r="P2606" s="494"/>
      <c r="Q2606" s="494"/>
      <c r="R2606" s="494"/>
      <c r="S2606" s="495"/>
      <c r="T2606" s="263"/>
      <c r="U2606" s="263"/>
      <c r="V2606" s="263"/>
      <c r="W2606" s="267"/>
      <c r="X2606" s="263"/>
      <c r="AZ2606" s="269" t="s">
        <v>43</v>
      </c>
      <c r="BA2606" s="269">
        <v>8</v>
      </c>
    </row>
    <row r="2607" spans="1:53" ht="39.950000000000003" customHeight="1">
      <c r="E2607" s="271"/>
      <c r="F2607" s="272"/>
      <c r="G2607" s="263"/>
      <c r="H2607" s="263"/>
      <c r="I2607" s="486"/>
      <c r="J2607" s="486"/>
      <c r="K2607" s="486"/>
      <c r="L2607" s="486"/>
      <c r="M2607" s="263"/>
      <c r="N2607" s="483" t="str">
        <f>IF(V2599&gt;V2602,I2600,IF(V2602&gt;V2599,I2603,""))</f>
        <v>ŠINKAROVÁ Dáša</v>
      </c>
      <c r="O2607" s="494"/>
      <c r="P2607" s="494"/>
      <c r="Q2607" s="494"/>
      <c r="R2607" s="494"/>
      <c r="S2607" s="495"/>
      <c r="T2607" s="263"/>
      <c r="U2607" s="263"/>
      <c r="V2607" s="263"/>
      <c r="W2607" s="267"/>
      <c r="X2607" s="263"/>
    </row>
    <row r="2608" spans="1:53" ht="39.950000000000003" customHeight="1">
      <c r="E2608" s="264" t="s">
        <v>27</v>
      </c>
      <c r="F2608" s="274" t="s">
        <v>348</v>
      </c>
      <c r="G2608" s="263"/>
      <c r="H2608" s="263"/>
      <c r="I2608" s="263"/>
      <c r="J2608" s="263"/>
      <c r="K2608" s="263"/>
      <c r="L2608" s="263"/>
      <c r="M2608" s="263"/>
      <c r="N2608" s="263"/>
      <c r="O2608" s="263"/>
      <c r="P2608" s="263"/>
      <c r="Q2608" s="263"/>
      <c r="R2608" s="263"/>
      <c r="S2608" s="263"/>
      <c r="T2608" s="263"/>
      <c r="U2608" s="263"/>
      <c r="V2608" s="263"/>
      <c r="W2608" s="267"/>
      <c r="X2608" s="263"/>
    </row>
    <row r="2609" spans="1:53" ht="39.950000000000003" customHeight="1">
      <c r="E2609" s="271"/>
      <c r="F2609" s="272"/>
      <c r="G2609" s="263"/>
      <c r="H2609" s="263" t="s">
        <v>33</v>
      </c>
      <c r="I2609" s="263"/>
      <c r="J2609" s="263"/>
      <c r="K2609" s="263"/>
      <c r="L2609" s="263"/>
      <c r="M2609" s="263"/>
      <c r="N2609" s="263"/>
      <c r="O2609" s="263"/>
      <c r="P2609" s="263"/>
      <c r="Q2609" s="263"/>
      <c r="R2609" s="263"/>
      <c r="S2609" s="263"/>
      <c r="T2609" s="263"/>
      <c r="U2609" s="263"/>
      <c r="V2609" s="263"/>
      <c r="W2609" s="267"/>
      <c r="X2609" s="263"/>
    </row>
    <row r="2610" spans="1:53" ht="39.950000000000003" customHeight="1">
      <c r="E2610" s="271"/>
      <c r="F2610" s="272"/>
      <c r="G2610" s="263"/>
      <c r="H2610" s="263"/>
      <c r="I2610" s="263"/>
      <c r="J2610" s="263"/>
      <c r="K2610" s="263"/>
      <c r="L2610" s="263"/>
      <c r="M2610" s="263"/>
      <c r="N2610" s="263"/>
      <c r="O2610" s="263"/>
      <c r="P2610" s="263"/>
      <c r="Q2610" s="263"/>
      <c r="R2610" s="263"/>
      <c r="S2610" s="263"/>
      <c r="T2610" s="263"/>
      <c r="U2610" s="263"/>
      <c r="V2610" s="263"/>
      <c r="W2610" s="267"/>
      <c r="X2610" s="263"/>
    </row>
    <row r="2611" spans="1:53" ht="39.950000000000003" customHeight="1">
      <c r="E2611" s="271"/>
      <c r="F2611" s="272"/>
      <c r="G2611" s="263"/>
      <c r="H2611" s="263"/>
      <c r="I2611" s="496" t="str">
        <f>I2599</f>
        <v>LABOŠOVÁ Ema</v>
      </c>
      <c r="J2611" s="496"/>
      <c r="K2611" s="496"/>
      <c r="L2611" s="496"/>
      <c r="M2611" s="263"/>
      <c r="N2611" s="263"/>
      <c r="P2611" s="496" t="str">
        <f>I2602</f>
        <v>PISARČIKOVÁ Frederika</v>
      </c>
      <c r="Q2611" s="496"/>
      <c r="R2611" s="496"/>
      <c r="S2611" s="496"/>
      <c r="T2611" s="497"/>
      <c r="U2611" s="497"/>
      <c r="V2611" s="263"/>
      <c r="W2611" s="267"/>
      <c r="X2611" s="263"/>
    </row>
    <row r="2612" spans="1:53" ht="39.950000000000003" customHeight="1">
      <c r="E2612" s="271"/>
      <c r="F2612" s="272"/>
      <c r="G2612" s="263"/>
      <c r="H2612" s="263"/>
      <c r="I2612" s="496" t="str">
        <f>I2600</f>
        <v>ŠINKAROVÁ Dáša</v>
      </c>
      <c r="J2612" s="496"/>
      <c r="K2612" s="496"/>
      <c r="L2612" s="496"/>
      <c r="M2612" s="263"/>
      <c r="N2612" s="263"/>
      <c r="O2612" s="263"/>
      <c r="P2612" s="496" t="str">
        <f>I2603</f>
        <v>HUDÁKOVÁ Ivana</v>
      </c>
      <c r="Q2612" s="496"/>
      <c r="R2612" s="496"/>
      <c r="S2612" s="496"/>
      <c r="T2612" s="497"/>
      <c r="U2612" s="497"/>
      <c r="V2612" s="263"/>
      <c r="W2612" s="267"/>
      <c r="X2612" s="263"/>
    </row>
    <row r="2613" spans="1:53" ht="69.95" customHeight="1">
      <c r="E2613" s="264"/>
      <c r="F2613" s="265"/>
      <c r="G2613" s="263"/>
      <c r="H2613" s="275" t="s">
        <v>36</v>
      </c>
      <c r="I2613" s="483"/>
      <c r="J2613" s="484"/>
      <c r="K2613" s="484"/>
      <c r="L2613" s="485"/>
      <c r="M2613" s="263"/>
      <c r="N2613" s="263"/>
      <c r="O2613" s="275" t="s">
        <v>36</v>
      </c>
      <c r="P2613" s="486"/>
      <c r="Q2613" s="486"/>
      <c r="R2613" s="486"/>
      <c r="S2613" s="486"/>
      <c r="T2613" s="486"/>
      <c r="U2613" s="486"/>
      <c r="V2613" s="263"/>
      <c r="W2613" s="267"/>
      <c r="X2613" s="263"/>
    </row>
    <row r="2614" spans="1:53" ht="69.95" customHeight="1">
      <c r="E2614" s="264"/>
      <c r="F2614" s="265"/>
      <c r="G2614" s="263"/>
      <c r="H2614" s="275" t="s">
        <v>37</v>
      </c>
      <c r="I2614" s="486"/>
      <c r="J2614" s="486"/>
      <c r="K2614" s="486"/>
      <c r="L2614" s="486"/>
      <c r="M2614" s="263"/>
      <c r="N2614" s="263"/>
      <c r="O2614" s="275" t="s">
        <v>37</v>
      </c>
      <c r="P2614" s="486"/>
      <c r="Q2614" s="486"/>
      <c r="R2614" s="486"/>
      <c r="S2614" s="486"/>
      <c r="T2614" s="486"/>
      <c r="U2614" s="486"/>
      <c r="V2614" s="263"/>
      <c r="W2614" s="267"/>
      <c r="X2614" s="263"/>
    </row>
    <row r="2615" spans="1:53" ht="69.95" customHeight="1">
      <c r="E2615" s="264"/>
      <c r="F2615" s="265"/>
      <c r="G2615" s="263"/>
      <c r="H2615" s="275" t="s">
        <v>37</v>
      </c>
      <c r="I2615" s="486"/>
      <c r="J2615" s="486"/>
      <c r="K2615" s="486"/>
      <c r="L2615" s="486"/>
      <c r="M2615" s="263"/>
      <c r="N2615" s="263"/>
      <c r="O2615" s="275" t="s">
        <v>37</v>
      </c>
      <c r="P2615" s="486"/>
      <c r="Q2615" s="486"/>
      <c r="R2615" s="486"/>
      <c r="S2615" s="486"/>
      <c r="T2615" s="486"/>
      <c r="U2615" s="486"/>
      <c r="V2615" s="263"/>
      <c r="W2615" s="267"/>
      <c r="X2615" s="263"/>
    </row>
    <row r="2616" spans="1:53" ht="39.950000000000003" customHeight="1" thickBot="1">
      <c r="E2616" s="276"/>
      <c r="F2616" s="277"/>
      <c r="G2616" s="278"/>
      <c r="H2616" s="278"/>
      <c r="I2616" s="278"/>
      <c r="J2616" s="278"/>
      <c r="K2616" s="278"/>
      <c r="L2616" s="278"/>
      <c r="M2616" s="278"/>
      <c r="N2616" s="278"/>
      <c r="O2616" s="278"/>
      <c r="P2616" s="278"/>
      <c r="Q2616" s="278"/>
      <c r="R2616" s="278"/>
      <c r="S2616" s="278"/>
      <c r="T2616" s="279"/>
      <c r="U2616" s="279"/>
      <c r="V2616" s="279"/>
      <c r="W2616" s="280"/>
      <c r="X2616" s="263"/>
    </row>
    <row r="2617" spans="1:53" ht="62.25" thickBot="1"/>
    <row r="2618" spans="1:53" ht="39.950000000000003" customHeight="1">
      <c r="A2618" s="252" t="str">
        <f>CONCATENATE(F2625,F2627,F2629)</f>
        <v>D4P10</v>
      </c>
      <c r="C2618" s="223"/>
      <c r="D2618" s="223"/>
      <c r="E2618" s="259" t="s">
        <v>70</v>
      </c>
      <c r="F2618" s="260">
        <f>VLOOKUP(CONCATENATE(A2618,1),'zoznam zapasov'!$A$6:$K$160,3,0)</f>
        <v>130</v>
      </c>
      <c r="G2618" s="261"/>
      <c r="H2618" s="322" t="s">
        <v>501</v>
      </c>
      <c r="I2618" s="261"/>
      <c r="J2618" s="261"/>
      <c r="K2618" s="261"/>
      <c r="L2618" s="261"/>
      <c r="M2618" s="261"/>
      <c r="N2618" s="261"/>
      <c r="O2618" s="261"/>
      <c r="P2618" s="261"/>
      <c r="Q2618" s="261"/>
      <c r="R2618" s="261"/>
      <c r="S2618" s="261"/>
      <c r="T2618" s="261"/>
      <c r="U2618" s="261"/>
      <c r="V2618" s="261" t="s">
        <v>30</v>
      </c>
      <c r="W2618" s="262"/>
      <c r="X2618" s="263"/>
      <c r="Y2618" s="253" t="str">
        <f>A2620</f>
        <v>D4P101</v>
      </c>
      <c r="Z2618" s="258" t="str">
        <f>CONCATENATE(V2620,":",V2623)</f>
        <v>3:1</v>
      </c>
      <c r="AA2618" s="255" t="str">
        <f>IF(V2620&gt;V2623,B2620,IF(V2623&gt;V2620,B2623,""))</f>
        <v>ŠVAJDLENKOVÁ / HURBANOVÁ</v>
      </c>
      <c r="AB2618" s="255" t="str">
        <f>IF(V2620&gt;V2623,AV2618,IF(V2623&gt;V2620,AV2619,""))</f>
        <v xml:space="preserve">3:1 ( -8,8,6,9,,, ) </v>
      </c>
      <c r="AC2618" s="255" t="str">
        <f>CONCATENATE("Tbl.: ",F2620,"   H: ",F2623,"   D: ",F2622)</f>
        <v>Tbl.: 6   H: 17.00   D: So</v>
      </c>
      <c r="AE2618" s="253" t="s">
        <v>11</v>
      </c>
      <c r="AV2618" s="256" t="str">
        <f>CONCATENATE(V2620,":",V2623, " ( ",AN2620,",",AO2620,",",AP2620,",",AQ2620,",",AR2620,",",AS2620,",",AT2620," ) ")</f>
        <v xml:space="preserve">3:1 ( -8,8,6,9,,, ) </v>
      </c>
    </row>
    <row r="2619" spans="1:53" ht="39.950000000000003" customHeight="1">
      <c r="C2619" s="223"/>
      <c r="D2619" s="223"/>
      <c r="E2619" s="264"/>
      <c r="F2619" s="265"/>
      <c r="G2619" s="321" t="s">
        <v>500</v>
      </c>
      <c r="H2619" s="323" t="s">
        <v>502</v>
      </c>
      <c r="I2619" s="263"/>
      <c r="J2619" s="263"/>
      <c r="K2619" s="263"/>
      <c r="L2619" s="263"/>
      <c r="M2619" s="263"/>
      <c r="N2619" s="266">
        <v>1</v>
      </c>
      <c r="O2619" s="266">
        <v>2</v>
      </c>
      <c r="P2619" s="266">
        <v>3</v>
      </c>
      <c r="Q2619" s="266">
        <v>4</v>
      </c>
      <c r="R2619" s="266">
        <v>5</v>
      </c>
      <c r="S2619" s="266">
        <v>6</v>
      </c>
      <c r="T2619" s="266">
        <v>7</v>
      </c>
      <c r="U2619" s="263"/>
      <c r="V2619" s="266" t="s">
        <v>31</v>
      </c>
      <c r="W2619" s="267"/>
      <c r="X2619" s="263"/>
      <c r="AE2619" s="253" t="s">
        <v>68</v>
      </c>
      <c r="AV2619" s="256" t="str">
        <f>CONCATENATE(V2623,":",V2620, " ( ",AN2621,",",AO2621,",",AP2621,",",AQ2621,",",AR2621,",",AS2621,",",AT2621," ) ")</f>
        <v xml:space="preserve">1:3 ( 8,-8,-6,-9,,, ) </v>
      </c>
    </row>
    <row r="2620" spans="1:53" ht="39.950000000000003" customHeight="1">
      <c r="A2620" s="252" t="str">
        <f>CONCATENATE(A2618,1)</f>
        <v>D4P101</v>
      </c>
      <c r="B2620" s="252" t="str">
        <f>VLOOKUP(A2620,'KO KODY SPOLU'!$A$3:$B$189,2,0)</f>
        <v>ŠVAJDLENKOVÁ / HURBANOVÁ</v>
      </c>
      <c r="C2620" s="223"/>
      <c r="D2620" s="223"/>
      <c r="E2620" s="264" t="s">
        <v>29</v>
      </c>
      <c r="F2620" s="265">
        <f>VLOOKUP(CONCATENATE(A2618,1),'zoznam zapasov'!$A$6:$K$160,11,0)</f>
        <v>6</v>
      </c>
      <c r="G2620" s="508"/>
      <c r="H2620" s="319"/>
      <c r="I2620" s="487" t="str">
        <f>IF(ISERROR(VLOOKUP(B2620,vylosovanie!$N$75:$Q$191,3,0))=TRUE," ",VLOOKUP(B2620,vylosovanie!$N$75:$Q$191,3,0))</f>
        <v>ŠVAJDLENKOVÁ Laura</v>
      </c>
      <c r="J2620" s="488"/>
      <c r="K2620" s="488"/>
      <c r="L2620" s="488"/>
      <c r="M2620" s="263"/>
      <c r="N2620" s="489">
        <v>8</v>
      </c>
      <c r="O2620" s="489">
        <v>11</v>
      </c>
      <c r="P2620" s="489">
        <v>11</v>
      </c>
      <c r="Q2620" s="489">
        <v>11</v>
      </c>
      <c r="R2620" s="489"/>
      <c r="S2620" s="491"/>
      <c r="T2620" s="491"/>
      <c r="U2620" s="263"/>
      <c r="V2620" s="493">
        <f>IF(SUM(AF2620:AL2621)=0,"",SUM(AF2620:AL2620))</f>
        <v>3</v>
      </c>
      <c r="W2620" s="267"/>
      <c r="X2620" s="263"/>
      <c r="AE2620" s="253" t="str">
        <f>VLOOKUP(I2620,vylosovanie!$F$8:$L$190,7,0)</f>
        <v>D61</v>
      </c>
      <c r="AF2620" s="268">
        <f>IF(N2620&gt;N2623,1,0)</f>
        <v>0</v>
      </c>
      <c r="AG2620" s="268">
        <f t="shared" ref="AG2620" si="2480">IF(O2620&gt;O2623,1,0)</f>
        <v>1</v>
      </c>
      <c r="AH2620" s="268">
        <f t="shared" ref="AH2620" si="2481">IF(P2620&gt;P2623,1,0)</f>
        <v>1</v>
      </c>
      <c r="AI2620" s="268">
        <f t="shared" ref="AI2620" si="2482">IF(Q2620&gt;Q2623,1,0)</f>
        <v>1</v>
      </c>
      <c r="AJ2620" s="268">
        <f t="shared" ref="AJ2620" si="2483">IF(R2620&gt;R2623,1,0)</f>
        <v>0</v>
      </c>
      <c r="AK2620" s="268">
        <f t="shared" ref="AK2620" si="2484">IF(S2620&gt;S2623,1,0)</f>
        <v>0</v>
      </c>
      <c r="AL2620" s="268">
        <f t="shared" ref="AL2620" si="2485">IF(T2620&gt;T2623,1,0)</f>
        <v>0</v>
      </c>
      <c r="AN2620" s="268">
        <f t="shared" ref="AN2620" si="2486">IF(ISBLANK(N2620)=TRUE,"",IF(AF2620=1,N2623,-N2620))</f>
        <v>-8</v>
      </c>
      <c r="AO2620" s="268">
        <f t="shared" ref="AO2620" si="2487">IF(ISBLANK(O2620)=TRUE,"",IF(AG2620=1,O2623,-O2620))</f>
        <v>8</v>
      </c>
      <c r="AP2620" s="268">
        <f t="shared" ref="AP2620" si="2488">IF(ISBLANK(P2620)=TRUE,"",IF(AH2620=1,P2623,-P2620))</f>
        <v>6</v>
      </c>
      <c r="AQ2620" s="268">
        <f t="shared" ref="AQ2620" si="2489">IF(ISBLANK(Q2620)=TRUE,"",IF(AI2620=1,Q2623,-Q2620))</f>
        <v>9</v>
      </c>
      <c r="AR2620" s="268" t="str">
        <f t="shared" ref="AR2620" si="2490">IF(ISBLANK(R2620)=TRUE,"",IF(AJ2620=1,R2623,-R2620))</f>
        <v/>
      </c>
      <c r="AS2620" s="268" t="str">
        <f t="shared" ref="AS2620" si="2491">IF(ISBLANK(S2620)=TRUE,"",IF(AK2620=1,S2623,-S2620))</f>
        <v/>
      </c>
      <c r="AT2620" s="268" t="str">
        <f t="shared" ref="AT2620" si="2492">IF(ISBLANK(T2620)=TRUE,"",IF(AL2620=1,T2623,-T2620))</f>
        <v/>
      </c>
      <c r="AZ2620" s="269" t="s">
        <v>12</v>
      </c>
      <c r="BA2620" s="269">
        <v>1</v>
      </c>
    </row>
    <row r="2621" spans="1:53" ht="39.950000000000003" customHeight="1">
      <c r="C2621" s="223"/>
      <c r="D2621" s="223"/>
      <c r="E2621" s="264"/>
      <c r="F2621" s="265"/>
      <c r="G2621" s="509"/>
      <c r="H2621" s="319"/>
      <c r="I2621" s="487" t="str">
        <f>IF(ISERROR(VLOOKUP(B2620,vylosovanie!$N$75:$Q$191,3,0))=TRUE," ",VLOOKUP(B2620,vylosovanie!$N$75:$Q$191,4,0))</f>
        <v>HURBANOVÁ Isabella</v>
      </c>
      <c r="J2621" s="488"/>
      <c r="K2621" s="488"/>
      <c r="L2621" s="488"/>
      <c r="M2621" s="263"/>
      <c r="N2621" s="490"/>
      <c r="O2621" s="490"/>
      <c r="P2621" s="490"/>
      <c r="Q2621" s="490"/>
      <c r="R2621" s="490"/>
      <c r="S2621" s="492"/>
      <c r="T2621" s="492"/>
      <c r="U2621" s="263"/>
      <c r="V2621" s="493"/>
      <c r="W2621" s="267"/>
      <c r="X2621" s="263"/>
      <c r="AE2621" s="253" t="str">
        <f>VLOOKUP(I2623,vylosovanie!$F$8:$L$190,7,0)</f>
        <v>D71</v>
      </c>
      <c r="AF2621" s="268">
        <f>IF(N2623&gt;N2620,1,0)</f>
        <v>1</v>
      </c>
      <c r="AG2621" s="268">
        <f t="shared" ref="AG2621" si="2493">IF(O2623&gt;O2620,1,0)</f>
        <v>0</v>
      </c>
      <c r="AH2621" s="268">
        <f t="shared" ref="AH2621" si="2494">IF(P2623&gt;P2620,1,0)</f>
        <v>0</v>
      </c>
      <c r="AI2621" s="268">
        <f t="shared" ref="AI2621" si="2495">IF(Q2623&gt;Q2620,1,0)</f>
        <v>0</v>
      </c>
      <c r="AJ2621" s="268">
        <f t="shared" ref="AJ2621" si="2496">IF(R2623&gt;R2620,1,0)</f>
        <v>0</v>
      </c>
      <c r="AK2621" s="268">
        <f t="shared" ref="AK2621" si="2497">IF(S2623&gt;S2620,1,0)</f>
        <v>0</v>
      </c>
      <c r="AL2621" s="268">
        <f t="shared" ref="AL2621" si="2498">IF(T2623&gt;T2620,1,0)</f>
        <v>0</v>
      </c>
      <c r="AN2621" s="268">
        <f t="shared" ref="AN2621" si="2499">IF(ISBLANK(N2623)=TRUE,"",IF(AF2621=1,N2620,-N2623))</f>
        <v>8</v>
      </c>
      <c r="AO2621" s="268">
        <f t="shared" ref="AO2621" si="2500">IF(ISBLANK(O2623)=TRUE,"",IF(AG2621=1,O2620,-O2623))</f>
        <v>-8</v>
      </c>
      <c r="AP2621" s="268">
        <f t="shared" ref="AP2621" si="2501">IF(ISBLANK(P2623)=TRUE,"",IF(AH2621=1,P2620,-P2623))</f>
        <v>-6</v>
      </c>
      <c r="AQ2621" s="268">
        <f t="shared" ref="AQ2621" si="2502">IF(ISBLANK(Q2623)=TRUE,"",IF(AI2621=1,Q2620,-Q2623))</f>
        <v>-9</v>
      </c>
      <c r="AR2621" s="268" t="str">
        <f t="shared" ref="AR2621" si="2503">IF(ISBLANK(R2623)=TRUE,"",IF(AJ2621=1,R2620,-R2623))</f>
        <v/>
      </c>
      <c r="AS2621" s="268" t="str">
        <f t="shared" ref="AS2621" si="2504">IF(ISBLANK(S2623)=TRUE,"",IF(AK2621=1,S2620,-S2623))</f>
        <v/>
      </c>
      <c r="AT2621" s="268" t="str">
        <f t="shared" ref="AT2621" si="2505">IF(ISBLANK(T2623)=TRUE,"",IF(AL2621=1,T2620,-T2623))</f>
        <v/>
      </c>
      <c r="AZ2621" s="269" t="s">
        <v>18</v>
      </c>
      <c r="BA2621" s="269">
        <v>2</v>
      </c>
    </row>
    <row r="2622" spans="1:53" ht="39.950000000000003" customHeight="1">
      <c r="C2622" s="223"/>
      <c r="D2622" s="223"/>
      <c r="E2622" s="264" t="s">
        <v>35</v>
      </c>
      <c r="F2622" s="265" t="str">
        <f>VLOOKUP(CONCATENATE(A2618,1),'zoznam zapasov'!$A$6:$K$160,9,0)</f>
        <v>So</v>
      </c>
      <c r="G2622" s="263"/>
      <c r="H2622" s="263"/>
      <c r="I2622" s="263"/>
      <c r="J2622" s="263"/>
      <c r="K2622" s="263"/>
      <c r="L2622" s="263"/>
      <c r="M2622" s="263"/>
      <c r="N2622" s="263"/>
      <c r="O2622" s="263"/>
      <c r="P2622" s="263"/>
      <c r="Q2622" s="263"/>
      <c r="R2622" s="263"/>
      <c r="S2622" s="263"/>
      <c r="T2622" s="263"/>
      <c r="U2622" s="263"/>
      <c r="V2622" s="263"/>
      <c r="W2622" s="267"/>
      <c r="X2622" s="263"/>
      <c r="AZ2622" s="269" t="s">
        <v>38</v>
      </c>
      <c r="BA2622" s="269">
        <v>3</v>
      </c>
    </row>
    <row r="2623" spans="1:53" ht="39.950000000000003" customHeight="1">
      <c r="A2623" s="252" t="str">
        <f>CONCATENATE(A2618,2)</f>
        <v>D4P102</v>
      </c>
      <c r="B2623" s="252" t="str">
        <f>VLOOKUP(A2623,'KO KODY SPOLU'!$A$3:$B$189,2,0)</f>
        <v>MAJERSKÁ / GAŠPARÍKOVÁ</v>
      </c>
      <c r="C2623" s="223"/>
      <c r="D2623" s="223"/>
      <c r="E2623" s="264" t="s">
        <v>28</v>
      </c>
      <c r="F2623" s="270" t="str">
        <f>VLOOKUP(CONCATENATE(A2618,1),'zoznam zapasov'!$A$6:$K$160,10,0)</f>
        <v>17.00</v>
      </c>
      <c r="G2623" s="508"/>
      <c r="H2623" s="319"/>
      <c r="I2623" s="487" t="str">
        <f>IF(ISERROR(VLOOKUP(B2623,vylosovanie!$N$75:$Q$191,3,0))=TRUE," ",VLOOKUP(B2623,vylosovanie!$N$75:$Q$191,3,0))</f>
        <v>MAJERSKÁ Alena</v>
      </c>
      <c r="J2623" s="488"/>
      <c r="K2623" s="488"/>
      <c r="L2623" s="488"/>
      <c r="M2623" s="263"/>
      <c r="N2623" s="489">
        <v>11</v>
      </c>
      <c r="O2623" s="489">
        <v>8</v>
      </c>
      <c r="P2623" s="489">
        <v>6</v>
      </c>
      <c r="Q2623" s="489">
        <v>9</v>
      </c>
      <c r="R2623" s="489"/>
      <c r="S2623" s="491"/>
      <c r="T2623" s="491"/>
      <c r="U2623" s="263"/>
      <c r="V2623" s="493">
        <f>IF(SUM(AF2620:AL2621)=0,"",SUM(AF2621:AL2621))</f>
        <v>1</v>
      </c>
      <c r="W2623" s="267"/>
      <c r="X2623" s="263"/>
      <c r="AZ2623" s="269" t="s">
        <v>39</v>
      </c>
      <c r="BA2623" s="269">
        <v>4</v>
      </c>
    </row>
    <row r="2624" spans="1:53" ht="39.950000000000003" customHeight="1">
      <c r="C2624" s="223"/>
      <c r="D2624" s="223"/>
      <c r="E2624" s="271"/>
      <c r="F2624" s="272"/>
      <c r="G2624" s="509"/>
      <c r="H2624" s="319"/>
      <c r="I2624" s="487" t="str">
        <f>IF(ISERROR(VLOOKUP(B2623,vylosovanie!$N$75:$Q$191,3,0))=TRUE," ",VLOOKUP(B2623,vylosovanie!$N$75:$Q$191,4,0))</f>
        <v>GAŠPARÍKOVÁ Lucia</v>
      </c>
      <c r="J2624" s="488"/>
      <c r="K2624" s="488"/>
      <c r="L2624" s="488"/>
      <c r="M2624" s="263"/>
      <c r="N2624" s="490"/>
      <c r="O2624" s="490"/>
      <c r="P2624" s="490"/>
      <c r="Q2624" s="490"/>
      <c r="R2624" s="490"/>
      <c r="S2624" s="492"/>
      <c r="T2624" s="492"/>
      <c r="U2624" s="263"/>
      <c r="V2624" s="493"/>
      <c r="W2624" s="267"/>
      <c r="X2624" s="263"/>
      <c r="AZ2624" s="269" t="s">
        <v>40</v>
      </c>
      <c r="BA2624" s="269">
        <v>5</v>
      </c>
    </row>
    <row r="2625" spans="1:53" ht="39.950000000000003" customHeight="1">
      <c r="C2625" s="223"/>
      <c r="D2625" s="223"/>
      <c r="E2625" s="264" t="s">
        <v>66</v>
      </c>
      <c r="F2625" s="265" t="s">
        <v>95</v>
      </c>
      <c r="G2625" s="263"/>
      <c r="H2625" s="263"/>
      <c r="I2625" s="263"/>
      <c r="J2625" s="263"/>
      <c r="K2625" s="263"/>
      <c r="L2625" s="263"/>
      <c r="M2625" s="263"/>
      <c r="N2625" s="263"/>
      <c r="O2625" s="263"/>
      <c r="P2625" s="263"/>
      <c r="Q2625" s="263"/>
      <c r="R2625" s="263"/>
      <c r="S2625" s="263"/>
      <c r="T2625" s="263"/>
      <c r="U2625" s="263"/>
      <c r="V2625" s="263"/>
      <c r="W2625" s="267"/>
      <c r="X2625" s="263"/>
      <c r="AZ2625" s="269" t="s">
        <v>41</v>
      </c>
      <c r="BA2625" s="269">
        <v>6</v>
      </c>
    </row>
    <row r="2626" spans="1:53" ht="39.950000000000003" customHeight="1">
      <c r="C2626" s="223"/>
      <c r="D2626" s="223"/>
      <c r="E2626" s="271"/>
      <c r="F2626" s="272"/>
      <c r="G2626" s="263"/>
      <c r="H2626" s="263"/>
      <c r="I2626" s="263" t="s">
        <v>32</v>
      </c>
      <c r="J2626" s="263"/>
      <c r="K2626" s="263"/>
      <c r="L2626" s="263"/>
      <c r="M2626" s="263"/>
      <c r="N2626" s="273"/>
      <c r="O2626" s="266"/>
      <c r="P2626" s="266" t="s">
        <v>34</v>
      </c>
      <c r="Q2626" s="266"/>
      <c r="R2626" s="266"/>
      <c r="S2626" s="266"/>
      <c r="T2626" s="266"/>
      <c r="U2626" s="263"/>
      <c r="V2626" s="263"/>
      <c r="W2626" s="267"/>
      <c r="X2626" s="263"/>
      <c r="AZ2626" s="269" t="s">
        <v>42</v>
      </c>
      <c r="BA2626" s="269">
        <v>7</v>
      </c>
    </row>
    <row r="2627" spans="1:53" ht="39.950000000000003" customHeight="1">
      <c r="E2627" s="264" t="s">
        <v>26</v>
      </c>
      <c r="F2627" s="265" t="s">
        <v>128</v>
      </c>
      <c r="G2627" s="263"/>
      <c r="H2627" s="263"/>
      <c r="I2627" s="486"/>
      <c r="J2627" s="486"/>
      <c r="K2627" s="486"/>
      <c r="L2627" s="486"/>
      <c r="M2627" s="263"/>
      <c r="N2627" s="483" t="str">
        <f>IF(V2620&gt;V2623,I2620,IF(V2623&gt;V2620,I2623,""))</f>
        <v>ŠVAJDLENKOVÁ Laura</v>
      </c>
      <c r="O2627" s="494"/>
      <c r="P2627" s="494"/>
      <c r="Q2627" s="494"/>
      <c r="R2627" s="494"/>
      <c r="S2627" s="495"/>
      <c r="T2627" s="263"/>
      <c r="U2627" s="263"/>
      <c r="V2627" s="263"/>
      <c r="W2627" s="267"/>
      <c r="X2627" s="263"/>
      <c r="AZ2627" s="269" t="s">
        <v>43</v>
      </c>
      <c r="BA2627" s="269">
        <v>8</v>
      </c>
    </row>
    <row r="2628" spans="1:53" ht="39.950000000000003" customHeight="1">
      <c r="E2628" s="271"/>
      <c r="F2628" s="272"/>
      <c r="G2628" s="263"/>
      <c r="H2628" s="263"/>
      <c r="I2628" s="486"/>
      <c r="J2628" s="486"/>
      <c r="K2628" s="486"/>
      <c r="L2628" s="486"/>
      <c r="M2628" s="263"/>
      <c r="N2628" s="483" t="str">
        <f>IF(V2620&gt;V2623,I2621,IF(V2623&gt;V2620,I2624,""))</f>
        <v>HURBANOVÁ Isabella</v>
      </c>
      <c r="O2628" s="494"/>
      <c r="P2628" s="494"/>
      <c r="Q2628" s="494"/>
      <c r="R2628" s="494"/>
      <c r="S2628" s="495"/>
      <c r="T2628" s="263"/>
      <c r="U2628" s="263"/>
      <c r="V2628" s="263"/>
      <c r="W2628" s="267"/>
      <c r="X2628" s="263"/>
    </row>
    <row r="2629" spans="1:53" ht="39.950000000000003" customHeight="1">
      <c r="E2629" s="264" t="s">
        <v>27</v>
      </c>
      <c r="F2629" s="274" t="s">
        <v>349</v>
      </c>
      <c r="G2629" s="263"/>
      <c r="H2629" s="263"/>
      <c r="I2629" s="263"/>
      <c r="J2629" s="263"/>
      <c r="K2629" s="263"/>
      <c r="L2629" s="263"/>
      <c r="M2629" s="263"/>
      <c r="N2629" s="263"/>
      <c r="O2629" s="263"/>
      <c r="P2629" s="263"/>
      <c r="Q2629" s="263"/>
      <c r="R2629" s="263"/>
      <c r="S2629" s="263"/>
      <c r="T2629" s="263"/>
      <c r="U2629" s="263"/>
      <c r="V2629" s="263"/>
      <c r="W2629" s="267"/>
      <c r="X2629" s="263"/>
    </row>
    <row r="2630" spans="1:53" ht="39.950000000000003" customHeight="1">
      <c r="E2630" s="271"/>
      <c r="F2630" s="272"/>
      <c r="G2630" s="263"/>
      <c r="H2630" s="263" t="s">
        <v>33</v>
      </c>
      <c r="I2630" s="263"/>
      <c r="J2630" s="263"/>
      <c r="K2630" s="263"/>
      <c r="L2630" s="263"/>
      <c r="M2630" s="263"/>
      <c r="N2630" s="263"/>
      <c r="O2630" s="263"/>
      <c r="P2630" s="263"/>
      <c r="Q2630" s="263"/>
      <c r="R2630" s="263"/>
      <c r="S2630" s="263"/>
      <c r="T2630" s="263"/>
      <c r="U2630" s="263"/>
      <c r="V2630" s="263"/>
      <c r="W2630" s="267"/>
      <c r="X2630" s="263"/>
    </row>
    <row r="2631" spans="1:53" ht="39.950000000000003" customHeight="1">
      <c r="E2631" s="271"/>
      <c r="F2631" s="272"/>
      <c r="G2631" s="263"/>
      <c r="H2631" s="263"/>
      <c r="I2631" s="263"/>
      <c r="J2631" s="263"/>
      <c r="K2631" s="263"/>
      <c r="L2631" s="263"/>
      <c r="M2631" s="263"/>
      <c r="N2631" s="263"/>
      <c r="O2631" s="263"/>
      <c r="P2631" s="263"/>
      <c r="Q2631" s="263"/>
      <c r="R2631" s="263"/>
      <c r="S2631" s="263"/>
      <c r="T2631" s="263"/>
      <c r="U2631" s="263"/>
      <c r="V2631" s="263"/>
      <c r="W2631" s="267"/>
      <c r="X2631" s="263"/>
    </row>
    <row r="2632" spans="1:53" ht="39.950000000000003" customHeight="1">
      <c r="E2632" s="271"/>
      <c r="F2632" s="272"/>
      <c r="G2632" s="263"/>
      <c r="H2632" s="263"/>
      <c r="I2632" s="496" t="str">
        <f>I2620</f>
        <v>ŠVAJDLENKOVÁ Laura</v>
      </c>
      <c r="J2632" s="496"/>
      <c r="K2632" s="496"/>
      <c r="L2632" s="496"/>
      <c r="M2632" s="263"/>
      <c r="N2632" s="263"/>
      <c r="P2632" s="496" t="str">
        <f>I2623</f>
        <v>MAJERSKÁ Alena</v>
      </c>
      <c r="Q2632" s="496"/>
      <c r="R2632" s="496"/>
      <c r="S2632" s="496"/>
      <c r="T2632" s="497"/>
      <c r="U2632" s="497"/>
      <c r="V2632" s="263"/>
      <c r="W2632" s="267"/>
      <c r="X2632" s="263"/>
    </row>
    <row r="2633" spans="1:53" ht="39.950000000000003" customHeight="1">
      <c r="E2633" s="271"/>
      <c r="F2633" s="272"/>
      <c r="G2633" s="263"/>
      <c r="H2633" s="263"/>
      <c r="I2633" s="496" t="str">
        <f>I2621</f>
        <v>HURBANOVÁ Isabella</v>
      </c>
      <c r="J2633" s="496"/>
      <c r="K2633" s="496"/>
      <c r="L2633" s="496"/>
      <c r="M2633" s="263"/>
      <c r="N2633" s="263"/>
      <c r="O2633" s="263"/>
      <c r="P2633" s="496" t="str">
        <f>I2624</f>
        <v>GAŠPARÍKOVÁ Lucia</v>
      </c>
      <c r="Q2633" s="496"/>
      <c r="R2633" s="496"/>
      <c r="S2633" s="496"/>
      <c r="T2633" s="497"/>
      <c r="U2633" s="497"/>
      <c r="V2633" s="263"/>
      <c r="W2633" s="267"/>
      <c r="X2633" s="263"/>
    </row>
    <row r="2634" spans="1:53" ht="69.95" customHeight="1">
      <c r="E2634" s="264"/>
      <c r="F2634" s="265"/>
      <c r="G2634" s="263"/>
      <c r="H2634" s="275" t="s">
        <v>36</v>
      </c>
      <c r="I2634" s="483"/>
      <c r="J2634" s="484"/>
      <c r="K2634" s="484"/>
      <c r="L2634" s="485"/>
      <c r="M2634" s="263"/>
      <c r="N2634" s="263"/>
      <c r="O2634" s="275" t="s">
        <v>36</v>
      </c>
      <c r="P2634" s="486"/>
      <c r="Q2634" s="486"/>
      <c r="R2634" s="486"/>
      <c r="S2634" s="486"/>
      <c r="T2634" s="486"/>
      <c r="U2634" s="486"/>
      <c r="V2634" s="263"/>
      <c r="W2634" s="267"/>
      <c r="X2634" s="263"/>
    </row>
    <row r="2635" spans="1:53" ht="69.95" customHeight="1">
      <c r="E2635" s="264"/>
      <c r="F2635" s="265"/>
      <c r="G2635" s="263"/>
      <c r="H2635" s="275" t="s">
        <v>37</v>
      </c>
      <c r="I2635" s="486"/>
      <c r="J2635" s="486"/>
      <c r="K2635" s="486"/>
      <c r="L2635" s="486"/>
      <c r="M2635" s="263"/>
      <c r="N2635" s="263"/>
      <c r="O2635" s="275" t="s">
        <v>37</v>
      </c>
      <c r="P2635" s="486"/>
      <c r="Q2635" s="486"/>
      <c r="R2635" s="486"/>
      <c r="S2635" s="486"/>
      <c r="T2635" s="486"/>
      <c r="U2635" s="486"/>
      <c r="V2635" s="263"/>
      <c r="W2635" s="267"/>
      <c r="X2635" s="263"/>
    </row>
    <row r="2636" spans="1:53" ht="69.95" customHeight="1">
      <c r="E2636" s="264"/>
      <c r="F2636" s="265"/>
      <c r="G2636" s="263"/>
      <c r="H2636" s="275" t="s">
        <v>37</v>
      </c>
      <c r="I2636" s="486"/>
      <c r="J2636" s="486"/>
      <c r="K2636" s="486"/>
      <c r="L2636" s="486"/>
      <c r="M2636" s="263"/>
      <c r="N2636" s="263"/>
      <c r="O2636" s="275" t="s">
        <v>37</v>
      </c>
      <c r="P2636" s="486"/>
      <c r="Q2636" s="486"/>
      <c r="R2636" s="486"/>
      <c r="S2636" s="486"/>
      <c r="T2636" s="486"/>
      <c r="U2636" s="486"/>
      <c r="V2636" s="263"/>
      <c r="W2636" s="267"/>
      <c r="X2636" s="263"/>
    </row>
    <row r="2637" spans="1:53" ht="39.950000000000003" customHeight="1" thickBot="1">
      <c r="E2637" s="276"/>
      <c r="F2637" s="277"/>
      <c r="G2637" s="278"/>
      <c r="H2637" s="278"/>
      <c r="I2637" s="278"/>
      <c r="J2637" s="278"/>
      <c r="K2637" s="278"/>
      <c r="L2637" s="278"/>
      <c r="M2637" s="278"/>
      <c r="N2637" s="278"/>
      <c r="O2637" s="278"/>
      <c r="P2637" s="278"/>
      <c r="Q2637" s="278"/>
      <c r="R2637" s="278"/>
      <c r="S2637" s="278"/>
      <c r="T2637" s="279"/>
      <c r="U2637" s="279"/>
      <c r="V2637" s="279"/>
      <c r="W2637" s="280"/>
      <c r="X2637" s="263"/>
    </row>
    <row r="2638" spans="1:53" ht="62.25" thickBot="1"/>
    <row r="2639" spans="1:53" ht="39.950000000000003" customHeight="1">
      <c r="A2639" s="252" t="str">
        <f>CONCATENATE(F2646,F2648,F2650)</f>
        <v>D4P11</v>
      </c>
      <c r="C2639" s="223"/>
      <c r="D2639" s="223"/>
      <c r="E2639" s="259" t="s">
        <v>70</v>
      </c>
      <c r="F2639" s="260">
        <f>VLOOKUP(CONCATENATE(A2639,1),'zoznam zapasov'!$A$6:$K$160,3,0)</f>
        <v>131</v>
      </c>
      <c r="G2639" s="261"/>
      <c r="H2639" s="322" t="s">
        <v>501</v>
      </c>
      <c r="I2639" s="261"/>
      <c r="J2639" s="261"/>
      <c r="K2639" s="261"/>
      <c r="L2639" s="261"/>
      <c r="M2639" s="261"/>
      <c r="N2639" s="261"/>
      <c r="O2639" s="261"/>
      <c r="P2639" s="261"/>
      <c r="Q2639" s="261"/>
      <c r="R2639" s="261"/>
      <c r="S2639" s="261"/>
      <c r="T2639" s="261"/>
      <c r="U2639" s="261"/>
      <c r="V2639" s="261" t="s">
        <v>30</v>
      </c>
      <c r="W2639" s="262"/>
      <c r="X2639" s="263"/>
      <c r="Y2639" s="253" t="str">
        <f>A2641</f>
        <v>D4P111</v>
      </c>
      <c r="Z2639" s="258" t="str">
        <f>CONCATENATE(V2641,":",V2644)</f>
        <v>3:0</v>
      </c>
      <c r="AA2639" s="255" t="str">
        <f>IF(V2641&gt;V2644,B2641,IF(V2644&gt;V2641,B2644,""))</f>
        <v>DZELINSKA / TEREZKOVÁ</v>
      </c>
      <c r="AB2639" s="255" t="str">
        <f>IF(V2641&gt;V2644,AV2639,IF(V2644&gt;V2641,AV2640,""))</f>
        <v xml:space="preserve">3:0 ( 6,9,4,,,, ) </v>
      </c>
      <c r="AC2639" s="255" t="str">
        <f>CONCATENATE("Tbl.: ",F2641,"   H: ",F2644,"   D: ",F2643)</f>
        <v>Tbl.: 7   H: 17.00   D: So</v>
      </c>
      <c r="AE2639" s="253" t="s">
        <v>11</v>
      </c>
      <c r="AV2639" s="256" t="str">
        <f>CONCATENATE(V2641,":",V2644, " ( ",AN2641,",",AO2641,",",AP2641,",",AQ2641,",",AR2641,",",AS2641,",",AT2641," ) ")</f>
        <v xml:space="preserve">3:0 ( 6,9,4,,,, ) </v>
      </c>
    </row>
    <row r="2640" spans="1:53" ht="39.950000000000003" customHeight="1">
      <c r="C2640" s="223"/>
      <c r="D2640" s="223"/>
      <c r="E2640" s="264"/>
      <c r="F2640" s="265"/>
      <c r="G2640" s="321" t="s">
        <v>500</v>
      </c>
      <c r="H2640" s="323" t="s">
        <v>502</v>
      </c>
      <c r="I2640" s="263"/>
      <c r="J2640" s="263"/>
      <c r="K2640" s="263"/>
      <c r="L2640" s="263"/>
      <c r="M2640" s="263"/>
      <c r="N2640" s="266">
        <v>1</v>
      </c>
      <c r="O2640" s="266">
        <v>2</v>
      </c>
      <c r="P2640" s="266">
        <v>3</v>
      </c>
      <c r="Q2640" s="266">
        <v>4</v>
      </c>
      <c r="R2640" s="266">
        <v>5</v>
      </c>
      <c r="S2640" s="266">
        <v>6</v>
      </c>
      <c r="T2640" s="266">
        <v>7</v>
      </c>
      <c r="U2640" s="263"/>
      <c r="V2640" s="266" t="s">
        <v>31</v>
      </c>
      <c r="W2640" s="267"/>
      <c r="X2640" s="263"/>
      <c r="AE2640" s="253" t="s">
        <v>68</v>
      </c>
      <c r="AV2640" s="256" t="str">
        <f>CONCATENATE(V2644,":",V2641, " ( ",AN2642,",",AO2642,",",AP2642,",",AQ2642,",",AR2642,",",AS2642,",",AT2642," ) ")</f>
        <v xml:space="preserve">0:3 ( -6,-9,-4,,,, ) </v>
      </c>
    </row>
    <row r="2641" spans="1:53" ht="39.950000000000003" customHeight="1">
      <c r="A2641" s="252" t="str">
        <f>CONCATENATE(A2639,1)</f>
        <v>D4P111</v>
      </c>
      <c r="B2641" s="252" t="str">
        <f>VLOOKUP(A2641,'KO KODY SPOLU'!$A$3:$B$189,2,0)</f>
        <v>DZELINSKA / TEREZKOVÁ</v>
      </c>
      <c r="C2641" s="223"/>
      <c r="D2641" s="223"/>
      <c r="E2641" s="264" t="s">
        <v>29</v>
      </c>
      <c r="F2641" s="265">
        <f>VLOOKUP(CONCATENATE(A2639,1),'zoznam zapasov'!$A$6:$K$160,11,0)</f>
        <v>7</v>
      </c>
      <c r="G2641" s="508"/>
      <c r="H2641" s="319"/>
      <c r="I2641" s="487" t="str">
        <f>IF(ISERROR(VLOOKUP(B2641,vylosovanie!$N$75:$Q$191,3,0))=TRUE," ",VLOOKUP(B2641,vylosovanie!$N$75:$Q$191,3,0))</f>
        <v>DZELINSKA Júlia</v>
      </c>
      <c r="J2641" s="488"/>
      <c r="K2641" s="488"/>
      <c r="L2641" s="488"/>
      <c r="M2641" s="263"/>
      <c r="N2641" s="489">
        <v>11</v>
      </c>
      <c r="O2641" s="489">
        <v>11</v>
      </c>
      <c r="P2641" s="489">
        <v>11</v>
      </c>
      <c r="Q2641" s="489"/>
      <c r="R2641" s="489"/>
      <c r="S2641" s="491"/>
      <c r="T2641" s="491"/>
      <c r="U2641" s="263"/>
      <c r="V2641" s="493">
        <f>IF(SUM(AF2641:AL2642)=0,"",SUM(AF2641:AL2641))</f>
        <v>3</v>
      </c>
      <c r="W2641" s="267"/>
      <c r="X2641" s="263"/>
      <c r="AE2641" s="253" t="str">
        <f>VLOOKUP(I2641,vylosovanie!$F$8:$L$190,7,0)</f>
        <v>D41</v>
      </c>
      <c r="AF2641" s="268">
        <f>IF(N2641&gt;N2644,1,0)</f>
        <v>1</v>
      </c>
      <c r="AG2641" s="268">
        <f t="shared" ref="AG2641" si="2506">IF(O2641&gt;O2644,1,0)</f>
        <v>1</v>
      </c>
      <c r="AH2641" s="268">
        <f t="shared" ref="AH2641" si="2507">IF(P2641&gt;P2644,1,0)</f>
        <v>1</v>
      </c>
      <c r="AI2641" s="268">
        <f t="shared" ref="AI2641" si="2508">IF(Q2641&gt;Q2644,1,0)</f>
        <v>0</v>
      </c>
      <c r="AJ2641" s="268">
        <f t="shared" ref="AJ2641" si="2509">IF(R2641&gt;R2644,1,0)</f>
        <v>0</v>
      </c>
      <c r="AK2641" s="268">
        <f t="shared" ref="AK2641" si="2510">IF(S2641&gt;S2644,1,0)</f>
        <v>0</v>
      </c>
      <c r="AL2641" s="268">
        <f t="shared" ref="AL2641" si="2511">IF(T2641&gt;T2644,1,0)</f>
        <v>0</v>
      </c>
      <c r="AN2641" s="268">
        <f t="shared" ref="AN2641" si="2512">IF(ISBLANK(N2641)=TRUE,"",IF(AF2641=1,N2644,-N2641))</f>
        <v>6</v>
      </c>
      <c r="AO2641" s="268">
        <f t="shared" ref="AO2641" si="2513">IF(ISBLANK(O2641)=TRUE,"",IF(AG2641=1,O2644,-O2641))</f>
        <v>9</v>
      </c>
      <c r="AP2641" s="268">
        <f t="shared" ref="AP2641" si="2514">IF(ISBLANK(P2641)=TRUE,"",IF(AH2641=1,P2644,-P2641))</f>
        <v>4</v>
      </c>
      <c r="AQ2641" s="268" t="str">
        <f t="shared" ref="AQ2641" si="2515">IF(ISBLANK(Q2641)=TRUE,"",IF(AI2641=1,Q2644,-Q2641))</f>
        <v/>
      </c>
      <c r="AR2641" s="268" t="str">
        <f t="shared" ref="AR2641" si="2516">IF(ISBLANK(R2641)=TRUE,"",IF(AJ2641=1,R2644,-R2641))</f>
        <v/>
      </c>
      <c r="AS2641" s="268" t="str">
        <f t="shared" ref="AS2641" si="2517">IF(ISBLANK(S2641)=TRUE,"",IF(AK2641=1,S2644,-S2641))</f>
        <v/>
      </c>
      <c r="AT2641" s="268" t="str">
        <f t="shared" ref="AT2641" si="2518">IF(ISBLANK(T2641)=TRUE,"",IF(AL2641=1,T2644,-T2641))</f>
        <v/>
      </c>
      <c r="AZ2641" s="269" t="s">
        <v>12</v>
      </c>
      <c r="BA2641" s="269">
        <v>1</v>
      </c>
    </row>
    <row r="2642" spans="1:53" ht="39.950000000000003" customHeight="1">
      <c r="C2642" s="223"/>
      <c r="D2642" s="223"/>
      <c r="E2642" s="264"/>
      <c r="F2642" s="265"/>
      <c r="G2642" s="509"/>
      <c r="H2642" s="319"/>
      <c r="I2642" s="487" t="str">
        <f>IF(ISERROR(VLOOKUP(B2641,vylosovanie!$N$75:$Q$191,3,0))=TRUE," ",VLOOKUP(B2641,vylosovanie!$N$75:$Q$191,4,0))</f>
        <v>TEREZKOVÁ Jana</v>
      </c>
      <c r="J2642" s="488"/>
      <c r="K2642" s="488"/>
      <c r="L2642" s="488"/>
      <c r="M2642" s="263"/>
      <c r="N2642" s="490"/>
      <c r="O2642" s="490"/>
      <c r="P2642" s="490"/>
      <c r="Q2642" s="490"/>
      <c r="R2642" s="490"/>
      <c r="S2642" s="492"/>
      <c r="T2642" s="492"/>
      <c r="U2642" s="263"/>
      <c r="V2642" s="493"/>
      <c r="W2642" s="267"/>
      <c r="X2642" s="263"/>
      <c r="AE2642" s="253" t="str">
        <f>VLOOKUP(I2644,vylosovanie!$F$8:$L$190,7,0)</f>
        <v>D72</v>
      </c>
      <c r="AF2642" s="268">
        <f>IF(N2644&gt;N2641,1,0)</f>
        <v>0</v>
      </c>
      <c r="AG2642" s="268">
        <f t="shared" ref="AG2642" si="2519">IF(O2644&gt;O2641,1,0)</f>
        <v>0</v>
      </c>
      <c r="AH2642" s="268">
        <f t="shared" ref="AH2642" si="2520">IF(P2644&gt;P2641,1,0)</f>
        <v>0</v>
      </c>
      <c r="AI2642" s="268">
        <f t="shared" ref="AI2642" si="2521">IF(Q2644&gt;Q2641,1,0)</f>
        <v>0</v>
      </c>
      <c r="AJ2642" s="268">
        <f t="shared" ref="AJ2642" si="2522">IF(R2644&gt;R2641,1,0)</f>
        <v>0</v>
      </c>
      <c r="AK2642" s="268">
        <f t="shared" ref="AK2642" si="2523">IF(S2644&gt;S2641,1,0)</f>
        <v>0</v>
      </c>
      <c r="AL2642" s="268">
        <f t="shared" ref="AL2642" si="2524">IF(T2644&gt;T2641,1,0)</f>
        <v>0</v>
      </c>
      <c r="AN2642" s="268">
        <f t="shared" ref="AN2642" si="2525">IF(ISBLANK(N2644)=TRUE,"",IF(AF2642=1,N2641,-N2644))</f>
        <v>-6</v>
      </c>
      <c r="AO2642" s="268">
        <f t="shared" ref="AO2642" si="2526">IF(ISBLANK(O2644)=TRUE,"",IF(AG2642=1,O2641,-O2644))</f>
        <v>-9</v>
      </c>
      <c r="AP2642" s="268">
        <f t="shared" ref="AP2642" si="2527">IF(ISBLANK(P2644)=TRUE,"",IF(AH2642=1,P2641,-P2644))</f>
        <v>-4</v>
      </c>
      <c r="AQ2642" s="268" t="str">
        <f t="shared" ref="AQ2642" si="2528">IF(ISBLANK(Q2644)=TRUE,"",IF(AI2642=1,Q2641,-Q2644))</f>
        <v/>
      </c>
      <c r="AR2642" s="268" t="str">
        <f t="shared" ref="AR2642" si="2529">IF(ISBLANK(R2644)=TRUE,"",IF(AJ2642=1,R2641,-R2644))</f>
        <v/>
      </c>
      <c r="AS2642" s="268" t="str">
        <f t="shared" ref="AS2642" si="2530">IF(ISBLANK(S2644)=TRUE,"",IF(AK2642=1,S2641,-S2644))</f>
        <v/>
      </c>
      <c r="AT2642" s="268" t="str">
        <f t="shared" ref="AT2642" si="2531">IF(ISBLANK(T2644)=TRUE,"",IF(AL2642=1,T2641,-T2644))</f>
        <v/>
      </c>
      <c r="AZ2642" s="269" t="s">
        <v>18</v>
      </c>
      <c r="BA2642" s="269">
        <v>2</v>
      </c>
    </row>
    <row r="2643" spans="1:53" ht="39.950000000000003" customHeight="1">
      <c r="C2643" s="223"/>
      <c r="D2643" s="223"/>
      <c r="E2643" s="264" t="s">
        <v>35</v>
      </c>
      <c r="F2643" s="265" t="str">
        <f>VLOOKUP(CONCATENATE(A2639,1),'zoznam zapasov'!$A$6:$K$160,9,0)</f>
        <v>So</v>
      </c>
      <c r="G2643" s="263"/>
      <c r="H2643" s="263"/>
      <c r="I2643" s="263"/>
      <c r="J2643" s="263"/>
      <c r="K2643" s="263"/>
      <c r="L2643" s="263"/>
      <c r="M2643" s="263"/>
      <c r="N2643" s="263"/>
      <c r="O2643" s="263"/>
      <c r="P2643" s="263"/>
      <c r="Q2643" s="263"/>
      <c r="R2643" s="263"/>
      <c r="S2643" s="263"/>
      <c r="T2643" s="263"/>
      <c r="U2643" s="263"/>
      <c r="V2643" s="263"/>
      <c r="W2643" s="267"/>
      <c r="X2643" s="263"/>
      <c r="AZ2643" s="269" t="s">
        <v>38</v>
      </c>
      <c r="BA2643" s="269">
        <v>3</v>
      </c>
    </row>
    <row r="2644" spans="1:53" ht="39.950000000000003" customHeight="1">
      <c r="A2644" s="252" t="str">
        <f>CONCATENATE(A2639,2)</f>
        <v>D4P112</v>
      </c>
      <c r="B2644" s="252" t="str">
        <f>VLOOKUP(A2644,'KO KODY SPOLU'!$A$3:$B$189,2,0)</f>
        <v>VIŠŇOVSKÁ / LEDAJOVÁ</v>
      </c>
      <c r="C2644" s="223"/>
      <c r="D2644" s="223"/>
      <c r="E2644" s="264" t="s">
        <v>28</v>
      </c>
      <c r="F2644" s="270" t="str">
        <f>VLOOKUP(CONCATENATE(A2639,1),'zoznam zapasov'!$A$6:$K$160,10,0)</f>
        <v>17.00</v>
      </c>
      <c r="G2644" s="508"/>
      <c r="H2644" s="319"/>
      <c r="I2644" s="487" t="str">
        <f>IF(ISERROR(VLOOKUP(B2644,vylosovanie!$N$75:$Q$191,3,0))=TRUE," ",VLOOKUP(B2644,vylosovanie!$N$75:$Q$191,3,0))</f>
        <v>VIŠŇOVSKÁ Nina</v>
      </c>
      <c r="J2644" s="488"/>
      <c r="K2644" s="488"/>
      <c r="L2644" s="488"/>
      <c r="M2644" s="263"/>
      <c r="N2644" s="489">
        <v>6</v>
      </c>
      <c r="O2644" s="489">
        <v>9</v>
      </c>
      <c r="P2644" s="489">
        <v>4</v>
      </c>
      <c r="Q2644" s="489"/>
      <c r="R2644" s="489"/>
      <c r="S2644" s="491"/>
      <c r="T2644" s="491"/>
      <c r="U2644" s="263"/>
      <c r="V2644" s="493">
        <f>IF(SUM(AF2641:AL2642)=0,"",SUM(AF2642:AL2642))</f>
        <v>0</v>
      </c>
      <c r="W2644" s="267"/>
      <c r="X2644" s="263"/>
      <c r="AZ2644" s="269" t="s">
        <v>39</v>
      </c>
      <c r="BA2644" s="269">
        <v>4</v>
      </c>
    </row>
    <row r="2645" spans="1:53" ht="39.950000000000003" customHeight="1">
      <c r="C2645" s="223"/>
      <c r="D2645" s="223"/>
      <c r="E2645" s="271"/>
      <c r="F2645" s="272"/>
      <c r="G2645" s="509"/>
      <c r="H2645" s="319"/>
      <c r="I2645" s="487" t="str">
        <f>IF(ISERROR(VLOOKUP(B2644,vylosovanie!$N$75:$Q$191,3,0))=TRUE," ",VLOOKUP(B2644,vylosovanie!$N$75:$Q$191,4,0))</f>
        <v>LEDAJOVÁ Martina</v>
      </c>
      <c r="J2645" s="488"/>
      <c r="K2645" s="488"/>
      <c r="L2645" s="488"/>
      <c r="M2645" s="263"/>
      <c r="N2645" s="490"/>
      <c r="O2645" s="490"/>
      <c r="P2645" s="490"/>
      <c r="Q2645" s="490"/>
      <c r="R2645" s="490"/>
      <c r="S2645" s="492"/>
      <c r="T2645" s="492"/>
      <c r="U2645" s="263"/>
      <c r="V2645" s="493"/>
      <c r="W2645" s="267"/>
      <c r="X2645" s="263"/>
      <c r="AZ2645" s="269" t="s">
        <v>40</v>
      </c>
      <c r="BA2645" s="269">
        <v>5</v>
      </c>
    </row>
    <row r="2646" spans="1:53" ht="39.950000000000003" customHeight="1">
      <c r="C2646" s="223"/>
      <c r="D2646" s="223"/>
      <c r="E2646" s="264" t="s">
        <v>66</v>
      </c>
      <c r="F2646" s="265" t="s">
        <v>95</v>
      </c>
      <c r="G2646" s="263"/>
      <c r="H2646" s="263"/>
      <c r="I2646" s="263"/>
      <c r="J2646" s="263"/>
      <c r="K2646" s="263"/>
      <c r="L2646" s="263"/>
      <c r="M2646" s="263"/>
      <c r="N2646" s="263"/>
      <c r="O2646" s="263"/>
      <c r="P2646" s="263"/>
      <c r="Q2646" s="263"/>
      <c r="R2646" s="263"/>
      <c r="S2646" s="263"/>
      <c r="T2646" s="263"/>
      <c r="U2646" s="263"/>
      <c r="V2646" s="263"/>
      <c r="W2646" s="267"/>
      <c r="X2646" s="263"/>
      <c r="AZ2646" s="269" t="s">
        <v>41</v>
      </c>
      <c r="BA2646" s="269">
        <v>6</v>
      </c>
    </row>
    <row r="2647" spans="1:53" ht="39.950000000000003" customHeight="1">
      <c r="C2647" s="223"/>
      <c r="D2647" s="223"/>
      <c r="E2647" s="271"/>
      <c r="F2647" s="272"/>
      <c r="G2647" s="263"/>
      <c r="H2647" s="263"/>
      <c r="I2647" s="263" t="s">
        <v>32</v>
      </c>
      <c r="J2647" s="263"/>
      <c r="K2647" s="263"/>
      <c r="L2647" s="263"/>
      <c r="M2647" s="263"/>
      <c r="N2647" s="273"/>
      <c r="O2647" s="266"/>
      <c r="P2647" s="266" t="s">
        <v>34</v>
      </c>
      <c r="Q2647" s="266"/>
      <c r="R2647" s="266"/>
      <c r="S2647" s="266"/>
      <c r="T2647" s="266"/>
      <c r="U2647" s="263"/>
      <c r="V2647" s="263"/>
      <c r="W2647" s="267"/>
      <c r="X2647" s="263"/>
      <c r="AZ2647" s="269" t="s">
        <v>42</v>
      </c>
      <c r="BA2647" s="269">
        <v>7</v>
      </c>
    </row>
    <row r="2648" spans="1:53" ht="39.950000000000003" customHeight="1">
      <c r="E2648" s="264" t="s">
        <v>26</v>
      </c>
      <c r="F2648" s="265" t="s">
        <v>128</v>
      </c>
      <c r="G2648" s="263"/>
      <c r="H2648" s="263"/>
      <c r="I2648" s="486"/>
      <c r="J2648" s="486"/>
      <c r="K2648" s="486"/>
      <c r="L2648" s="486"/>
      <c r="M2648" s="263"/>
      <c r="N2648" s="483" t="str">
        <f>IF(V2641&gt;V2644,I2641,IF(V2644&gt;V2641,I2644,""))</f>
        <v>DZELINSKA Júlia</v>
      </c>
      <c r="O2648" s="494"/>
      <c r="P2648" s="494"/>
      <c r="Q2648" s="494"/>
      <c r="R2648" s="494"/>
      <c r="S2648" s="495"/>
      <c r="T2648" s="263"/>
      <c r="U2648" s="263"/>
      <c r="V2648" s="263"/>
      <c r="W2648" s="267"/>
      <c r="X2648" s="263"/>
      <c r="AZ2648" s="269" t="s">
        <v>43</v>
      </c>
      <c r="BA2648" s="269">
        <v>8</v>
      </c>
    </row>
    <row r="2649" spans="1:53" ht="39.950000000000003" customHeight="1">
      <c r="E2649" s="271"/>
      <c r="F2649" s="272"/>
      <c r="G2649" s="263"/>
      <c r="H2649" s="263"/>
      <c r="I2649" s="486"/>
      <c r="J2649" s="486"/>
      <c r="K2649" s="486"/>
      <c r="L2649" s="486"/>
      <c r="M2649" s="263"/>
      <c r="N2649" s="483" t="str">
        <f>IF(V2641&gt;V2644,I2642,IF(V2644&gt;V2641,I2645,""))</f>
        <v>TEREZKOVÁ Jana</v>
      </c>
      <c r="O2649" s="494"/>
      <c r="P2649" s="494"/>
      <c r="Q2649" s="494"/>
      <c r="R2649" s="494"/>
      <c r="S2649" s="495"/>
      <c r="T2649" s="263"/>
      <c r="U2649" s="263"/>
      <c r="V2649" s="263"/>
      <c r="W2649" s="267"/>
      <c r="X2649" s="263"/>
    </row>
    <row r="2650" spans="1:53" ht="39.950000000000003" customHeight="1">
      <c r="E2650" s="264" t="s">
        <v>27</v>
      </c>
      <c r="F2650" s="274" t="s">
        <v>350</v>
      </c>
      <c r="G2650" s="263"/>
      <c r="H2650" s="263"/>
      <c r="I2650" s="263"/>
      <c r="J2650" s="263"/>
      <c r="K2650" s="263"/>
      <c r="L2650" s="263"/>
      <c r="M2650" s="263"/>
      <c r="N2650" s="263"/>
      <c r="O2650" s="263"/>
      <c r="P2650" s="263"/>
      <c r="Q2650" s="263"/>
      <c r="R2650" s="263"/>
      <c r="S2650" s="263"/>
      <c r="T2650" s="263"/>
      <c r="U2650" s="263"/>
      <c r="V2650" s="263"/>
      <c r="W2650" s="267"/>
      <c r="X2650" s="263"/>
    </row>
    <row r="2651" spans="1:53" ht="39.950000000000003" customHeight="1">
      <c r="E2651" s="271"/>
      <c r="F2651" s="272"/>
      <c r="G2651" s="263"/>
      <c r="H2651" s="263" t="s">
        <v>33</v>
      </c>
      <c r="I2651" s="263"/>
      <c r="J2651" s="263"/>
      <c r="K2651" s="263"/>
      <c r="L2651" s="263"/>
      <c r="M2651" s="263"/>
      <c r="N2651" s="263"/>
      <c r="O2651" s="263"/>
      <c r="P2651" s="263"/>
      <c r="Q2651" s="263"/>
      <c r="R2651" s="263"/>
      <c r="S2651" s="263"/>
      <c r="T2651" s="263"/>
      <c r="U2651" s="263"/>
      <c r="V2651" s="263"/>
      <c r="W2651" s="267"/>
      <c r="X2651" s="263"/>
    </row>
    <row r="2652" spans="1:53" ht="39.950000000000003" customHeight="1">
      <c r="E2652" s="271"/>
      <c r="F2652" s="272"/>
      <c r="G2652" s="263"/>
      <c r="H2652" s="263"/>
      <c r="I2652" s="263"/>
      <c r="J2652" s="263"/>
      <c r="K2652" s="263"/>
      <c r="L2652" s="263"/>
      <c r="M2652" s="263"/>
      <c r="N2652" s="263"/>
      <c r="O2652" s="263"/>
      <c r="P2652" s="263"/>
      <c r="Q2652" s="263"/>
      <c r="R2652" s="263"/>
      <c r="S2652" s="263"/>
      <c r="T2652" s="263"/>
      <c r="U2652" s="263"/>
      <c r="V2652" s="263"/>
      <c r="W2652" s="267"/>
      <c r="X2652" s="263"/>
    </row>
    <row r="2653" spans="1:53" ht="39.950000000000003" customHeight="1">
      <c r="E2653" s="271"/>
      <c r="F2653" s="272"/>
      <c r="G2653" s="263"/>
      <c r="H2653" s="263"/>
      <c r="I2653" s="496" t="str">
        <f>I2641</f>
        <v>DZELINSKA Júlia</v>
      </c>
      <c r="J2653" s="496"/>
      <c r="K2653" s="496"/>
      <c r="L2653" s="496"/>
      <c r="M2653" s="263"/>
      <c r="N2653" s="263"/>
      <c r="P2653" s="496" t="str">
        <f>I2644</f>
        <v>VIŠŇOVSKÁ Nina</v>
      </c>
      <c r="Q2653" s="496"/>
      <c r="R2653" s="496"/>
      <c r="S2653" s="496"/>
      <c r="T2653" s="497"/>
      <c r="U2653" s="497"/>
      <c r="V2653" s="263"/>
      <c r="W2653" s="267"/>
      <c r="X2653" s="263"/>
    </row>
    <row r="2654" spans="1:53" ht="39.950000000000003" customHeight="1">
      <c r="E2654" s="271"/>
      <c r="F2654" s="272"/>
      <c r="G2654" s="263"/>
      <c r="H2654" s="263"/>
      <c r="I2654" s="496" t="str">
        <f>I2642</f>
        <v>TEREZKOVÁ Jana</v>
      </c>
      <c r="J2654" s="496"/>
      <c r="K2654" s="496"/>
      <c r="L2654" s="496"/>
      <c r="M2654" s="263"/>
      <c r="N2654" s="263"/>
      <c r="O2654" s="263"/>
      <c r="P2654" s="496" t="str">
        <f>I2645</f>
        <v>LEDAJOVÁ Martina</v>
      </c>
      <c r="Q2654" s="496"/>
      <c r="R2654" s="496"/>
      <c r="S2654" s="496"/>
      <c r="T2654" s="497"/>
      <c r="U2654" s="497"/>
      <c r="V2654" s="263"/>
      <c r="W2654" s="267"/>
      <c r="X2654" s="263"/>
    </row>
    <row r="2655" spans="1:53" ht="69.95" customHeight="1">
      <c r="E2655" s="264"/>
      <c r="F2655" s="265"/>
      <c r="G2655" s="263"/>
      <c r="H2655" s="275" t="s">
        <v>36</v>
      </c>
      <c r="I2655" s="483"/>
      <c r="J2655" s="484"/>
      <c r="K2655" s="484"/>
      <c r="L2655" s="485"/>
      <c r="M2655" s="263"/>
      <c r="N2655" s="263"/>
      <c r="O2655" s="275" t="s">
        <v>36</v>
      </c>
      <c r="P2655" s="486"/>
      <c r="Q2655" s="486"/>
      <c r="R2655" s="486"/>
      <c r="S2655" s="486"/>
      <c r="T2655" s="486"/>
      <c r="U2655" s="486"/>
      <c r="V2655" s="263"/>
      <c r="W2655" s="267"/>
      <c r="X2655" s="263"/>
    </row>
    <row r="2656" spans="1:53" ht="69.95" customHeight="1">
      <c r="E2656" s="264"/>
      <c r="F2656" s="265"/>
      <c r="G2656" s="263"/>
      <c r="H2656" s="275" t="s">
        <v>37</v>
      </c>
      <c r="I2656" s="486"/>
      <c r="J2656" s="486"/>
      <c r="K2656" s="486"/>
      <c r="L2656" s="486"/>
      <c r="M2656" s="263"/>
      <c r="N2656" s="263"/>
      <c r="O2656" s="275" t="s">
        <v>37</v>
      </c>
      <c r="P2656" s="486"/>
      <c r="Q2656" s="486"/>
      <c r="R2656" s="486"/>
      <c r="S2656" s="486"/>
      <c r="T2656" s="486"/>
      <c r="U2656" s="486"/>
      <c r="V2656" s="263"/>
      <c r="W2656" s="267"/>
      <c r="X2656" s="263"/>
    </row>
    <row r="2657" spans="1:53" ht="69.95" customHeight="1">
      <c r="E2657" s="264"/>
      <c r="F2657" s="265"/>
      <c r="G2657" s="263"/>
      <c r="H2657" s="275" t="s">
        <v>37</v>
      </c>
      <c r="I2657" s="486"/>
      <c r="J2657" s="486"/>
      <c r="K2657" s="486"/>
      <c r="L2657" s="486"/>
      <c r="M2657" s="263"/>
      <c r="N2657" s="263"/>
      <c r="O2657" s="275" t="s">
        <v>37</v>
      </c>
      <c r="P2657" s="486"/>
      <c r="Q2657" s="486"/>
      <c r="R2657" s="486"/>
      <c r="S2657" s="486"/>
      <c r="T2657" s="486"/>
      <c r="U2657" s="486"/>
      <c r="V2657" s="263"/>
      <c r="W2657" s="267"/>
      <c r="X2657" s="263"/>
    </row>
    <row r="2658" spans="1:53" ht="39.950000000000003" customHeight="1" thickBot="1">
      <c r="E2658" s="276"/>
      <c r="F2658" s="277"/>
      <c r="G2658" s="278"/>
      <c r="H2658" s="278"/>
      <c r="I2658" s="278"/>
      <c r="J2658" s="278"/>
      <c r="K2658" s="278"/>
      <c r="L2658" s="278"/>
      <c r="M2658" s="278"/>
      <c r="N2658" s="278"/>
      <c r="O2658" s="278"/>
      <c r="P2658" s="278"/>
      <c r="Q2658" s="278"/>
      <c r="R2658" s="278"/>
      <c r="S2658" s="278"/>
      <c r="T2658" s="279"/>
      <c r="U2658" s="279"/>
      <c r="V2658" s="279"/>
      <c r="W2658" s="280"/>
      <c r="X2658" s="263"/>
    </row>
    <row r="2659" spans="1:53" ht="62.25" thickBot="1"/>
    <row r="2660" spans="1:53" ht="39.950000000000003" customHeight="1">
      <c r="A2660" s="252" t="str">
        <f>CONCATENATE(F2667,F2669,F2671)</f>
        <v>D4P12</v>
      </c>
      <c r="C2660" s="223"/>
      <c r="D2660" s="223"/>
      <c r="E2660" s="259" t="s">
        <v>70</v>
      </c>
      <c r="F2660" s="260">
        <f>VLOOKUP(CONCATENATE(A2660,1),'zoznam zapasov'!$A$6:$K$160,3,0)</f>
        <v>132</v>
      </c>
      <c r="G2660" s="261"/>
      <c r="H2660" s="322" t="s">
        <v>501</v>
      </c>
      <c r="I2660" s="261"/>
      <c r="J2660" s="261"/>
      <c r="K2660" s="261"/>
      <c r="L2660" s="261"/>
      <c r="M2660" s="261"/>
      <c r="N2660" s="261"/>
      <c r="O2660" s="261"/>
      <c r="P2660" s="261"/>
      <c r="Q2660" s="261"/>
      <c r="R2660" s="261"/>
      <c r="S2660" s="261"/>
      <c r="T2660" s="261"/>
      <c r="U2660" s="261"/>
      <c r="V2660" s="261" t="s">
        <v>30</v>
      </c>
      <c r="W2660" s="262"/>
      <c r="X2660" s="263"/>
      <c r="Y2660" s="253" t="str">
        <f>A2662</f>
        <v>D4P121</v>
      </c>
      <c r="Z2660" s="258" t="str">
        <f>CONCATENATE(V2662,":",V2665)</f>
        <v>0:3</v>
      </c>
      <c r="AA2660" s="255" t="str">
        <f>IF(V2662&gt;V2665,B2662,IF(V2665&gt;V2662,B2665,""))</f>
        <v>PEKOVÁ / DIVINSKÁ</v>
      </c>
      <c r="AB2660" s="255" t="str">
        <f>IF(V2662&gt;V2665,AV2660,IF(V2665&gt;V2662,AV2661,""))</f>
        <v xml:space="preserve">3:0 ( 9,5,5,,,, ) </v>
      </c>
      <c r="AC2660" s="255" t="str">
        <f>CONCATENATE("Tbl.: ",F2662,"   H: ",F2665,"   D: ",F2664)</f>
        <v>Tbl.: 8   H: 17.00   D: So</v>
      </c>
      <c r="AE2660" s="253" t="s">
        <v>11</v>
      </c>
      <c r="AV2660" s="256" t="str">
        <f>CONCATENATE(V2662,":",V2665, " ( ",AN2662,",",AO2662,",",AP2662,",",AQ2662,",",AR2662,",",AS2662,",",AT2662," ) ")</f>
        <v xml:space="preserve">0:3 ( -9,-5,-5,,,, ) </v>
      </c>
    </row>
    <row r="2661" spans="1:53" ht="39.950000000000003" customHeight="1">
      <c r="C2661" s="223"/>
      <c r="D2661" s="223"/>
      <c r="E2661" s="264"/>
      <c r="F2661" s="265"/>
      <c r="G2661" s="321" t="s">
        <v>500</v>
      </c>
      <c r="H2661" s="323" t="s">
        <v>502</v>
      </c>
      <c r="I2661" s="263"/>
      <c r="J2661" s="263"/>
      <c r="K2661" s="263"/>
      <c r="L2661" s="263"/>
      <c r="M2661" s="263"/>
      <c r="N2661" s="266">
        <v>1</v>
      </c>
      <c r="O2661" s="266">
        <v>2</v>
      </c>
      <c r="P2661" s="266">
        <v>3</v>
      </c>
      <c r="Q2661" s="266">
        <v>4</v>
      </c>
      <c r="R2661" s="266">
        <v>5</v>
      </c>
      <c r="S2661" s="266">
        <v>6</v>
      </c>
      <c r="T2661" s="266">
        <v>7</v>
      </c>
      <c r="U2661" s="263"/>
      <c r="V2661" s="266" t="s">
        <v>31</v>
      </c>
      <c r="W2661" s="267"/>
      <c r="X2661" s="263"/>
      <c r="AE2661" s="253" t="s">
        <v>68</v>
      </c>
      <c r="AV2661" s="256" t="str">
        <f>CONCATENATE(V2665,":",V2662, " ( ",AN2663,",",AO2663,",",AP2663,",",AQ2663,",",AR2663,",",AS2663,",",AT2663," ) ")</f>
        <v xml:space="preserve">3:0 ( 9,5,5,,,, ) </v>
      </c>
    </row>
    <row r="2662" spans="1:53" ht="39.950000000000003" customHeight="1">
      <c r="A2662" s="252" t="str">
        <f>CONCATENATE(A2660,1)</f>
        <v>D4P121</v>
      </c>
      <c r="B2662" s="252" t="str">
        <f>VLOOKUP(A2662,'KO KODY SPOLU'!$A$3:$B$189,2,0)</f>
        <v>SLOBODNÍKOVÁ / LACENOVÁ</v>
      </c>
      <c r="C2662" s="223"/>
      <c r="D2662" s="223"/>
      <c r="E2662" s="264" t="s">
        <v>29</v>
      </c>
      <c r="F2662" s="265">
        <f>VLOOKUP(CONCATENATE(A2660,1),'zoznam zapasov'!$A$6:$K$160,11,0)</f>
        <v>8</v>
      </c>
      <c r="G2662" s="508"/>
      <c r="H2662" s="319"/>
      <c r="I2662" s="487" t="str">
        <f>IF(ISERROR(VLOOKUP(B2662,vylosovanie!$N$75:$Q$191,3,0))=TRUE," ",VLOOKUP(B2662,vylosovanie!$N$75:$Q$191,3,0))</f>
        <v>SLOBODNÍKOVÁ Hana</v>
      </c>
      <c r="J2662" s="488"/>
      <c r="K2662" s="488"/>
      <c r="L2662" s="488"/>
      <c r="M2662" s="263"/>
      <c r="N2662" s="489">
        <v>9</v>
      </c>
      <c r="O2662" s="489">
        <v>5</v>
      </c>
      <c r="P2662" s="489">
        <v>5</v>
      </c>
      <c r="Q2662" s="489"/>
      <c r="R2662" s="489"/>
      <c r="S2662" s="491"/>
      <c r="T2662" s="491"/>
      <c r="U2662" s="263"/>
      <c r="V2662" s="493">
        <f>IF(SUM(AF2662:AL2663)=0,"",SUM(AF2662:AL2662))</f>
        <v>0</v>
      </c>
      <c r="W2662" s="267"/>
      <c r="X2662" s="263"/>
      <c r="AE2662" s="253" t="str">
        <f>VLOOKUP(I2662,vylosovanie!$F$8:$L$190,7,0)</f>
        <v>D52</v>
      </c>
      <c r="AF2662" s="268">
        <f>IF(N2662&gt;N2665,1,0)</f>
        <v>0</v>
      </c>
      <c r="AG2662" s="268">
        <f t="shared" ref="AG2662" si="2532">IF(O2662&gt;O2665,1,0)</f>
        <v>0</v>
      </c>
      <c r="AH2662" s="268">
        <f t="shared" ref="AH2662" si="2533">IF(P2662&gt;P2665,1,0)</f>
        <v>0</v>
      </c>
      <c r="AI2662" s="268">
        <f t="shared" ref="AI2662" si="2534">IF(Q2662&gt;Q2665,1,0)</f>
        <v>0</v>
      </c>
      <c r="AJ2662" s="268">
        <f t="shared" ref="AJ2662" si="2535">IF(R2662&gt;R2665,1,0)</f>
        <v>0</v>
      </c>
      <c r="AK2662" s="268">
        <f t="shared" ref="AK2662" si="2536">IF(S2662&gt;S2665,1,0)</f>
        <v>0</v>
      </c>
      <c r="AL2662" s="268">
        <f t="shared" ref="AL2662" si="2537">IF(T2662&gt;T2665,1,0)</f>
        <v>0</v>
      </c>
      <c r="AN2662" s="268">
        <f t="shared" ref="AN2662" si="2538">IF(ISBLANK(N2662)=TRUE,"",IF(AF2662=1,N2665,-N2662))</f>
        <v>-9</v>
      </c>
      <c r="AO2662" s="268">
        <f t="shared" ref="AO2662" si="2539">IF(ISBLANK(O2662)=TRUE,"",IF(AG2662=1,O2665,-O2662))</f>
        <v>-5</v>
      </c>
      <c r="AP2662" s="268">
        <f t="shared" ref="AP2662" si="2540">IF(ISBLANK(P2662)=TRUE,"",IF(AH2662=1,P2665,-P2662))</f>
        <v>-5</v>
      </c>
      <c r="AQ2662" s="268" t="str">
        <f t="shared" ref="AQ2662" si="2541">IF(ISBLANK(Q2662)=TRUE,"",IF(AI2662=1,Q2665,-Q2662))</f>
        <v/>
      </c>
      <c r="AR2662" s="268" t="str">
        <f t="shared" ref="AR2662" si="2542">IF(ISBLANK(R2662)=TRUE,"",IF(AJ2662=1,R2665,-R2662))</f>
        <v/>
      </c>
      <c r="AS2662" s="268" t="str">
        <f t="shared" ref="AS2662" si="2543">IF(ISBLANK(S2662)=TRUE,"",IF(AK2662=1,S2665,-S2662))</f>
        <v/>
      </c>
      <c r="AT2662" s="268" t="str">
        <f t="shared" ref="AT2662" si="2544">IF(ISBLANK(T2662)=TRUE,"",IF(AL2662=1,T2665,-T2662))</f>
        <v/>
      </c>
      <c r="AZ2662" s="269" t="s">
        <v>12</v>
      </c>
      <c r="BA2662" s="269">
        <v>1</v>
      </c>
    </row>
    <row r="2663" spans="1:53" ht="39.950000000000003" customHeight="1">
      <c r="C2663" s="223"/>
      <c r="D2663" s="223"/>
      <c r="E2663" s="264"/>
      <c r="F2663" s="265"/>
      <c r="G2663" s="509"/>
      <c r="H2663" s="319"/>
      <c r="I2663" s="487" t="str">
        <f>IF(ISERROR(VLOOKUP(B2662,vylosovanie!$N$75:$Q$191,3,0))=TRUE," ",VLOOKUP(B2662,vylosovanie!$N$75:$Q$191,4,0))</f>
        <v>LACENOVÁ Renáta</v>
      </c>
      <c r="J2663" s="488"/>
      <c r="K2663" s="488"/>
      <c r="L2663" s="488"/>
      <c r="M2663" s="263"/>
      <c r="N2663" s="490"/>
      <c r="O2663" s="490"/>
      <c r="P2663" s="490"/>
      <c r="Q2663" s="490"/>
      <c r="R2663" s="490"/>
      <c r="S2663" s="492"/>
      <c r="T2663" s="492"/>
      <c r="U2663" s="263"/>
      <c r="V2663" s="493"/>
      <c r="W2663" s="267"/>
      <c r="X2663" s="263"/>
      <c r="AE2663" s="253" t="str">
        <f>VLOOKUP(I2665,vylosovanie!$F$8:$L$190,7,0)</f>
        <v>D21</v>
      </c>
      <c r="AF2663" s="268">
        <f>IF(N2665&gt;N2662,1,0)</f>
        <v>1</v>
      </c>
      <c r="AG2663" s="268">
        <f t="shared" ref="AG2663" si="2545">IF(O2665&gt;O2662,1,0)</f>
        <v>1</v>
      </c>
      <c r="AH2663" s="268">
        <f t="shared" ref="AH2663" si="2546">IF(P2665&gt;P2662,1,0)</f>
        <v>1</v>
      </c>
      <c r="AI2663" s="268">
        <f t="shared" ref="AI2663" si="2547">IF(Q2665&gt;Q2662,1,0)</f>
        <v>0</v>
      </c>
      <c r="AJ2663" s="268">
        <f t="shared" ref="AJ2663" si="2548">IF(R2665&gt;R2662,1,0)</f>
        <v>0</v>
      </c>
      <c r="AK2663" s="268">
        <f t="shared" ref="AK2663" si="2549">IF(S2665&gt;S2662,1,0)</f>
        <v>0</v>
      </c>
      <c r="AL2663" s="268">
        <f t="shared" ref="AL2663" si="2550">IF(T2665&gt;T2662,1,0)</f>
        <v>0</v>
      </c>
      <c r="AN2663" s="268">
        <f t="shared" ref="AN2663" si="2551">IF(ISBLANK(N2665)=TRUE,"",IF(AF2663=1,N2662,-N2665))</f>
        <v>9</v>
      </c>
      <c r="AO2663" s="268">
        <f t="shared" ref="AO2663" si="2552">IF(ISBLANK(O2665)=TRUE,"",IF(AG2663=1,O2662,-O2665))</f>
        <v>5</v>
      </c>
      <c r="AP2663" s="268">
        <f t="shared" ref="AP2663" si="2553">IF(ISBLANK(P2665)=TRUE,"",IF(AH2663=1,P2662,-P2665))</f>
        <v>5</v>
      </c>
      <c r="AQ2663" s="268" t="str">
        <f t="shared" ref="AQ2663" si="2554">IF(ISBLANK(Q2665)=TRUE,"",IF(AI2663=1,Q2662,-Q2665))</f>
        <v/>
      </c>
      <c r="AR2663" s="268" t="str">
        <f t="shared" ref="AR2663" si="2555">IF(ISBLANK(R2665)=TRUE,"",IF(AJ2663=1,R2662,-R2665))</f>
        <v/>
      </c>
      <c r="AS2663" s="268" t="str">
        <f t="shared" ref="AS2663" si="2556">IF(ISBLANK(S2665)=TRUE,"",IF(AK2663=1,S2662,-S2665))</f>
        <v/>
      </c>
      <c r="AT2663" s="268" t="str">
        <f t="shared" ref="AT2663" si="2557">IF(ISBLANK(T2665)=TRUE,"",IF(AL2663=1,T2662,-T2665))</f>
        <v/>
      </c>
      <c r="AZ2663" s="269" t="s">
        <v>18</v>
      </c>
      <c r="BA2663" s="269">
        <v>2</v>
      </c>
    </row>
    <row r="2664" spans="1:53" ht="39.950000000000003" customHeight="1">
      <c r="C2664" s="223"/>
      <c r="D2664" s="223"/>
      <c r="E2664" s="264" t="s">
        <v>35</v>
      </c>
      <c r="F2664" s="265" t="str">
        <f>VLOOKUP(CONCATENATE(A2660,1),'zoznam zapasov'!$A$6:$K$160,9,0)</f>
        <v>So</v>
      </c>
      <c r="G2664" s="263"/>
      <c r="H2664" s="263"/>
      <c r="I2664" s="263"/>
      <c r="J2664" s="263"/>
      <c r="K2664" s="263"/>
      <c r="L2664" s="263"/>
      <c r="M2664" s="263"/>
      <c r="N2664" s="263"/>
      <c r="O2664" s="263"/>
      <c r="P2664" s="263"/>
      <c r="Q2664" s="263"/>
      <c r="R2664" s="263"/>
      <c r="S2664" s="263"/>
      <c r="T2664" s="263"/>
      <c r="U2664" s="263"/>
      <c r="V2664" s="263"/>
      <c r="W2664" s="267"/>
      <c r="X2664" s="263"/>
      <c r="AZ2664" s="269" t="s">
        <v>38</v>
      </c>
      <c r="BA2664" s="269">
        <v>3</v>
      </c>
    </row>
    <row r="2665" spans="1:53" ht="39.950000000000003" customHeight="1">
      <c r="A2665" s="252" t="str">
        <f>CONCATENATE(A2660,2)</f>
        <v>D4P122</v>
      </c>
      <c r="B2665" s="252" t="str">
        <f>VLOOKUP(A2665,'KO KODY SPOLU'!$A$3:$B$189,2,0)</f>
        <v>PEKOVÁ / DIVINSKÁ</v>
      </c>
      <c r="C2665" s="223"/>
      <c r="D2665" s="223"/>
      <c r="E2665" s="264" t="s">
        <v>28</v>
      </c>
      <c r="F2665" s="270" t="str">
        <f>VLOOKUP(CONCATENATE(A2660,1),'zoznam zapasov'!$A$6:$K$160,10,0)</f>
        <v>17.00</v>
      </c>
      <c r="G2665" s="508"/>
      <c r="H2665" s="319"/>
      <c r="I2665" s="487" t="str">
        <f>IF(ISERROR(VLOOKUP(B2665,vylosovanie!$N$75:$Q$191,3,0))=TRUE," ",VLOOKUP(B2665,vylosovanie!$N$75:$Q$191,3,0))</f>
        <v>PEKOVÁ Zuzana</v>
      </c>
      <c r="J2665" s="488"/>
      <c r="K2665" s="488"/>
      <c r="L2665" s="488"/>
      <c r="M2665" s="263"/>
      <c r="N2665" s="489">
        <v>11</v>
      </c>
      <c r="O2665" s="489">
        <v>11</v>
      </c>
      <c r="P2665" s="489">
        <v>11</v>
      </c>
      <c r="Q2665" s="489"/>
      <c r="R2665" s="489"/>
      <c r="S2665" s="491"/>
      <c r="T2665" s="491"/>
      <c r="U2665" s="263"/>
      <c r="V2665" s="493">
        <f>IF(SUM(AF2662:AL2663)=0,"",SUM(AF2663:AL2663))</f>
        <v>3</v>
      </c>
      <c r="W2665" s="267"/>
      <c r="X2665" s="263"/>
      <c r="AZ2665" s="269" t="s">
        <v>39</v>
      </c>
      <c r="BA2665" s="269">
        <v>4</v>
      </c>
    </row>
    <row r="2666" spans="1:53" ht="39.950000000000003" customHeight="1">
      <c r="C2666" s="223"/>
      <c r="D2666" s="223"/>
      <c r="E2666" s="271"/>
      <c r="F2666" s="272"/>
      <c r="G2666" s="509"/>
      <c r="H2666" s="319"/>
      <c r="I2666" s="487" t="str">
        <f>IF(ISERROR(VLOOKUP(B2665,vylosovanie!$N$75:$Q$191,3,0))=TRUE," ",VLOOKUP(B2665,vylosovanie!$N$75:$Q$191,4,0))</f>
        <v>DIVINSKÁ Natália</v>
      </c>
      <c r="J2666" s="488"/>
      <c r="K2666" s="488"/>
      <c r="L2666" s="488"/>
      <c r="M2666" s="263"/>
      <c r="N2666" s="490"/>
      <c r="O2666" s="490"/>
      <c r="P2666" s="490"/>
      <c r="Q2666" s="490"/>
      <c r="R2666" s="490"/>
      <c r="S2666" s="492"/>
      <c r="T2666" s="492"/>
      <c r="U2666" s="263"/>
      <c r="V2666" s="493"/>
      <c r="W2666" s="267"/>
      <c r="X2666" s="263"/>
      <c r="AZ2666" s="269" t="s">
        <v>40</v>
      </c>
      <c r="BA2666" s="269">
        <v>5</v>
      </c>
    </row>
    <row r="2667" spans="1:53" ht="39.950000000000003" customHeight="1">
      <c r="C2667" s="223"/>
      <c r="D2667" s="223"/>
      <c r="E2667" s="264" t="s">
        <v>66</v>
      </c>
      <c r="F2667" s="265" t="s">
        <v>95</v>
      </c>
      <c r="G2667" s="263"/>
      <c r="H2667" s="263"/>
      <c r="I2667" s="263"/>
      <c r="J2667" s="263"/>
      <c r="K2667" s="263"/>
      <c r="L2667" s="263"/>
      <c r="M2667" s="263"/>
      <c r="N2667" s="263"/>
      <c r="O2667" s="263"/>
      <c r="P2667" s="263"/>
      <c r="Q2667" s="263"/>
      <c r="R2667" s="263"/>
      <c r="S2667" s="263"/>
      <c r="T2667" s="263"/>
      <c r="U2667" s="263"/>
      <c r="V2667" s="263"/>
      <c r="W2667" s="267"/>
      <c r="X2667" s="263"/>
      <c r="AZ2667" s="269" t="s">
        <v>41</v>
      </c>
      <c r="BA2667" s="269">
        <v>6</v>
      </c>
    </row>
    <row r="2668" spans="1:53" ht="39.950000000000003" customHeight="1">
      <c r="C2668" s="223"/>
      <c r="D2668" s="223"/>
      <c r="E2668" s="271"/>
      <c r="F2668" s="272"/>
      <c r="G2668" s="263"/>
      <c r="H2668" s="263"/>
      <c r="I2668" s="263" t="s">
        <v>32</v>
      </c>
      <c r="J2668" s="263"/>
      <c r="K2668" s="263"/>
      <c r="L2668" s="263"/>
      <c r="M2668" s="263"/>
      <c r="N2668" s="273"/>
      <c r="O2668" s="266"/>
      <c r="P2668" s="266" t="s">
        <v>34</v>
      </c>
      <c r="Q2668" s="266"/>
      <c r="R2668" s="266"/>
      <c r="S2668" s="266"/>
      <c r="T2668" s="266"/>
      <c r="U2668" s="263"/>
      <c r="V2668" s="263"/>
      <c r="W2668" s="267"/>
      <c r="X2668" s="263"/>
      <c r="AZ2668" s="269" t="s">
        <v>42</v>
      </c>
      <c r="BA2668" s="269">
        <v>7</v>
      </c>
    </row>
    <row r="2669" spans="1:53" ht="39.950000000000003" customHeight="1">
      <c r="E2669" s="264" t="s">
        <v>26</v>
      </c>
      <c r="F2669" s="265" t="s">
        <v>128</v>
      </c>
      <c r="G2669" s="263"/>
      <c r="H2669" s="263"/>
      <c r="I2669" s="486"/>
      <c r="J2669" s="486"/>
      <c r="K2669" s="486"/>
      <c r="L2669" s="486"/>
      <c r="M2669" s="263"/>
      <c r="N2669" s="483" t="str">
        <f>IF(V2662&gt;V2665,I2662,IF(V2665&gt;V2662,I2665,""))</f>
        <v>PEKOVÁ Zuzana</v>
      </c>
      <c r="O2669" s="494"/>
      <c r="P2669" s="494"/>
      <c r="Q2669" s="494"/>
      <c r="R2669" s="494"/>
      <c r="S2669" s="495"/>
      <c r="T2669" s="263"/>
      <c r="U2669" s="263"/>
      <c r="V2669" s="263"/>
      <c r="W2669" s="267"/>
      <c r="X2669" s="263"/>
      <c r="AZ2669" s="269" t="s">
        <v>43</v>
      </c>
      <c r="BA2669" s="269">
        <v>8</v>
      </c>
    </row>
    <row r="2670" spans="1:53" ht="39.950000000000003" customHeight="1">
      <c r="E2670" s="271"/>
      <c r="F2670" s="272"/>
      <c r="G2670" s="263"/>
      <c r="H2670" s="263"/>
      <c r="I2670" s="486"/>
      <c r="J2670" s="486"/>
      <c r="K2670" s="486"/>
      <c r="L2670" s="486"/>
      <c r="M2670" s="263"/>
      <c r="N2670" s="483" t="str">
        <f>IF(V2662&gt;V2665,I2663,IF(V2665&gt;V2662,I2666,""))</f>
        <v>DIVINSKÁ Natália</v>
      </c>
      <c r="O2670" s="494"/>
      <c r="P2670" s="494"/>
      <c r="Q2670" s="494"/>
      <c r="R2670" s="494"/>
      <c r="S2670" s="495"/>
      <c r="T2670" s="263"/>
      <c r="U2670" s="263"/>
      <c r="V2670" s="263"/>
      <c r="W2670" s="267"/>
      <c r="X2670" s="263"/>
    </row>
    <row r="2671" spans="1:53" ht="39.950000000000003" customHeight="1">
      <c r="E2671" s="264" t="s">
        <v>27</v>
      </c>
      <c r="F2671" s="274" t="s">
        <v>351</v>
      </c>
      <c r="G2671" s="263"/>
      <c r="H2671" s="263"/>
      <c r="I2671" s="263"/>
      <c r="J2671" s="263"/>
      <c r="K2671" s="263"/>
      <c r="L2671" s="263"/>
      <c r="M2671" s="263"/>
      <c r="N2671" s="263"/>
      <c r="O2671" s="263"/>
      <c r="P2671" s="263"/>
      <c r="Q2671" s="263"/>
      <c r="R2671" s="263"/>
      <c r="S2671" s="263"/>
      <c r="T2671" s="263"/>
      <c r="U2671" s="263"/>
      <c r="V2671" s="263"/>
      <c r="W2671" s="267"/>
      <c r="X2671" s="263"/>
    </row>
    <row r="2672" spans="1:53" ht="39.950000000000003" customHeight="1">
      <c r="E2672" s="271"/>
      <c r="F2672" s="272"/>
      <c r="G2672" s="263"/>
      <c r="H2672" s="263" t="s">
        <v>33</v>
      </c>
      <c r="I2672" s="263"/>
      <c r="J2672" s="263"/>
      <c r="K2672" s="263"/>
      <c r="L2672" s="263"/>
      <c r="M2672" s="263"/>
      <c r="N2672" s="263"/>
      <c r="O2672" s="263"/>
      <c r="P2672" s="263"/>
      <c r="Q2672" s="263"/>
      <c r="R2672" s="263"/>
      <c r="S2672" s="263"/>
      <c r="T2672" s="263"/>
      <c r="U2672" s="263"/>
      <c r="V2672" s="263"/>
      <c r="W2672" s="267"/>
      <c r="X2672" s="263"/>
    </row>
    <row r="2673" spans="1:53" ht="39.950000000000003" customHeight="1">
      <c r="E2673" s="271"/>
      <c r="F2673" s="272"/>
      <c r="G2673" s="263"/>
      <c r="H2673" s="263"/>
      <c r="I2673" s="263"/>
      <c r="J2673" s="263"/>
      <c r="K2673" s="263"/>
      <c r="L2673" s="263"/>
      <c r="M2673" s="263"/>
      <c r="N2673" s="263"/>
      <c r="O2673" s="263"/>
      <c r="P2673" s="263"/>
      <c r="Q2673" s="263"/>
      <c r="R2673" s="263"/>
      <c r="S2673" s="263"/>
      <c r="T2673" s="263"/>
      <c r="U2673" s="263"/>
      <c r="V2673" s="263"/>
      <c r="W2673" s="267"/>
      <c r="X2673" s="263"/>
    </row>
    <row r="2674" spans="1:53" ht="39.950000000000003" customHeight="1">
      <c r="E2674" s="271"/>
      <c r="F2674" s="272"/>
      <c r="G2674" s="263"/>
      <c r="H2674" s="263"/>
      <c r="I2674" s="496" t="str">
        <f>I2662</f>
        <v>SLOBODNÍKOVÁ Hana</v>
      </c>
      <c r="J2674" s="496"/>
      <c r="K2674" s="496"/>
      <c r="L2674" s="496"/>
      <c r="M2674" s="263"/>
      <c r="N2674" s="263"/>
      <c r="P2674" s="496" t="str">
        <f>I2665</f>
        <v>PEKOVÁ Zuzana</v>
      </c>
      <c r="Q2674" s="496"/>
      <c r="R2674" s="496"/>
      <c r="S2674" s="496"/>
      <c r="T2674" s="497"/>
      <c r="U2674" s="497"/>
      <c r="V2674" s="263"/>
      <c r="W2674" s="267"/>
      <c r="X2674" s="263"/>
    </row>
    <row r="2675" spans="1:53" ht="39.950000000000003" customHeight="1">
      <c r="E2675" s="271"/>
      <c r="F2675" s="272"/>
      <c r="G2675" s="263"/>
      <c r="H2675" s="263"/>
      <c r="I2675" s="496" t="str">
        <f>I2663</f>
        <v>LACENOVÁ Renáta</v>
      </c>
      <c r="J2675" s="496"/>
      <c r="K2675" s="496"/>
      <c r="L2675" s="496"/>
      <c r="M2675" s="263"/>
      <c r="N2675" s="263"/>
      <c r="O2675" s="263"/>
      <c r="P2675" s="496" t="str">
        <f>I2666</f>
        <v>DIVINSKÁ Natália</v>
      </c>
      <c r="Q2675" s="496"/>
      <c r="R2675" s="496"/>
      <c r="S2675" s="496"/>
      <c r="T2675" s="497"/>
      <c r="U2675" s="497"/>
      <c r="V2675" s="263"/>
      <c r="W2675" s="267"/>
      <c r="X2675" s="263"/>
    </row>
    <row r="2676" spans="1:53" ht="69.95" customHeight="1">
      <c r="E2676" s="264"/>
      <c r="F2676" s="265"/>
      <c r="G2676" s="263"/>
      <c r="H2676" s="275" t="s">
        <v>36</v>
      </c>
      <c r="I2676" s="483"/>
      <c r="J2676" s="484"/>
      <c r="K2676" s="484"/>
      <c r="L2676" s="485"/>
      <c r="M2676" s="263"/>
      <c r="N2676" s="263"/>
      <c r="O2676" s="275" t="s">
        <v>36</v>
      </c>
      <c r="P2676" s="486"/>
      <c r="Q2676" s="486"/>
      <c r="R2676" s="486"/>
      <c r="S2676" s="486"/>
      <c r="T2676" s="486"/>
      <c r="U2676" s="486"/>
      <c r="V2676" s="263"/>
      <c r="W2676" s="267"/>
      <c r="X2676" s="263"/>
    </row>
    <row r="2677" spans="1:53" ht="69.95" customHeight="1">
      <c r="E2677" s="264"/>
      <c r="F2677" s="265"/>
      <c r="G2677" s="263"/>
      <c r="H2677" s="275" t="s">
        <v>37</v>
      </c>
      <c r="I2677" s="486"/>
      <c r="J2677" s="486"/>
      <c r="K2677" s="486"/>
      <c r="L2677" s="486"/>
      <c r="M2677" s="263"/>
      <c r="N2677" s="263"/>
      <c r="O2677" s="275" t="s">
        <v>37</v>
      </c>
      <c r="P2677" s="486"/>
      <c r="Q2677" s="486"/>
      <c r="R2677" s="486"/>
      <c r="S2677" s="486"/>
      <c r="T2677" s="486"/>
      <c r="U2677" s="486"/>
      <c r="V2677" s="263"/>
      <c r="W2677" s="267"/>
      <c r="X2677" s="263"/>
    </row>
    <row r="2678" spans="1:53" ht="69.95" customHeight="1">
      <c r="E2678" s="264"/>
      <c r="F2678" s="265"/>
      <c r="G2678" s="263"/>
      <c r="H2678" s="275" t="s">
        <v>37</v>
      </c>
      <c r="I2678" s="486"/>
      <c r="J2678" s="486"/>
      <c r="K2678" s="486"/>
      <c r="L2678" s="486"/>
      <c r="M2678" s="263"/>
      <c r="N2678" s="263"/>
      <c r="O2678" s="275" t="s">
        <v>37</v>
      </c>
      <c r="P2678" s="486"/>
      <c r="Q2678" s="486"/>
      <c r="R2678" s="486"/>
      <c r="S2678" s="486"/>
      <c r="T2678" s="486"/>
      <c r="U2678" s="486"/>
      <c r="V2678" s="263"/>
      <c r="W2678" s="267"/>
      <c r="X2678" s="263"/>
    </row>
    <row r="2679" spans="1:53" ht="39.950000000000003" customHeight="1" thickBot="1">
      <c r="E2679" s="276"/>
      <c r="F2679" s="277"/>
      <c r="G2679" s="278"/>
      <c r="H2679" s="278"/>
      <c r="I2679" s="278"/>
      <c r="J2679" s="278"/>
      <c r="K2679" s="278"/>
      <c r="L2679" s="278"/>
      <c r="M2679" s="278"/>
      <c r="N2679" s="278"/>
      <c r="O2679" s="278"/>
      <c r="P2679" s="278"/>
      <c r="Q2679" s="278"/>
      <c r="R2679" s="278"/>
      <c r="S2679" s="278"/>
      <c r="T2679" s="279"/>
      <c r="U2679" s="279"/>
      <c r="V2679" s="279"/>
      <c r="W2679" s="280"/>
      <c r="X2679" s="263"/>
    </row>
    <row r="2680" spans="1:53" ht="62.25" thickBot="1"/>
    <row r="2681" spans="1:53" ht="39.950000000000003" customHeight="1">
      <c r="A2681" s="252" t="str">
        <f>CONCATENATE(F2688,F2690,F2692)</f>
        <v>MIXP25</v>
      </c>
      <c r="C2681" s="223"/>
      <c r="D2681" s="223"/>
      <c r="E2681" s="259" t="s">
        <v>70</v>
      </c>
      <c r="F2681" s="260">
        <f>VLOOKUP(CONCATENATE(A2681,1),'zoznam zapasov'!$A$6:$K$160,3,0)</f>
        <v>133</v>
      </c>
      <c r="G2681" s="261"/>
      <c r="H2681" s="322" t="s">
        <v>501</v>
      </c>
      <c r="I2681" s="261"/>
      <c r="J2681" s="261"/>
      <c r="K2681" s="261"/>
      <c r="L2681" s="261"/>
      <c r="M2681" s="261"/>
      <c r="N2681" s="261"/>
      <c r="O2681" s="261"/>
      <c r="P2681" s="261"/>
      <c r="Q2681" s="261"/>
      <c r="R2681" s="261"/>
      <c r="S2681" s="261"/>
      <c r="T2681" s="261"/>
      <c r="U2681" s="261"/>
      <c r="V2681" s="261" t="s">
        <v>30</v>
      </c>
      <c r="W2681" s="262"/>
      <c r="X2681" s="263"/>
      <c r="Y2681" s="253" t="str">
        <f>A2683</f>
        <v>MIXP251</v>
      </c>
      <c r="Z2681" s="258" t="str">
        <f>CONCATENATE(V2683,":",V2686)</f>
        <v>3:0</v>
      </c>
      <c r="AA2681" s="255" t="str">
        <f>IF(V2683&gt;V2686,B2683,IF(V2686&gt;V2683,B2686,""))</f>
        <v>KYSEL / LABOŠOVÁ</v>
      </c>
      <c r="AB2681" s="255" t="str">
        <f>IF(V2683&gt;V2686,AV2681,IF(V2686&gt;V2683,AV2682,""))</f>
        <v xml:space="preserve">3:0 ( 8,4,3,,,, ) </v>
      </c>
      <c r="AC2681" s="255" t="str">
        <f>CONCATENATE("Tbl.: ",F2683,"   H: ",F2686,"   D: ",F2685)</f>
        <v>Tbl.: 1   H: 17.30   D: So</v>
      </c>
      <c r="AE2681" s="253" t="s">
        <v>11</v>
      </c>
      <c r="AV2681" s="256" t="str">
        <f>CONCATENATE(V2683,":",V2686, " ( ",AN2683,",",AO2683,",",AP2683,",",AQ2683,",",AR2683,",",AS2683,",",AT2683," ) ")</f>
        <v xml:space="preserve">3:0 ( 8,4,3,,,, ) </v>
      </c>
    </row>
    <row r="2682" spans="1:53" ht="39.950000000000003" customHeight="1">
      <c r="C2682" s="223"/>
      <c r="D2682" s="223"/>
      <c r="E2682" s="264"/>
      <c r="F2682" s="265"/>
      <c r="G2682" s="321" t="s">
        <v>500</v>
      </c>
      <c r="H2682" s="323" t="s">
        <v>502</v>
      </c>
      <c r="I2682" s="263"/>
      <c r="J2682" s="263"/>
      <c r="K2682" s="263"/>
      <c r="L2682" s="263"/>
      <c r="M2682" s="263"/>
      <c r="N2682" s="266">
        <v>1</v>
      </c>
      <c r="O2682" s="266">
        <v>2</v>
      </c>
      <c r="P2682" s="266">
        <v>3</v>
      </c>
      <c r="Q2682" s="266">
        <v>4</v>
      </c>
      <c r="R2682" s="266">
        <v>5</v>
      </c>
      <c r="S2682" s="266">
        <v>6</v>
      </c>
      <c r="T2682" s="266">
        <v>7</v>
      </c>
      <c r="U2682" s="263"/>
      <c r="V2682" s="266" t="s">
        <v>31</v>
      </c>
      <c r="W2682" s="267"/>
      <c r="X2682" s="263"/>
      <c r="AE2682" s="253" t="s">
        <v>68</v>
      </c>
      <c r="AV2682" s="256" t="str">
        <f>CONCATENATE(V2686,":",V2683, " ( ",AN2684,",",AO2684,",",AP2684,",",AQ2684,",",AR2684,",",AS2684,",",AT2684," ) ")</f>
        <v xml:space="preserve">0:3 ( -8,-4,-3,,,, ) </v>
      </c>
    </row>
    <row r="2683" spans="1:53" ht="39.950000000000003" customHeight="1">
      <c r="A2683" s="252" t="str">
        <f>CONCATENATE(A2681,1)</f>
        <v>MIXP251</v>
      </c>
      <c r="B2683" s="252" t="str">
        <f>VLOOKUP(A2683,'KO KODY SPOLU'!$A$3:$B$189,2,0)</f>
        <v>KYSEL / LABOŠOVÁ</v>
      </c>
      <c r="C2683" s="223"/>
      <c r="D2683" s="223"/>
      <c r="E2683" s="264" t="s">
        <v>29</v>
      </c>
      <c r="F2683" s="265">
        <f>VLOOKUP(CONCATENATE(A2681,1),'zoznam zapasov'!$A$6:$K$160,11,0)</f>
        <v>1</v>
      </c>
      <c r="G2683" s="508"/>
      <c r="H2683" s="319"/>
      <c r="I2683" s="487" t="str">
        <f>IF(ISERROR(VLOOKUP(B2683,vylosovanie!$N$75:$Q$191,3,0))=TRUE," ",VLOOKUP(B2683,vylosovanie!$N$75:$Q$191,3,0))</f>
        <v>KYSEL Martin</v>
      </c>
      <c r="J2683" s="488"/>
      <c r="K2683" s="488"/>
      <c r="L2683" s="488"/>
      <c r="M2683" s="263"/>
      <c r="N2683" s="489">
        <v>11</v>
      </c>
      <c r="O2683" s="489">
        <v>11</v>
      </c>
      <c r="P2683" s="489">
        <v>11</v>
      </c>
      <c r="Q2683" s="489"/>
      <c r="R2683" s="489"/>
      <c r="S2683" s="491"/>
      <c r="T2683" s="491"/>
      <c r="U2683" s="263"/>
      <c r="V2683" s="493">
        <f>IF(SUM(AF2683:AL2684)=0,"",SUM(AF2683:AL2683))</f>
        <v>3</v>
      </c>
      <c r="W2683" s="267"/>
      <c r="X2683" s="263"/>
      <c r="AE2683" s="253" t="str">
        <f>VLOOKUP(I2683,vylosovanie!$F$8:$L$190,7,0)</f>
        <v>CH21</v>
      </c>
      <c r="AF2683" s="268">
        <f>IF(N2683&gt;N2686,1,0)</f>
        <v>1</v>
      </c>
      <c r="AG2683" s="268">
        <f t="shared" ref="AG2683" si="2558">IF(O2683&gt;O2686,1,0)</f>
        <v>1</v>
      </c>
      <c r="AH2683" s="268">
        <f t="shared" ref="AH2683" si="2559">IF(P2683&gt;P2686,1,0)</f>
        <v>1</v>
      </c>
      <c r="AI2683" s="268">
        <f t="shared" ref="AI2683" si="2560">IF(Q2683&gt;Q2686,1,0)</f>
        <v>0</v>
      </c>
      <c r="AJ2683" s="268">
        <f t="shared" ref="AJ2683" si="2561">IF(R2683&gt;R2686,1,0)</f>
        <v>0</v>
      </c>
      <c r="AK2683" s="268">
        <f t="shared" ref="AK2683" si="2562">IF(S2683&gt;S2686,1,0)</f>
        <v>0</v>
      </c>
      <c r="AL2683" s="268">
        <f t="shared" ref="AL2683" si="2563">IF(T2683&gt;T2686,1,0)</f>
        <v>0</v>
      </c>
      <c r="AN2683" s="268">
        <f t="shared" ref="AN2683" si="2564">IF(ISBLANK(N2683)=TRUE,"",IF(AF2683=1,N2686,-N2683))</f>
        <v>8</v>
      </c>
      <c r="AO2683" s="268">
        <f t="shared" ref="AO2683" si="2565">IF(ISBLANK(O2683)=TRUE,"",IF(AG2683=1,O2686,-O2683))</f>
        <v>4</v>
      </c>
      <c r="AP2683" s="268">
        <f t="shared" ref="AP2683" si="2566">IF(ISBLANK(P2683)=TRUE,"",IF(AH2683=1,P2686,-P2683))</f>
        <v>3</v>
      </c>
      <c r="AQ2683" s="268" t="str">
        <f t="shared" ref="AQ2683" si="2567">IF(ISBLANK(Q2683)=TRUE,"",IF(AI2683=1,Q2686,-Q2683))</f>
        <v/>
      </c>
      <c r="AR2683" s="268" t="str">
        <f t="shared" ref="AR2683" si="2568">IF(ISBLANK(R2683)=TRUE,"",IF(AJ2683=1,R2686,-R2683))</f>
        <v/>
      </c>
      <c r="AS2683" s="268" t="str">
        <f t="shared" ref="AS2683" si="2569">IF(ISBLANK(S2683)=TRUE,"",IF(AK2683=1,S2686,-S2683))</f>
        <v/>
      </c>
      <c r="AT2683" s="268" t="str">
        <f t="shared" ref="AT2683" si="2570">IF(ISBLANK(T2683)=TRUE,"",IF(AL2683=1,T2686,-T2683))</f>
        <v/>
      </c>
      <c r="AZ2683" s="269" t="s">
        <v>12</v>
      </c>
      <c r="BA2683" s="269">
        <v>1</v>
      </c>
    </row>
    <row r="2684" spans="1:53" ht="39.950000000000003" customHeight="1">
      <c r="C2684" s="223"/>
      <c r="D2684" s="223"/>
      <c r="E2684" s="264"/>
      <c r="F2684" s="265"/>
      <c r="G2684" s="509"/>
      <c r="H2684" s="319"/>
      <c r="I2684" s="487" t="str">
        <f>IF(ISERROR(VLOOKUP(B2683,vylosovanie!$N$75:$Q$191,3,0))=TRUE," ",VLOOKUP(B2683,vylosovanie!$N$75:$Q$191,4,0))</f>
        <v>LABOŠOVÁ Ema</v>
      </c>
      <c r="J2684" s="488"/>
      <c r="K2684" s="488"/>
      <c r="L2684" s="488"/>
      <c r="M2684" s="263"/>
      <c r="N2684" s="490"/>
      <c r="O2684" s="490"/>
      <c r="P2684" s="490"/>
      <c r="Q2684" s="490"/>
      <c r="R2684" s="490"/>
      <c r="S2684" s="492"/>
      <c r="T2684" s="492"/>
      <c r="U2684" s="263"/>
      <c r="V2684" s="493"/>
      <c r="W2684" s="267"/>
      <c r="X2684" s="263"/>
      <c r="AA2684" s="255" t="str">
        <f>IF(V2686&gt;V2689,B2686,IF(V2689&gt;V2686,B2689,""))</f>
        <v/>
      </c>
      <c r="AE2684" s="253" t="str">
        <f>VLOOKUP(I2686,vylosovanie!$F$8:$L$190,7,0)</f>
        <v>CH42</v>
      </c>
      <c r="AF2684" s="268">
        <f>IF(N2686&gt;N2683,1,0)</f>
        <v>0</v>
      </c>
      <c r="AG2684" s="268">
        <f t="shared" ref="AG2684" si="2571">IF(O2686&gt;O2683,1,0)</f>
        <v>0</v>
      </c>
      <c r="AH2684" s="268">
        <f t="shared" ref="AH2684" si="2572">IF(P2686&gt;P2683,1,0)</f>
        <v>0</v>
      </c>
      <c r="AI2684" s="268">
        <f t="shared" ref="AI2684" si="2573">IF(Q2686&gt;Q2683,1,0)</f>
        <v>0</v>
      </c>
      <c r="AJ2684" s="268">
        <f t="shared" ref="AJ2684" si="2574">IF(R2686&gt;R2683,1,0)</f>
        <v>0</v>
      </c>
      <c r="AK2684" s="268">
        <f t="shared" ref="AK2684" si="2575">IF(S2686&gt;S2683,1,0)</f>
        <v>0</v>
      </c>
      <c r="AL2684" s="268">
        <f t="shared" ref="AL2684" si="2576">IF(T2686&gt;T2683,1,0)</f>
        <v>0</v>
      </c>
      <c r="AN2684" s="268">
        <f t="shared" ref="AN2684" si="2577">IF(ISBLANK(N2686)=TRUE,"",IF(AF2684=1,N2683,-N2686))</f>
        <v>-8</v>
      </c>
      <c r="AO2684" s="268">
        <f t="shared" ref="AO2684" si="2578">IF(ISBLANK(O2686)=TRUE,"",IF(AG2684=1,O2683,-O2686))</f>
        <v>-4</v>
      </c>
      <c r="AP2684" s="268">
        <f t="shared" ref="AP2684" si="2579">IF(ISBLANK(P2686)=TRUE,"",IF(AH2684=1,P2683,-P2686))</f>
        <v>-3</v>
      </c>
      <c r="AQ2684" s="268" t="str">
        <f t="shared" ref="AQ2684" si="2580">IF(ISBLANK(Q2686)=TRUE,"",IF(AI2684=1,Q2683,-Q2686))</f>
        <v/>
      </c>
      <c r="AR2684" s="268" t="str">
        <f t="shared" ref="AR2684" si="2581">IF(ISBLANK(R2686)=TRUE,"",IF(AJ2684=1,R2683,-R2686))</f>
        <v/>
      </c>
      <c r="AS2684" s="268" t="str">
        <f t="shared" ref="AS2684" si="2582">IF(ISBLANK(S2686)=TRUE,"",IF(AK2684=1,S2683,-S2686))</f>
        <v/>
      </c>
      <c r="AT2684" s="268" t="str">
        <f t="shared" ref="AT2684" si="2583">IF(ISBLANK(T2686)=TRUE,"",IF(AL2684=1,T2683,-T2686))</f>
        <v/>
      </c>
      <c r="AZ2684" s="269" t="s">
        <v>18</v>
      </c>
      <c r="BA2684" s="269">
        <v>2</v>
      </c>
    </row>
    <row r="2685" spans="1:53" ht="39.950000000000003" customHeight="1">
      <c r="C2685" s="223"/>
      <c r="D2685" s="223"/>
      <c r="E2685" s="264" t="s">
        <v>35</v>
      </c>
      <c r="F2685" s="265" t="str">
        <f>VLOOKUP(CONCATENATE(A2681,1),'zoznam zapasov'!$A$6:$K$160,9,0)</f>
        <v>So</v>
      </c>
      <c r="G2685" s="263"/>
      <c r="H2685" s="263"/>
      <c r="I2685" s="263"/>
      <c r="J2685" s="263"/>
      <c r="K2685" s="263"/>
      <c r="L2685" s="263"/>
      <c r="M2685" s="263"/>
      <c r="N2685" s="263"/>
      <c r="O2685" s="263"/>
      <c r="P2685" s="263"/>
      <c r="Q2685" s="263"/>
      <c r="R2685" s="263"/>
      <c r="S2685" s="263"/>
      <c r="T2685" s="263"/>
      <c r="U2685" s="263"/>
      <c r="V2685" s="263"/>
      <c r="W2685" s="267"/>
      <c r="X2685" s="263"/>
      <c r="AZ2685" s="269" t="s">
        <v>38</v>
      </c>
      <c r="BA2685" s="269">
        <v>3</v>
      </c>
    </row>
    <row r="2686" spans="1:53" ht="39.950000000000003" customHeight="1">
      <c r="A2686" s="252" t="str">
        <f>CONCATENATE(A2681,2)</f>
        <v>MIXP252</v>
      </c>
      <c r="B2686" s="252" t="str">
        <f>VLOOKUP(A2686,'KO KODY SPOLU'!$A$3:$B$189,2,0)</f>
        <v>HURKA / MAJERSKÁ</v>
      </c>
      <c r="C2686" s="223"/>
      <c r="D2686" s="223"/>
      <c r="E2686" s="264" t="s">
        <v>28</v>
      </c>
      <c r="F2686" s="270" t="str">
        <f>VLOOKUP(CONCATENATE(A2681,1),'zoznam zapasov'!$A$6:$K$160,10,0)</f>
        <v>17.30</v>
      </c>
      <c r="G2686" s="508"/>
      <c r="H2686" s="319"/>
      <c r="I2686" s="487" t="str">
        <f>IF(ISERROR(VLOOKUP(B2686,vylosovanie!$N$75:$Q$191,3,0))=TRUE," ",VLOOKUP(B2686,vylosovanie!$N$75:$Q$191,3,0))</f>
        <v>HURKA Rastislav</v>
      </c>
      <c r="J2686" s="488"/>
      <c r="K2686" s="488"/>
      <c r="L2686" s="488"/>
      <c r="M2686" s="263"/>
      <c r="N2686" s="489">
        <v>8</v>
      </c>
      <c r="O2686" s="489">
        <v>4</v>
      </c>
      <c r="P2686" s="489">
        <v>3</v>
      </c>
      <c r="Q2686" s="489"/>
      <c r="R2686" s="489"/>
      <c r="S2686" s="491"/>
      <c r="T2686" s="491"/>
      <c r="U2686" s="263"/>
      <c r="V2686" s="493">
        <f>IF(SUM(AF2683:AL2684)=0,"",SUM(AF2684:AL2684))</f>
        <v>0</v>
      </c>
      <c r="W2686" s="267"/>
      <c r="X2686" s="263"/>
      <c r="AZ2686" s="269" t="s">
        <v>39</v>
      </c>
      <c r="BA2686" s="269">
        <v>4</v>
      </c>
    </row>
    <row r="2687" spans="1:53" ht="39.950000000000003" customHeight="1">
      <c r="C2687" s="223"/>
      <c r="D2687" s="223"/>
      <c r="E2687" s="271"/>
      <c r="F2687" s="272"/>
      <c r="G2687" s="509"/>
      <c r="H2687" s="319"/>
      <c r="I2687" s="487" t="str">
        <f>IF(ISERROR(VLOOKUP(B2686,vylosovanie!$N$75:$Q$191,3,0))=TRUE," ",VLOOKUP(B2686,vylosovanie!$N$75:$Q$191,4,0))</f>
        <v>MAJERSKÁ Alena</v>
      </c>
      <c r="J2687" s="488"/>
      <c r="K2687" s="488"/>
      <c r="L2687" s="488"/>
      <c r="M2687" s="263"/>
      <c r="N2687" s="490"/>
      <c r="O2687" s="490"/>
      <c r="P2687" s="490"/>
      <c r="Q2687" s="490"/>
      <c r="R2687" s="490"/>
      <c r="S2687" s="492"/>
      <c r="T2687" s="492"/>
      <c r="U2687" s="263"/>
      <c r="V2687" s="493"/>
      <c r="W2687" s="267"/>
      <c r="X2687" s="263"/>
      <c r="AZ2687" s="269" t="s">
        <v>40</v>
      </c>
      <c r="BA2687" s="269">
        <v>5</v>
      </c>
    </row>
    <row r="2688" spans="1:53" ht="39.950000000000003" customHeight="1">
      <c r="C2688" s="223"/>
      <c r="D2688" s="223"/>
      <c r="E2688" s="264" t="s">
        <v>66</v>
      </c>
      <c r="F2688" s="265" t="s">
        <v>316</v>
      </c>
      <c r="G2688" s="263"/>
      <c r="H2688" s="263"/>
      <c r="I2688" s="263"/>
      <c r="J2688" s="263"/>
      <c r="K2688" s="263"/>
      <c r="L2688" s="263"/>
      <c r="M2688" s="263"/>
      <c r="N2688" s="263"/>
      <c r="O2688" s="263"/>
      <c r="P2688" s="263"/>
      <c r="Q2688" s="263"/>
      <c r="R2688" s="263"/>
      <c r="S2688" s="263"/>
      <c r="T2688" s="263"/>
      <c r="U2688" s="263"/>
      <c r="V2688" s="263"/>
      <c r="W2688" s="267"/>
      <c r="X2688" s="263"/>
      <c r="AZ2688" s="269" t="s">
        <v>41</v>
      </c>
      <c r="BA2688" s="269">
        <v>6</v>
      </c>
    </row>
    <row r="2689" spans="1:53" ht="39.950000000000003" customHeight="1">
      <c r="C2689" s="223"/>
      <c r="D2689" s="223"/>
      <c r="E2689" s="271"/>
      <c r="F2689" s="272"/>
      <c r="G2689" s="263"/>
      <c r="H2689" s="263"/>
      <c r="I2689" s="263" t="s">
        <v>32</v>
      </c>
      <c r="J2689" s="263"/>
      <c r="K2689" s="263"/>
      <c r="L2689" s="263"/>
      <c r="M2689" s="263"/>
      <c r="N2689" s="273"/>
      <c r="O2689" s="266"/>
      <c r="P2689" s="266" t="s">
        <v>34</v>
      </c>
      <c r="Q2689" s="266"/>
      <c r="R2689" s="266"/>
      <c r="S2689" s="266"/>
      <c r="T2689" s="266"/>
      <c r="U2689" s="263"/>
      <c r="V2689" s="263"/>
      <c r="W2689" s="267"/>
      <c r="X2689" s="263"/>
      <c r="AZ2689" s="269" t="s">
        <v>42</v>
      </c>
      <c r="BA2689" s="269">
        <v>7</v>
      </c>
    </row>
    <row r="2690" spans="1:53" ht="39.950000000000003" customHeight="1">
      <c r="E2690" s="264" t="s">
        <v>26</v>
      </c>
      <c r="F2690" s="265" t="s">
        <v>128</v>
      </c>
      <c r="G2690" s="263"/>
      <c r="H2690" s="263"/>
      <c r="I2690" s="486"/>
      <c r="J2690" s="486"/>
      <c r="K2690" s="486"/>
      <c r="L2690" s="486"/>
      <c r="M2690" s="263"/>
      <c r="N2690" s="483" t="str">
        <f>IF(V2683&gt;V2686,I2683,IF(V2686&gt;V2683,I2686,""))</f>
        <v>KYSEL Martin</v>
      </c>
      <c r="O2690" s="494"/>
      <c r="P2690" s="494"/>
      <c r="Q2690" s="494"/>
      <c r="R2690" s="494"/>
      <c r="S2690" s="495"/>
      <c r="T2690" s="263"/>
      <c r="U2690" s="263"/>
      <c r="V2690" s="263"/>
      <c r="W2690" s="267"/>
      <c r="X2690" s="263"/>
      <c r="AZ2690" s="269" t="s">
        <v>43</v>
      </c>
      <c r="BA2690" s="269">
        <v>8</v>
      </c>
    </row>
    <row r="2691" spans="1:53" ht="39.950000000000003" customHeight="1">
      <c r="E2691" s="271"/>
      <c r="F2691" s="272"/>
      <c r="G2691" s="263"/>
      <c r="H2691" s="263"/>
      <c r="I2691" s="486"/>
      <c r="J2691" s="486"/>
      <c r="K2691" s="486"/>
      <c r="L2691" s="486"/>
      <c r="M2691" s="263"/>
      <c r="N2691" s="483" t="str">
        <f>IF(V2683&gt;V2686,I2684,IF(V2686&gt;V2683,I2687,""))</f>
        <v>LABOŠOVÁ Ema</v>
      </c>
      <c r="O2691" s="494"/>
      <c r="P2691" s="494"/>
      <c r="Q2691" s="494"/>
      <c r="R2691" s="494"/>
      <c r="S2691" s="495"/>
      <c r="T2691" s="263"/>
      <c r="U2691" s="263"/>
      <c r="V2691" s="263"/>
      <c r="W2691" s="267"/>
      <c r="X2691" s="263"/>
    </row>
    <row r="2692" spans="1:53" ht="39.950000000000003" customHeight="1">
      <c r="E2692" s="264" t="s">
        <v>27</v>
      </c>
      <c r="F2692" s="274" t="s">
        <v>372</v>
      </c>
      <c r="G2692" s="263"/>
      <c r="H2692" s="263"/>
      <c r="I2692" s="263"/>
      <c r="J2692" s="263"/>
      <c r="K2692" s="263"/>
      <c r="L2692" s="263"/>
      <c r="M2692" s="263"/>
      <c r="N2692" s="263"/>
      <c r="O2692" s="263"/>
      <c r="P2692" s="263"/>
      <c r="Q2692" s="263"/>
      <c r="R2692" s="263"/>
      <c r="S2692" s="263"/>
      <c r="T2692" s="263"/>
      <c r="U2692" s="263"/>
      <c r="V2692" s="263"/>
      <c r="W2692" s="267"/>
      <c r="X2692" s="263"/>
    </row>
    <row r="2693" spans="1:53" ht="39.950000000000003" customHeight="1">
      <c r="E2693" s="271"/>
      <c r="F2693" s="272"/>
      <c r="G2693" s="263"/>
      <c r="H2693" s="263" t="s">
        <v>33</v>
      </c>
      <c r="I2693" s="263"/>
      <c r="J2693" s="263"/>
      <c r="K2693" s="263"/>
      <c r="L2693" s="263"/>
      <c r="M2693" s="263"/>
      <c r="N2693" s="263"/>
      <c r="O2693" s="263"/>
      <c r="P2693" s="263"/>
      <c r="Q2693" s="263"/>
      <c r="R2693" s="263"/>
      <c r="S2693" s="263"/>
      <c r="T2693" s="263"/>
      <c r="U2693" s="263"/>
      <c r="V2693" s="263"/>
      <c r="W2693" s="267"/>
      <c r="X2693" s="263"/>
    </row>
    <row r="2694" spans="1:53" ht="39.950000000000003" customHeight="1">
      <c r="E2694" s="271"/>
      <c r="F2694" s="272"/>
      <c r="G2694" s="263"/>
      <c r="H2694" s="263"/>
      <c r="I2694" s="263"/>
      <c r="J2694" s="263"/>
      <c r="K2694" s="263"/>
      <c r="L2694" s="263"/>
      <c r="M2694" s="263"/>
      <c r="N2694" s="263"/>
      <c r="O2694" s="263"/>
      <c r="P2694" s="263"/>
      <c r="Q2694" s="263"/>
      <c r="R2694" s="263"/>
      <c r="S2694" s="263"/>
      <c r="T2694" s="263"/>
      <c r="U2694" s="263"/>
      <c r="V2694" s="263"/>
      <c r="W2694" s="267"/>
      <c r="X2694" s="263"/>
    </row>
    <row r="2695" spans="1:53" ht="39.950000000000003" customHeight="1">
      <c r="E2695" s="271"/>
      <c r="F2695" s="272"/>
      <c r="G2695" s="263"/>
      <c r="H2695" s="263"/>
      <c r="I2695" s="496" t="str">
        <f>I2683</f>
        <v>KYSEL Martin</v>
      </c>
      <c r="J2695" s="496"/>
      <c r="K2695" s="496"/>
      <c r="L2695" s="496"/>
      <c r="M2695" s="263"/>
      <c r="N2695" s="263"/>
      <c r="P2695" s="496" t="str">
        <f>I2686</f>
        <v>HURKA Rastislav</v>
      </c>
      <c r="Q2695" s="496"/>
      <c r="R2695" s="496"/>
      <c r="S2695" s="496"/>
      <c r="T2695" s="497"/>
      <c r="U2695" s="497"/>
      <c r="V2695" s="263"/>
      <c r="W2695" s="267"/>
      <c r="X2695" s="263"/>
    </row>
    <row r="2696" spans="1:53" ht="39.950000000000003" customHeight="1">
      <c r="E2696" s="271"/>
      <c r="F2696" s="272"/>
      <c r="G2696" s="263"/>
      <c r="H2696" s="263"/>
      <c r="I2696" s="496" t="str">
        <f>I2684</f>
        <v>LABOŠOVÁ Ema</v>
      </c>
      <c r="J2696" s="496"/>
      <c r="K2696" s="496"/>
      <c r="L2696" s="496"/>
      <c r="M2696" s="263"/>
      <c r="N2696" s="263"/>
      <c r="O2696" s="263"/>
      <c r="P2696" s="496" t="str">
        <f>I2687</f>
        <v>MAJERSKÁ Alena</v>
      </c>
      <c r="Q2696" s="496"/>
      <c r="R2696" s="496"/>
      <c r="S2696" s="496"/>
      <c r="T2696" s="497"/>
      <c r="U2696" s="497"/>
      <c r="V2696" s="263"/>
      <c r="W2696" s="267"/>
      <c r="X2696" s="263"/>
    </row>
    <row r="2697" spans="1:53" ht="69.95" customHeight="1">
      <c r="E2697" s="264"/>
      <c r="F2697" s="265"/>
      <c r="G2697" s="263"/>
      <c r="H2697" s="275" t="s">
        <v>36</v>
      </c>
      <c r="I2697" s="483"/>
      <c r="J2697" s="484"/>
      <c r="K2697" s="484"/>
      <c r="L2697" s="485"/>
      <c r="M2697" s="263"/>
      <c r="N2697" s="263"/>
      <c r="O2697" s="275" t="s">
        <v>36</v>
      </c>
      <c r="P2697" s="486"/>
      <c r="Q2697" s="486"/>
      <c r="R2697" s="486"/>
      <c r="S2697" s="486"/>
      <c r="T2697" s="486"/>
      <c r="U2697" s="486"/>
      <c r="V2697" s="263"/>
      <c r="W2697" s="267"/>
      <c r="X2697" s="263"/>
    </row>
    <row r="2698" spans="1:53" ht="69.95" customHeight="1">
      <c r="E2698" s="264"/>
      <c r="F2698" s="265"/>
      <c r="G2698" s="263"/>
      <c r="H2698" s="275" t="s">
        <v>37</v>
      </c>
      <c r="I2698" s="486"/>
      <c r="J2698" s="486"/>
      <c r="K2698" s="486"/>
      <c r="L2698" s="486"/>
      <c r="M2698" s="263"/>
      <c r="N2698" s="263"/>
      <c r="O2698" s="275" t="s">
        <v>37</v>
      </c>
      <c r="P2698" s="486"/>
      <c r="Q2698" s="486"/>
      <c r="R2698" s="486"/>
      <c r="S2698" s="486"/>
      <c r="T2698" s="486"/>
      <c r="U2698" s="486"/>
      <c r="V2698" s="263"/>
      <c r="W2698" s="267"/>
      <c r="X2698" s="263"/>
    </row>
    <row r="2699" spans="1:53" ht="69.95" customHeight="1">
      <c r="E2699" s="264"/>
      <c r="F2699" s="265"/>
      <c r="G2699" s="263"/>
      <c r="H2699" s="275" t="s">
        <v>37</v>
      </c>
      <c r="I2699" s="486"/>
      <c r="J2699" s="486"/>
      <c r="K2699" s="486"/>
      <c r="L2699" s="486"/>
      <c r="M2699" s="263"/>
      <c r="N2699" s="263"/>
      <c r="O2699" s="275" t="s">
        <v>37</v>
      </c>
      <c r="P2699" s="486"/>
      <c r="Q2699" s="486"/>
      <c r="R2699" s="486"/>
      <c r="S2699" s="486"/>
      <c r="T2699" s="486"/>
      <c r="U2699" s="486"/>
      <c r="V2699" s="263"/>
      <c r="W2699" s="267"/>
      <c r="X2699" s="263"/>
    </row>
    <row r="2700" spans="1:53" ht="39.950000000000003" customHeight="1" thickBot="1">
      <c r="E2700" s="276"/>
      <c r="F2700" s="277"/>
      <c r="G2700" s="278"/>
      <c r="H2700" s="278"/>
      <c r="I2700" s="278"/>
      <c r="J2700" s="278"/>
      <c r="K2700" s="278"/>
      <c r="L2700" s="278"/>
      <c r="M2700" s="278"/>
      <c r="N2700" s="278"/>
      <c r="O2700" s="278"/>
      <c r="P2700" s="278"/>
      <c r="Q2700" s="278"/>
      <c r="R2700" s="278"/>
      <c r="S2700" s="278"/>
      <c r="T2700" s="279"/>
      <c r="U2700" s="279"/>
      <c r="V2700" s="279"/>
      <c r="W2700" s="280"/>
      <c r="X2700" s="263"/>
    </row>
    <row r="2701" spans="1:53" ht="62.25" thickBot="1"/>
    <row r="2702" spans="1:53" ht="39.950000000000003" customHeight="1">
      <c r="A2702" s="252" t="str">
        <f>CONCATENATE(F2709,F2711,F2713)</f>
        <v>MIXP26</v>
      </c>
      <c r="C2702" s="223"/>
      <c r="D2702" s="223"/>
      <c r="E2702" s="259" t="s">
        <v>70</v>
      </c>
      <c r="F2702" s="260">
        <f>VLOOKUP(CONCATENATE(A2702,1),'zoznam zapasov'!$A$6:$K$160,3,0)</f>
        <v>134</v>
      </c>
      <c r="G2702" s="261"/>
      <c r="H2702" s="322" t="s">
        <v>501</v>
      </c>
      <c r="I2702" s="261"/>
      <c r="J2702" s="261"/>
      <c r="K2702" s="261"/>
      <c r="L2702" s="261"/>
      <c r="M2702" s="261"/>
      <c r="N2702" s="261"/>
      <c r="O2702" s="261"/>
      <c r="P2702" s="261"/>
      <c r="Q2702" s="261"/>
      <c r="R2702" s="261"/>
      <c r="S2702" s="261"/>
      <c r="T2702" s="261"/>
      <c r="U2702" s="261"/>
      <c r="V2702" s="261" t="s">
        <v>30</v>
      </c>
      <c r="W2702" s="262"/>
      <c r="X2702" s="263"/>
      <c r="Y2702" s="253" t="str">
        <f>A2704</f>
        <v>MIXP261</v>
      </c>
      <c r="Z2702" s="258" t="str">
        <f>CONCATENATE(V2704,":",V2707)</f>
        <v>0:3</v>
      </c>
      <c r="AA2702" s="255" t="str">
        <f>IF(V2704&gt;V2707,B2704,IF(V2707&gt;V2704,B2707,""))</f>
        <v>FEČO / DZELINSKA</v>
      </c>
      <c r="AB2702" s="255" t="str">
        <f>IF(V2704&gt;V2707,AV2702,IF(V2707&gt;V2704,AV2703,""))</f>
        <v xml:space="preserve">3:0 ( 7,9,7,,,, ) </v>
      </c>
      <c r="AC2702" s="255" t="str">
        <f>CONCATENATE("Tbl.: ",F2704,"   H: ",F2707,"   D: ",F2706)</f>
        <v>Tbl.: 3   H: 17.30   D: So</v>
      </c>
      <c r="AE2702" s="253" t="s">
        <v>11</v>
      </c>
      <c r="AV2702" s="256" t="str">
        <f>CONCATENATE(V2704,":",V2707, " ( ",AN2704,",",AO2704,",",AP2704,",",AQ2704,",",AR2704,",",AS2704,",",AT2704," ) ")</f>
        <v xml:space="preserve">0:3 ( -7,-9,-7,,,, ) </v>
      </c>
    </row>
    <row r="2703" spans="1:53" ht="39.950000000000003" customHeight="1">
      <c r="C2703" s="223"/>
      <c r="D2703" s="223"/>
      <c r="E2703" s="264"/>
      <c r="F2703" s="265"/>
      <c r="G2703" s="321" t="s">
        <v>500</v>
      </c>
      <c r="H2703" s="323" t="s">
        <v>502</v>
      </c>
      <c r="I2703" s="263"/>
      <c r="J2703" s="263"/>
      <c r="K2703" s="263"/>
      <c r="L2703" s="263"/>
      <c r="M2703" s="263"/>
      <c r="N2703" s="266">
        <v>1</v>
      </c>
      <c r="O2703" s="266">
        <v>2</v>
      </c>
      <c r="P2703" s="266">
        <v>3</v>
      </c>
      <c r="Q2703" s="266">
        <v>4</v>
      </c>
      <c r="R2703" s="266">
        <v>5</v>
      </c>
      <c r="S2703" s="266">
        <v>6</v>
      </c>
      <c r="T2703" s="266">
        <v>7</v>
      </c>
      <c r="U2703" s="263"/>
      <c r="V2703" s="266" t="s">
        <v>31</v>
      </c>
      <c r="W2703" s="267"/>
      <c r="X2703" s="263"/>
      <c r="AE2703" s="253" t="s">
        <v>68</v>
      </c>
      <c r="AV2703" s="256" t="str">
        <f>CONCATENATE(V2707,":",V2704, " ( ",AN2705,",",AO2705,",",AP2705,",",AQ2705,",",AR2705,",",AS2705,",",AT2705," ) ")</f>
        <v xml:space="preserve">3:0 ( 7,9,7,,,, ) </v>
      </c>
    </row>
    <row r="2704" spans="1:53" ht="39.950000000000003" customHeight="1">
      <c r="A2704" s="252" t="str">
        <f>CONCATENATE(A2702,1)</f>
        <v>MIXP261</v>
      </c>
      <c r="B2704" s="252" t="str">
        <f>VLOOKUP(A2704,'KO KODY SPOLU'!$A$3:$B$189,2,0)</f>
        <v>ĎANOVSKÝ / DIVINSKÁ</v>
      </c>
      <c r="C2704" s="223"/>
      <c r="D2704" s="223"/>
      <c r="E2704" s="264" t="s">
        <v>29</v>
      </c>
      <c r="F2704" s="265">
        <f>VLOOKUP(CONCATENATE(A2702,1),'zoznam zapasov'!$A$6:$K$160,11,0)</f>
        <v>3</v>
      </c>
      <c r="G2704" s="508"/>
      <c r="H2704" s="319"/>
      <c r="I2704" s="487" t="str">
        <f>IF(ISERROR(VLOOKUP(B2704,vylosovanie!$N$75:$Q$191,3,0))=TRUE," ",VLOOKUP(B2704,vylosovanie!$N$75:$Q$191,3,0))</f>
        <v>ĎANOVSKÝ Martin</v>
      </c>
      <c r="J2704" s="488"/>
      <c r="K2704" s="488"/>
      <c r="L2704" s="488"/>
      <c r="M2704" s="263"/>
      <c r="N2704" s="489">
        <v>7</v>
      </c>
      <c r="O2704" s="489">
        <v>9</v>
      </c>
      <c r="P2704" s="489">
        <v>7</v>
      </c>
      <c r="Q2704" s="489"/>
      <c r="R2704" s="489"/>
      <c r="S2704" s="491"/>
      <c r="T2704" s="491"/>
      <c r="U2704" s="263"/>
      <c r="V2704" s="493">
        <f>IF(SUM(AF2704:AL2705)=0,"",SUM(AF2704:AL2704))</f>
        <v>0</v>
      </c>
      <c r="W2704" s="267"/>
      <c r="X2704" s="263"/>
      <c r="AE2704" s="253" t="str">
        <f>VLOOKUP(I2704,vylosovanie!$F$8:$L$190,7,0)</f>
        <v>CH52</v>
      </c>
      <c r="AF2704" s="268">
        <f>IF(N2704&gt;N2707,1,0)</f>
        <v>0</v>
      </c>
      <c r="AG2704" s="268">
        <f t="shared" ref="AG2704" si="2584">IF(O2704&gt;O2707,1,0)</f>
        <v>0</v>
      </c>
      <c r="AH2704" s="268">
        <f t="shared" ref="AH2704" si="2585">IF(P2704&gt;P2707,1,0)</f>
        <v>0</v>
      </c>
      <c r="AI2704" s="268">
        <f t="shared" ref="AI2704" si="2586">IF(Q2704&gt;Q2707,1,0)</f>
        <v>0</v>
      </c>
      <c r="AJ2704" s="268">
        <f t="shared" ref="AJ2704" si="2587">IF(R2704&gt;R2707,1,0)</f>
        <v>0</v>
      </c>
      <c r="AK2704" s="268">
        <f t="shared" ref="AK2704" si="2588">IF(S2704&gt;S2707,1,0)</f>
        <v>0</v>
      </c>
      <c r="AL2704" s="268">
        <f t="shared" ref="AL2704" si="2589">IF(T2704&gt;T2707,1,0)</f>
        <v>0</v>
      </c>
      <c r="AN2704" s="268">
        <f t="shared" ref="AN2704" si="2590">IF(ISBLANK(N2704)=TRUE,"",IF(AF2704=1,N2707,-N2704))</f>
        <v>-7</v>
      </c>
      <c r="AO2704" s="268">
        <f t="shared" ref="AO2704" si="2591">IF(ISBLANK(O2704)=TRUE,"",IF(AG2704=1,O2707,-O2704))</f>
        <v>-9</v>
      </c>
      <c r="AP2704" s="268">
        <f t="shared" ref="AP2704" si="2592">IF(ISBLANK(P2704)=TRUE,"",IF(AH2704=1,P2707,-P2704))</f>
        <v>-7</v>
      </c>
      <c r="AQ2704" s="268" t="str">
        <f t="shared" ref="AQ2704" si="2593">IF(ISBLANK(Q2704)=TRUE,"",IF(AI2704=1,Q2707,-Q2704))</f>
        <v/>
      </c>
      <c r="AR2704" s="268" t="str">
        <f t="shared" ref="AR2704" si="2594">IF(ISBLANK(R2704)=TRUE,"",IF(AJ2704=1,R2707,-R2704))</f>
        <v/>
      </c>
      <c r="AS2704" s="268" t="str">
        <f t="shared" ref="AS2704" si="2595">IF(ISBLANK(S2704)=TRUE,"",IF(AK2704=1,S2707,-S2704))</f>
        <v/>
      </c>
      <c r="AT2704" s="268" t="str">
        <f t="shared" ref="AT2704" si="2596">IF(ISBLANK(T2704)=TRUE,"",IF(AL2704=1,T2707,-T2704))</f>
        <v/>
      </c>
      <c r="AZ2704" s="269" t="s">
        <v>12</v>
      </c>
      <c r="BA2704" s="269">
        <v>1</v>
      </c>
    </row>
    <row r="2705" spans="1:53" ht="39.950000000000003" customHeight="1">
      <c r="C2705" s="223"/>
      <c r="D2705" s="223"/>
      <c r="E2705" s="264"/>
      <c r="F2705" s="265"/>
      <c r="G2705" s="509"/>
      <c r="H2705" s="319"/>
      <c r="I2705" s="487" t="str">
        <f>IF(ISERROR(VLOOKUP(B2704,vylosovanie!$N$75:$Q$191,3,0))=TRUE," ",VLOOKUP(B2704,vylosovanie!$N$75:$Q$191,4,0))</f>
        <v>DIVINSKÁ Natália</v>
      </c>
      <c r="J2705" s="488"/>
      <c r="K2705" s="488"/>
      <c r="L2705" s="488"/>
      <c r="M2705" s="263"/>
      <c r="N2705" s="490"/>
      <c r="O2705" s="490"/>
      <c r="P2705" s="490"/>
      <c r="Q2705" s="490"/>
      <c r="R2705" s="490"/>
      <c r="S2705" s="492"/>
      <c r="T2705" s="492"/>
      <c r="U2705" s="263"/>
      <c r="V2705" s="493"/>
      <c r="W2705" s="267"/>
      <c r="X2705" s="263"/>
      <c r="AE2705" s="253" t="str">
        <f>VLOOKUP(I2707,vylosovanie!$F$8:$L$190,7,0)</f>
        <v>CH31</v>
      </c>
      <c r="AF2705" s="268">
        <f>IF(N2707&gt;N2704,1,0)</f>
        <v>1</v>
      </c>
      <c r="AG2705" s="268">
        <f t="shared" ref="AG2705" si="2597">IF(O2707&gt;O2704,1,0)</f>
        <v>1</v>
      </c>
      <c r="AH2705" s="268">
        <f t="shared" ref="AH2705" si="2598">IF(P2707&gt;P2704,1,0)</f>
        <v>1</v>
      </c>
      <c r="AI2705" s="268">
        <f t="shared" ref="AI2705" si="2599">IF(Q2707&gt;Q2704,1,0)</f>
        <v>0</v>
      </c>
      <c r="AJ2705" s="268">
        <f t="shared" ref="AJ2705" si="2600">IF(R2707&gt;R2704,1,0)</f>
        <v>0</v>
      </c>
      <c r="AK2705" s="268">
        <f t="shared" ref="AK2705" si="2601">IF(S2707&gt;S2704,1,0)</f>
        <v>0</v>
      </c>
      <c r="AL2705" s="268">
        <f t="shared" ref="AL2705" si="2602">IF(T2707&gt;T2704,1,0)</f>
        <v>0</v>
      </c>
      <c r="AN2705" s="268">
        <f t="shared" ref="AN2705" si="2603">IF(ISBLANK(N2707)=TRUE,"",IF(AF2705=1,N2704,-N2707))</f>
        <v>7</v>
      </c>
      <c r="AO2705" s="268">
        <f t="shared" ref="AO2705" si="2604">IF(ISBLANK(O2707)=TRUE,"",IF(AG2705=1,O2704,-O2707))</f>
        <v>9</v>
      </c>
      <c r="AP2705" s="268">
        <f t="shared" ref="AP2705" si="2605">IF(ISBLANK(P2707)=TRUE,"",IF(AH2705=1,P2704,-P2707))</f>
        <v>7</v>
      </c>
      <c r="AQ2705" s="268" t="str">
        <f t="shared" ref="AQ2705" si="2606">IF(ISBLANK(Q2707)=TRUE,"",IF(AI2705=1,Q2704,-Q2707))</f>
        <v/>
      </c>
      <c r="AR2705" s="268" t="str">
        <f t="shared" ref="AR2705" si="2607">IF(ISBLANK(R2707)=TRUE,"",IF(AJ2705=1,R2704,-R2707))</f>
        <v/>
      </c>
      <c r="AS2705" s="268" t="str">
        <f t="shared" ref="AS2705" si="2608">IF(ISBLANK(S2707)=TRUE,"",IF(AK2705=1,S2704,-S2707))</f>
        <v/>
      </c>
      <c r="AT2705" s="268" t="str">
        <f t="shared" ref="AT2705" si="2609">IF(ISBLANK(T2707)=TRUE,"",IF(AL2705=1,T2704,-T2707))</f>
        <v/>
      </c>
      <c r="AZ2705" s="269" t="s">
        <v>18</v>
      </c>
      <c r="BA2705" s="269">
        <v>2</v>
      </c>
    </row>
    <row r="2706" spans="1:53" ht="39.950000000000003" customHeight="1">
      <c r="C2706" s="223"/>
      <c r="D2706" s="223"/>
      <c r="E2706" s="264" t="s">
        <v>35</v>
      </c>
      <c r="F2706" s="265" t="str">
        <f>VLOOKUP(CONCATENATE(A2702,1),'zoznam zapasov'!$A$6:$K$160,9,0)</f>
        <v>So</v>
      </c>
      <c r="G2706" s="263"/>
      <c r="H2706" s="263"/>
      <c r="I2706" s="263"/>
      <c r="J2706" s="263"/>
      <c r="K2706" s="263"/>
      <c r="L2706" s="263"/>
      <c r="M2706" s="263"/>
      <c r="N2706" s="263"/>
      <c r="O2706" s="263"/>
      <c r="P2706" s="263"/>
      <c r="Q2706" s="263"/>
      <c r="R2706" s="263"/>
      <c r="S2706" s="263"/>
      <c r="T2706" s="263"/>
      <c r="U2706" s="263"/>
      <c r="V2706" s="263"/>
      <c r="W2706" s="267"/>
      <c r="X2706" s="263"/>
      <c r="AZ2706" s="269" t="s">
        <v>38</v>
      </c>
      <c r="BA2706" s="269">
        <v>3</v>
      </c>
    </row>
    <row r="2707" spans="1:53" ht="39.950000000000003" customHeight="1">
      <c r="A2707" s="252" t="str">
        <f>CONCATENATE(A2702,2)</f>
        <v>MIXP262</v>
      </c>
      <c r="B2707" s="252" t="str">
        <f>VLOOKUP(A2707,'KO KODY SPOLU'!$A$3:$B$189,2,0)</f>
        <v>FEČO / DZELINSKA</v>
      </c>
      <c r="C2707" s="223"/>
      <c r="D2707" s="223"/>
      <c r="E2707" s="264" t="s">
        <v>28</v>
      </c>
      <c r="F2707" s="270" t="str">
        <f>VLOOKUP(CONCATENATE(A2702,1),'zoznam zapasov'!$A$6:$K$160,10,0)</f>
        <v>17.30</v>
      </c>
      <c r="G2707" s="508"/>
      <c r="H2707" s="319"/>
      <c r="I2707" s="487" t="str">
        <f>IF(ISERROR(VLOOKUP(B2707,vylosovanie!$N$75:$Q$191,3,0))=TRUE," ",VLOOKUP(B2707,vylosovanie!$N$75:$Q$191,3,0))</f>
        <v>FEČO Samuel</v>
      </c>
      <c r="J2707" s="488"/>
      <c r="K2707" s="488"/>
      <c r="L2707" s="488"/>
      <c r="M2707" s="263"/>
      <c r="N2707" s="489">
        <v>11</v>
      </c>
      <c r="O2707" s="489">
        <v>11</v>
      </c>
      <c r="P2707" s="489">
        <v>11</v>
      </c>
      <c r="Q2707" s="489"/>
      <c r="R2707" s="489"/>
      <c r="S2707" s="491"/>
      <c r="T2707" s="491"/>
      <c r="U2707" s="263"/>
      <c r="V2707" s="493">
        <f>IF(SUM(AF2704:AL2705)=0,"",SUM(AF2705:AL2705))</f>
        <v>3</v>
      </c>
      <c r="W2707" s="267"/>
      <c r="X2707" s="263"/>
      <c r="AZ2707" s="269" t="s">
        <v>39</v>
      </c>
      <c r="BA2707" s="269">
        <v>4</v>
      </c>
    </row>
    <row r="2708" spans="1:53" ht="39.950000000000003" customHeight="1">
      <c r="C2708" s="223"/>
      <c r="D2708" s="223"/>
      <c r="E2708" s="271"/>
      <c r="F2708" s="272"/>
      <c r="G2708" s="509"/>
      <c r="H2708" s="319"/>
      <c r="I2708" s="487" t="str">
        <f>IF(ISERROR(VLOOKUP(B2707,vylosovanie!$N$75:$Q$191,3,0))=TRUE," ",VLOOKUP(B2707,vylosovanie!$N$75:$Q$191,4,0))</f>
        <v>DZELINSKA Júlia</v>
      </c>
      <c r="J2708" s="488"/>
      <c r="K2708" s="488"/>
      <c r="L2708" s="488"/>
      <c r="M2708" s="263"/>
      <c r="N2708" s="490"/>
      <c r="O2708" s="490"/>
      <c r="P2708" s="490"/>
      <c r="Q2708" s="490"/>
      <c r="R2708" s="490"/>
      <c r="S2708" s="492"/>
      <c r="T2708" s="492"/>
      <c r="U2708" s="263"/>
      <c r="V2708" s="493"/>
      <c r="W2708" s="267"/>
      <c r="X2708" s="263"/>
      <c r="AZ2708" s="269" t="s">
        <v>40</v>
      </c>
      <c r="BA2708" s="269">
        <v>5</v>
      </c>
    </row>
    <row r="2709" spans="1:53" ht="39.950000000000003" customHeight="1">
      <c r="C2709" s="223"/>
      <c r="D2709" s="223"/>
      <c r="E2709" s="264" t="s">
        <v>66</v>
      </c>
      <c r="F2709" s="265" t="s">
        <v>316</v>
      </c>
      <c r="G2709" s="263"/>
      <c r="H2709" s="263"/>
      <c r="I2709" s="263"/>
      <c r="J2709" s="263"/>
      <c r="K2709" s="263"/>
      <c r="L2709" s="263"/>
      <c r="M2709" s="263"/>
      <c r="N2709" s="263"/>
      <c r="O2709" s="263"/>
      <c r="P2709" s="263"/>
      <c r="Q2709" s="263"/>
      <c r="R2709" s="263"/>
      <c r="S2709" s="263"/>
      <c r="T2709" s="263"/>
      <c r="U2709" s="263"/>
      <c r="V2709" s="263"/>
      <c r="W2709" s="267"/>
      <c r="X2709" s="263"/>
      <c r="AZ2709" s="269" t="s">
        <v>41</v>
      </c>
      <c r="BA2709" s="269">
        <v>6</v>
      </c>
    </row>
    <row r="2710" spans="1:53" ht="39.950000000000003" customHeight="1">
      <c r="C2710" s="223"/>
      <c r="D2710" s="223"/>
      <c r="E2710" s="271"/>
      <c r="F2710" s="272"/>
      <c r="G2710" s="263"/>
      <c r="H2710" s="263"/>
      <c r="I2710" s="263" t="s">
        <v>32</v>
      </c>
      <c r="J2710" s="263"/>
      <c r="K2710" s="263"/>
      <c r="L2710" s="263"/>
      <c r="M2710" s="263"/>
      <c r="N2710" s="273"/>
      <c r="O2710" s="266"/>
      <c r="P2710" s="266" t="s">
        <v>34</v>
      </c>
      <c r="Q2710" s="266"/>
      <c r="R2710" s="266"/>
      <c r="S2710" s="266"/>
      <c r="T2710" s="266"/>
      <c r="U2710" s="263"/>
      <c r="V2710" s="263"/>
      <c r="W2710" s="267"/>
      <c r="X2710" s="263"/>
      <c r="AZ2710" s="269" t="s">
        <v>42</v>
      </c>
      <c r="BA2710" s="269">
        <v>7</v>
      </c>
    </row>
    <row r="2711" spans="1:53" ht="39.950000000000003" customHeight="1">
      <c r="E2711" s="264" t="s">
        <v>26</v>
      </c>
      <c r="F2711" s="265" t="s">
        <v>128</v>
      </c>
      <c r="G2711" s="263"/>
      <c r="H2711" s="263"/>
      <c r="I2711" s="486"/>
      <c r="J2711" s="486"/>
      <c r="K2711" s="486"/>
      <c r="L2711" s="486"/>
      <c r="M2711" s="263"/>
      <c r="N2711" s="483" t="str">
        <f>IF(V2704&gt;V2707,I2704,IF(V2707&gt;V2704,I2707,""))</f>
        <v>FEČO Samuel</v>
      </c>
      <c r="O2711" s="494"/>
      <c r="P2711" s="494"/>
      <c r="Q2711" s="494"/>
      <c r="R2711" s="494"/>
      <c r="S2711" s="495"/>
      <c r="T2711" s="263"/>
      <c r="U2711" s="263"/>
      <c r="V2711" s="263"/>
      <c r="W2711" s="267"/>
      <c r="X2711" s="263"/>
      <c r="AZ2711" s="269" t="s">
        <v>43</v>
      </c>
      <c r="BA2711" s="269">
        <v>8</v>
      </c>
    </row>
    <row r="2712" spans="1:53" ht="39.950000000000003" customHeight="1">
      <c r="E2712" s="271"/>
      <c r="F2712" s="272"/>
      <c r="G2712" s="263"/>
      <c r="H2712" s="263"/>
      <c r="I2712" s="486"/>
      <c r="J2712" s="486"/>
      <c r="K2712" s="486"/>
      <c r="L2712" s="486"/>
      <c r="M2712" s="263"/>
      <c r="N2712" s="483" t="str">
        <f>IF(V2704&gt;V2707,I2705,IF(V2707&gt;V2704,I2708,""))</f>
        <v>DZELINSKA Júlia</v>
      </c>
      <c r="O2712" s="494"/>
      <c r="P2712" s="494"/>
      <c r="Q2712" s="494"/>
      <c r="R2712" s="494"/>
      <c r="S2712" s="495"/>
      <c r="T2712" s="263"/>
      <c r="U2712" s="263"/>
      <c r="V2712" s="263"/>
      <c r="W2712" s="267"/>
      <c r="X2712" s="263"/>
    </row>
    <row r="2713" spans="1:53" ht="39.950000000000003" customHeight="1">
      <c r="E2713" s="264" t="s">
        <v>27</v>
      </c>
      <c r="F2713" s="274" t="s">
        <v>373</v>
      </c>
      <c r="G2713" s="263"/>
      <c r="H2713" s="263"/>
      <c r="I2713" s="263"/>
      <c r="J2713" s="263"/>
      <c r="K2713" s="263"/>
      <c r="L2713" s="263"/>
      <c r="M2713" s="263"/>
      <c r="N2713" s="263"/>
      <c r="O2713" s="263"/>
      <c r="P2713" s="263"/>
      <c r="Q2713" s="263"/>
      <c r="R2713" s="263"/>
      <c r="S2713" s="263"/>
      <c r="T2713" s="263"/>
      <c r="U2713" s="263"/>
      <c r="V2713" s="263"/>
      <c r="W2713" s="267"/>
      <c r="X2713" s="263"/>
    </row>
    <row r="2714" spans="1:53" ht="39.950000000000003" customHeight="1">
      <c r="E2714" s="271"/>
      <c r="F2714" s="272"/>
      <c r="G2714" s="263"/>
      <c r="H2714" s="263" t="s">
        <v>33</v>
      </c>
      <c r="I2714" s="263"/>
      <c r="J2714" s="263"/>
      <c r="K2714" s="263"/>
      <c r="L2714" s="263"/>
      <c r="M2714" s="263"/>
      <c r="N2714" s="263"/>
      <c r="O2714" s="263"/>
      <c r="P2714" s="263"/>
      <c r="Q2714" s="263"/>
      <c r="R2714" s="263"/>
      <c r="S2714" s="263"/>
      <c r="T2714" s="263"/>
      <c r="U2714" s="263"/>
      <c r="V2714" s="263"/>
      <c r="W2714" s="267"/>
      <c r="X2714" s="263"/>
    </row>
    <row r="2715" spans="1:53" ht="39.950000000000003" customHeight="1">
      <c r="E2715" s="271"/>
      <c r="F2715" s="272"/>
      <c r="G2715" s="263"/>
      <c r="H2715" s="263"/>
      <c r="I2715" s="263"/>
      <c r="J2715" s="263"/>
      <c r="K2715" s="263"/>
      <c r="L2715" s="263"/>
      <c r="M2715" s="263"/>
      <c r="N2715" s="263"/>
      <c r="O2715" s="263"/>
      <c r="P2715" s="263"/>
      <c r="Q2715" s="263"/>
      <c r="R2715" s="263"/>
      <c r="S2715" s="263"/>
      <c r="T2715" s="263"/>
      <c r="U2715" s="263"/>
      <c r="V2715" s="263"/>
      <c r="W2715" s="267"/>
      <c r="X2715" s="263"/>
    </row>
    <row r="2716" spans="1:53" ht="39.950000000000003" customHeight="1">
      <c r="E2716" s="271"/>
      <c r="F2716" s="272"/>
      <c r="G2716" s="263"/>
      <c r="H2716" s="263"/>
      <c r="I2716" s="496" t="str">
        <f>I2704</f>
        <v>ĎANOVSKÝ Martin</v>
      </c>
      <c r="J2716" s="496"/>
      <c r="K2716" s="496"/>
      <c r="L2716" s="496"/>
      <c r="M2716" s="263"/>
      <c r="N2716" s="263"/>
      <c r="P2716" s="496" t="str">
        <f>I2707</f>
        <v>FEČO Samuel</v>
      </c>
      <c r="Q2716" s="496"/>
      <c r="R2716" s="496"/>
      <c r="S2716" s="496"/>
      <c r="T2716" s="497"/>
      <c r="U2716" s="497"/>
      <c r="V2716" s="263"/>
      <c r="W2716" s="267"/>
      <c r="X2716" s="263"/>
    </row>
    <row r="2717" spans="1:53" ht="39.950000000000003" customHeight="1">
      <c r="E2717" s="271"/>
      <c r="F2717" s="272"/>
      <c r="G2717" s="263"/>
      <c r="H2717" s="263"/>
      <c r="I2717" s="496" t="str">
        <f>I2705</f>
        <v>DIVINSKÁ Natália</v>
      </c>
      <c r="J2717" s="496"/>
      <c r="K2717" s="496"/>
      <c r="L2717" s="496"/>
      <c r="M2717" s="263"/>
      <c r="N2717" s="263"/>
      <c r="O2717" s="263"/>
      <c r="P2717" s="496" t="str">
        <f>I2708</f>
        <v>DZELINSKA Júlia</v>
      </c>
      <c r="Q2717" s="496"/>
      <c r="R2717" s="496"/>
      <c r="S2717" s="496"/>
      <c r="T2717" s="497"/>
      <c r="U2717" s="497"/>
      <c r="V2717" s="263"/>
      <c r="W2717" s="267"/>
      <c r="X2717" s="263"/>
    </row>
    <row r="2718" spans="1:53" ht="69.95" customHeight="1">
      <c r="E2718" s="264"/>
      <c r="F2718" s="265"/>
      <c r="G2718" s="263"/>
      <c r="H2718" s="275" t="s">
        <v>36</v>
      </c>
      <c r="I2718" s="483"/>
      <c r="J2718" s="484"/>
      <c r="K2718" s="484"/>
      <c r="L2718" s="485"/>
      <c r="M2718" s="263"/>
      <c r="N2718" s="263"/>
      <c r="O2718" s="275" t="s">
        <v>36</v>
      </c>
      <c r="P2718" s="486"/>
      <c r="Q2718" s="486"/>
      <c r="R2718" s="486"/>
      <c r="S2718" s="486"/>
      <c r="T2718" s="486"/>
      <c r="U2718" s="486"/>
      <c r="V2718" s="263"/>
      <c r="W2718" s="267"/>
      <c r="X2718" s="263"/>
    </row>
    <row r="2719" spans="1:53" ht="69.95" customHeight="1">
      <c r="E2719" s="264"/>
      <c r="F2719" s="265"/>
      <c r="G2719" s="263"/>
      <c r="H2719" s="275" t="s">
        <v>37</v>
      </c>
      <c r="I2719" s="486"/>
      <c r="J2719" s="486"/>
      <c r="K2719" s="486"/>
      <c r="L2719" s="486"/>
      <c r="M2719" s="263"/>
      <c r="N2719" s="263"/>
      <c r="O2719" s="275" t="s">
        <v>37</v>
      </c>
      <c r="P2719" s="486"/>
      <c r="Q2719" s="486"/>
      <c r="R2719" s="486"/>
      <c r="S2719" s="486"/>
      <c r="T2719" s="486"/>
      <c r="U2719" s="486"/>
      <c r="V2719" s="263"/>
      <c r="W2719" s="267"/>
      <c r="X2719" s="263"/>
    </row>
    <row r="2720" spans="1:53" ht="69.95" customHeight="1">
      <c r="E2720" s="264"/>
      <c r="F2720" s="265"/>
      <c r="G2720" s="263"/>
      <c r="H2720" s="275" t="s">
        <v>37</v>
      </c>
      <c r="I2720" s="486"/>
      <c r="J2720" s="486"/>
      <c r="K2720" s="486"/>
      <c r="L2720" s="486"/>
      <c r="M2720" s="263"/>
      <c r="N2720" s="263"/>
      <c r="O2720" s="275" t="s">
        <v>37</v>
      </c>
      <c r="P2720" s="486"/>
      <c r="Q2720" s="486"/>
      <c r="R2720" s="486"/>
      <c r="S2720" s="486"/>
      <c r="T2720" s="486"/>
      <c r="U2720" s="486"/>
      <c r="V2720" s="263"/>
      <c r="W2720" s="267"/>
      <c r="X2720" s="263"/>
    </row>
    <row r="2721" spans="1:53" ht="39.950000000000003" customHeight="1" thickBot="1">
      <c r="E2721" s="276"/>
      <c r="F2721" s="277"/>
      <c r="G2721" s="278"/>
      <c r="H2721" s="278"/>
      <c r="I2721" s="278"/>
      <c r="J2721" s="278"/>
      <c r="K2721" s="278"/>
      <c r="L2721" s="278"/>
      <c r="M2721" s="278"/>
      <c r="N2721" s="278"/>
      <c r="O2721" s="278"/>
      <c r="P2721" s="278"/>
      <c r="Q2721" s="278"/>
      <c r="R2721" s="278"/>
      <c r="S2721" s="278"/>
      <c r="T2721" s="279"/>
      <c r="U2721" s="279"/>
      <c r="V2721" s="279"/>
      <c r="W2721" s="280"/>
      <c r="X2721" s="263"/>
    </row>
    <row r="2722" spans="1:53" ht="62.25" thickBot="1"/>
    <row r="2723" spans="1:53" ht="39.950000000000003" customHeight="1">
      <c r="A2723" s="252" t="str">
        <f>CONCATENATE(F2730,F2732,F2734)</f>
        <v>MIXP27</v>
      </c>
      <c r="C2723" s="223"/>
      <c r="D2723" s="223"/>
      <c r="E2723" s="259" t="s">
        <v>70</v>
      </c>
      <c r="F2723" s="260">
        <f>VLOOKUP(CONCATENATE(A2723,1),'zoznam zapasov'!$A$6:$K$160,3,0)</f>
        <v>135</v>
      </c>
      <c r="G2723" s="261"/>
      <c r="H2723" s="322" t="s">
        <v>501</v>
      </c>
      <c r="I2723" s="261"/>
      <c r="J2723" s="261"/>
      <c r="K2723" s="261"/>
      <c r="L2723" s="261"/>
      <c r="M2723" s="261"/>
      <c r="N2723" s="261"/>
      <c r="O2723" s="261"/>
      <c r="P2723" s="261"/>
      <c r="Q2723" s="261"/>
      <c r="R2723" s="261"/>
      <c r="S2723" s="261"/>
      <c r="T2723" s="261"/>
      <c r="U2723" s="261"/>
      <c r="V2723" s="261" t="s">
        <v>30</v>
      </c>
      <c r="W2723" s="262"/>
      <c r="X2723" s="263"/>
      <c r="Y2723" s="253" t="str">
        <f>A2725</f>
        <v>MIXP271</v>
      </c>
      <c r="Z2723" s="258" t="str">
        <f>CONCATENATE(V2725,":",V2728)</f>
        <v>3:0</v>
      </c>
      <c r="AA2723" s="255" t="str">
        <f>IF(V2725&gt;V2728,B2725,IF(V2728&gt;V2725,B2728,""))</f>
        <v>PINDURA / ŠINKAROVÁ</v>
      </c>
      <c r="AB2723" s="255" t="str">
        <f>IF(V2725&gt;V2728,AV2723,IF(V2728&gt;V2725,AV2724,""))</f>
        <v xml:space="preserve">3:0 ( 7,6,9,,,, ) </v>
      </c>
      <c r="AC2723" s="255" t="str">
        <f>CONCATENATE("Tbl.: ",F2725,"   H: ",F2728,"   D: ",F2727)</f>
        <v>Tbl.: 6   H: 17.30   D: So</v>
      </c>
      <c r="AE2723" s="253" t="s">
        <v>11</v>
      </c>
      <c r="AV2723" s="256" t="str">
        <f>CONCATENATE(V2725,":",V2728, " ( ",AN2725,",",AO2725,",",AP2725,",",AQ2725,",",AR2725,",",AS2725,",",AT2725," ) ")</f>
        <v xml:space="preserve">3:0 ( 7,6,9,,,, ) </v>
      </c>
    </row>
    <row r="2724" spans="1:53" ht="39.950000000000003" customHeight="1">
      <c r="C2724" s="223"/>
      <c r="D2724" s="223"/>
      <c r="E2724" s="264"/>
      <c r="F2724" s="265"/>
      <c r="G2724" s="321" t="s">
        <v>500</v>
      </c>
      <c r="H2724" s="323" t="s">
        <v>502</v>
      </c>
      <c r="I2724" s="263"/>
      <c r="J2724" s="263"/>
      <c r="K2724" s="263"/>
      <c r="L2724" s="263"/>
      <c r="M2724" s="263"/>
      <c r="N2724" s="266">
        <v>1</v>
      </c>
      <c r="O2724" s="266">
        <v>2</v>
      </c>
      <c r="P2724" s="266">
        <v>3</v>
      </c>
      <c r="Q2724" s="266">
        <v>4</v>
      </c>
      <c r="R2724" s="266">
        <v>5</v>
      </c>
      <c r="S2724" s="266">
        <v>6</v>
      </c>
      <c r="T2724" s="266">
        <v>7</v>
      </c>
      <c r="U2724" s="263"/>
      <c r="V2724" s="266" t="s">
        <v>31</v>
      </c>
      <c r="W2724" s="267"/>
      <c r="X2724" s="263"/>
      <c r="AE2724" s="253" t="s">
        <v>68</v>
      </c>
      <c r="AV2724" s="256" t="str">
        <f>CONCATENATE(V2728,":",V2725, " ( ",AN2726,",",AO2726,",",AP2726,",",AQ2726,",",AR2726,",",AS2726,",",AT2726," ) ")</f>
        <v xml:space="preserve">0:3 ( -7,-6,-9,,,, ) </v>
      </c>
    </row>
    <row r="2725" spans="1:53" ht="39.950000000000003" customHeight="1">
      <c r="A2725" s="252" t="str">
        <f>CONCATENATE(A2723,1)</f>
        <v>MIXP271</v>
      </c>
      <c r="B2725" s="252" t="str">
        <f>VLOOKUP(A2725,'KO KODY SPOLU'!$A$3:$B$189,2,0)</f>
        <v>PINDURA / ŠINKAROVÁ</v>
      </c>
      <c r="C2725" s="223"/>
      <c r="D2725" s="223"/>
      <c r="E2725" s="264" t="s">
        <v>29</v>
      </c>
      <c r="F2725" s="265">
        <f>VLOOKUP(CONCATENATE(A2723,1),'zoznam zapasov'!$A$6:$K$160,11,0)</f>
        <v>6</v>
      </c>
      <c r="G2725" s="508"/>
      <c r="H2725" s="319"/>
      <c r="I2725" s="487" t="str">
        <f>IF(ISERROR(VLOOKUP(B2725,vylosovanie!$N$75:$Q$191,3,0))=TRUE," ",VLOOKUP(B2725,vylosovanie!$N$75:$Q$191,3,0))</f>
        <v>PINDURA Tobiáš</v>
      </c>
      <c r="J2725" s="488"/>
      <c r="K2725" s="488"/>
      <c r="L2725" s="488"/>
      <c r="M2725" s="263"/>
      <c r="N2725" s="489">
        <v>11</v>
      </c>
      <c r="O2725" s="489">
        <v>11</v>
      </c>
      <c r="P2725" s="489">
        <v>11</v>
      </c>
      <c r="Q2725" s="489"/>
      <c r="R2725" s="489"/>
      <c r="S2725" s="491"/>
      <c r="T2725" s="491"/>
      <c r="U2725" s="263"/>
      <c r="V2725" s="493">
        <f>IF(SUM(AF2725:AL2726)=0,"",SUM(AF2725:AL2725))</f>
        <v>3</v>
      </c>
      <c r="W2725" s="267"/>
      <c r="X2725" s="263"/>
      <c r="AE2725" s="253" t="str">
        <f>VLOOKUP(I2725,vylosovanie!$F$8:$L$190,7,0)</f>
        <v>CH41</v>
      </c>
      <c r="AF2725" s="268">
        <f>IF(N2725&gt;N2728,1,0)</f>
        <v>1</v>
      </c>
      <c r="AG2725" s="268">
        <f t="shared" ref="AG2725" si="2610">IF(O2725&gt;O2728,1,0)</f>
        <v>1</v>
      </c>
      <c r="AH2725" s="268">
        <f t="shared" ref="AH2725" si="2611">IF(P2725&gt;P2728,1,0)</f>
        <v>1</v>
      </c>
      <c r="AI2725" s="268">
        <f t="shared" ref="AI2725" si="2612">IF(Q2725&gt;Q2728,1,0)</f>
        <v>0</v>
      </c>
      <c r="AJ2725" s="268">
        <f t="shared" ref="AJ2725" si="2613">IF(R2725&gt;R2728,1,0)</f>
        <v>0</v>
      </c>
      <c r="AK2725" s="268">
        <f t="shared" ref="AK2725" si="2614">IF(S2725&gt;S2728,1,0)</f>
        <v>0</v>
      </c>
      <c r="AL2725" s="268">
        <f t="shared" ref="AL2725" si="2615">IF(T2725&gt;T2728,1,0)</f>
        <v>0</v>
      </c>
      <c r="AN2725" s="268">
        <f t="shared" ref="AN2725" si="2616">IF(ISBLANK(N2725)=TRUE,"",IF(AF2725=1,N2728,-N2725))</f>
        <v>7</v>
      </c>
      <c r="AO2725" s="268">
        <f t="shared" ref="AO2725" si="2617">IF(ISBLANK(O2725)=TRUE,"",IF(AG2725=1,O2728,-O2725))</f>
        <v>6</v>
      </c>
      <c r="AP2725" s="268">
        <f t="shared" ref="AP2725" si="2618">IF(ISBLANK(P2725)=TRUE,"",IF(AH2725=1,P2728,-P2725))</f>
        <v>9</v>
      </c>
      <c r="AQ2725" s="268" t="str">
        <f t="shared" ref="AQ2725" si="2619">IF(ISBLANK(Q2725)=TRUE,"",IF(AI2725=1,Q2728,-Q2725))</f>
        <v/>
      </c>
      <c r="AR2725" s="268" t="str">
        <f t="shared" ref="AR2725" si="2620">IF(ISBLANK(R2725)=TRUE,"",IF(AJ2725=1,R2728,-R2725))</f>
        <v/>
      </c>
      <c r="AS2725" s="268" t="str">
        <f t="shared" ref="AS2725" si="2621">IF(ISBLANK(S2725)=TRUE,"",IF(AK2725=1,S2728,-S2725))</f>
        <v/>
      </c>
      <c r="AT2725" s="268" t="str">
        <f t="shared" ref="AT2725" si="2622">IF(ISBLANK(T2725)=TRUE,"",IF(AL2725=1,T2728,-T2725))</f>
        <v/>
      </c>
      <c r="AZ2725" s="269" t="s">
        <v>12</v>
      </c>
      <c r="BA2725" s="269">
        <v>1</v>
      </c>
    </row>
    <row r="2726" spans="1:53" ht="39.950000000000003" customHeight="1">
      <c r="C2726" s="223"/>
      <c r="D2726" s="223"/>
      <c r="E2726" s="264"/>
      <c r="F2726" s="265"/>
      <c r="G2726" s="509"/>
      <c r="H2726" s="319"/>
      <c r="I2726" s="487" t="str">
        <f>IF(ISERROR(VLOOKUP(B2725,vylosovanie!$N$75:$Q$191,3,0))=TRUE," ",VLOOKUP(B2725,vylosovanie!$N$75:$Q$191,4,0))</f>
        <v>ŠINKAROVÁ Dáša</v>
      </c>
      <c r="J2726" s="488"/>
      <c r="K2726" s="488"/>
      <c r="L2726" s="488"/>
      <c r="M2726" s="263"/>
      <c r="N2726" s="490"/>
      <c r="O2726" s="490"/>
      <c r="P2726" s="490"/>
      <c r="Q2726" s="490"/>
      <c r="R2726" s="490"/>
      <c r="S2726" s="492"/>
      <c r="T2726" s="492"/>
      <c r="U2726" s="263"/>
      <c r="V2726" s="493"/>
      <c r="W2726" s="267"/>
      <c r="X2726" s="263"/>
      <c r="AE2726" s="253" t="str">
        <f>VLOOKUP(I2728,vylosovanie!$F$8:$L$190,7,0)</f>
        <v>CH71</v>
      </c>
      <c r="AF2726" s="268">
        <f>IF(N2728&gt;N2725,1,0)</f>
        <v>0</v>
      </c>
      <c r="AG2726" s="268">
        <f t="shared" ref="AG2726" si="2623">IF(O2728&gt;O2725,1,0)</f>
        <v>0</v>
      </c>
      <c r="AH2726" s="268">
        <f t="shared" ref="AH2726" si="2624">IF(P2728&gt;P2725,1,0)</f>
        <v>0</v>
      </c>
      <c r="AI2726" s="268">
        <f t="shared" ref="AI2726" si="2625">IF(Q2728&gt;Q2725,1,0)</f>
        <v>0</v>
      </c>
      <c r="AJ2726" s="268">
        <f t="shared" ref="AJ2726" si="2626">IF(R2728&gt;R2725,1,0)</f>
        <v>0</v>
      </c>
      <c r="AK2726" s="268">
        <f t="shared" ref="AK2726" si="2627">IF(S2728&gt;S2725,1,0)</f>
        <v>0</v>
      </c>
      <c r="AL2726" s="268">
        <f t="shared" ref="AL2726" si="2628">IF(T2728&gt;T2725,1,0)</f>
        <v>0</v>
      </c>
      <c r="AN2726" s="268">
        <f t="shared" ref="AN2726" si="2629">IF(ISBLANK(N2728)=TRUE,"",IF(AF2726=1,N2725,-N2728))</f>
        <v>-7</v>
      </c>
      <c r="AO2726" s="268">
        <f t="shared" ref="AO2726" si="2630">IF(ISBLANK(O2728)=TRUE,"",IF(AG2726=1,O2725,-O2728))</f>
        <v>-6</v>
      </c>
      <c r="AP2726" s="268">
        <f t="shared" ref="AP2726" si="2631">IF(ISBLANK(P2728)=TRUE,"",IF(AH2726=1,P2725,-P2728))</f>
        <v>-9</v>
      </c>
      <c r="AQ2726" s="268" t="str">
        <f t="shared" ref="AQ2726" si="2632">IF(ISBLANK(Q2728)=TRUE,"",IF(AI2726=1,Q2725,-Q2728))</f>
        <v/>
      </c>
      <c r="AR2726" s="268" t="str">
        <f t="shared" ref="AR2726" si="2633">IF(ISBLANK(R2728)=TRUE,"",IF(AJ2726=1,R2725,-R2728))</f>
        <v/>
      </c>
      <c r="AS2726" s="268" t="str">
        <f t="shared" ref="AS2726" si="2634">IF(ISBLANK(S2728)=TRUE,"",IF(AK2726=1,S2725,-S2728))</f>
        <v/>
      </c>
      <c r="AT2726" s="268" t="str">
        <f t="shared" ref="AT2726" si="2635">IF(ISBLANK(T2728)=TRUE,"",IF(AL2726=1,T2725,-T2728))</f>
        <v/>
      </c>
      <c r="AZ2726" s="269" t="s">
        <v>18</v>
      </c>
      <c r="BA2726" s="269">
        <v>2</v>
      </c>
    </row>
    <row r="2727" spans="1:53" ht="39.950000000000003" customHeight="1">
      <c r="C2727" s="223"/>
      <c r="D2727" s="223"/>
      <c r="E2727" s="264" t="s">
        <v>35</v>
      </c>
      <c r="F2727" s="265" t="str">
        <f>VLOOKUP(CONCATENATE(A2723,1),'zoznam zapasov'!$A$6:$K$160,9,0)</f>
        <v>So</v>
      </c>
      <c r="G2727" s="263"/>
      <c r="H2727" s="263"/>
      <c r="I2727" s="263"/>
      <c r="J2727" s="263"/>
      <c r="K2727" s="263"/>
      <c r="L2727" s="263"/>
      <c r="M2727" s="263"/>
      <c r="N2727" s="263"/>
      <c r="O2727" s="263"/>
      <c r="P2727" s="263"/>
      <c r="Q2727" s="263"/>
      <c r="R2727" s="263"/>
      <c r="S2727" s="263"/>
      <c r="T2727" s="263"/>
      <c r="U2727" s="263"/>
      <c r="V2727" s="263"/>
      <c r="W2727" s="267"/>
      <c r="X2727" s="263"/>
      <c r="AZ2727" s="269" t="s">
        <v>38</v>
      </c>
      <c r="BA2727" s="269">
        <v>3</v>
      </c>
    </row>
    <row r="2728" spans="1:53" ht="39.950000000000003" customHeight="1">
      <c r="A2728" s="252" t="str">
        <f>CONCATENATE(A2723,2)</f>
        <v>MIXP272</v>
      </c>
      <c r="B2728" s="252" t="str">
        <f>VLOOKUP(A2728,'KO KODY SPOLU'!$A$3:$B$189,2,0)</f>
        <v>TUREK / DZUROVÁ</v>
      </c>
      <c r="C2728" s="223"/>
      <c r="D2728" s="223"/>
      <c r="E2728" s="264" t="s">
        <v>28</v>
      </c>
      <c r="F2728" s="270" t="str">
        <f>VLOOKUP(CONCATENATE(A2723,1),'zoznam zapasov'!$A$6:$K$160,10,0)</f>
        <v>17.30</v>
      </c>
      <c r="G2728" s="508"/>
      <c r="H2728" s="319"/>
      <c r="I2728" s="487" t="str">
        <f>IF(ISERROR(VLOOKUP(B2728,vylosovanie!$N$75:$Q$191,3,0))=TRUE," ",VLOOKUP(B2728,vylosovanie!$N$75:$Q$191,3,0))</f>
        <v>TUREK Teodor</v>
      </c>
      <c r="J2728" s="488"/>
      <c r="K2728" s="488"/>
      <c r="L2728" s="488"/>
      <c r="M2728" s="263"/>
      <c r="N2728" s="489">
        <v>7</v>
      </c>
      <c r="O2728" s="489">
        <v>6</v>
      </c>
      <c r="P2728" s="489">
        <v>9</v>
      </c>
      <c r="Q2728" s="489"/>
      <c r="R2728" s="489"/>
      <c r="S2728" s="491"/>
      <c r="T2728" s="491"/>
      <c r="U2728" s="263"/>
      <c r="V2728" s="493">
        <f>IF(SUM(AF2725:AL2726)=0,"",SUM(AF2726:AL2726))</f>
        <v>0</v>
      </c>
      <c r="W2728" s="267"/>
      <c r="X2728" s="263"/>
      <c r="AZ2728" s="269" t="s">
        <v>39</v>
      </c>
      <c r="BA2728" s="269">
        <v>4</v>
      </c>
    </row>
    <row r="2729" spans="1:53" ht="39.950000000000003" customHeight="1">
      <c r="C2729" s="223"/>
      <c r="D2729" s="223"/>
      <c r="E2729" s="271"/>
      <c r="F2729" s="272"/>
      <c r="G2729" s="509"/>
      <c r="H2729" s="319"/>
      <c r="I2729" s="487" t="str">
        <f>IF(ISERROR(VLOOKUP(B2728,vylosovanie!$N$75:$Q$191,3,0))=TRUE," ",VLOOKUP(B2728,vylosovanie!$N$75:$Q$191,4,0))</f>
        <v>DZUROVÁ Lenka</v>
      </c>
      <c r="J2729" s="488"/>
      <c r="K2729" s="488"/>
      <c r="L2729" s="488"/>
      <c r="M2729" s="263"/>
      <c r="N2729" s="490"/>
      <c r="O2729" s="490"/>
      <c r="P2729" s="490"/>
      <c r="Q2729" s="490"/>
      <c r="R2729" s="490"/>
      <c r="S2729" s="492"/>
      <c r="T2729" s="492"/>
      <c r="U2729" s="263"/>
      <c r="V2729" s="493"/>
      <c r="W2729" s="267"/>
      <c r="X2729" s="263"/>
      <c r="AZ2729" s="269" t="s">
        <v>40</v>
      </c>
      <c r="BA2729" s="269">
        <v>5</v>
      </c>
    </row>
    <row r="2730" spans="1:53" ht="39.950000000000003" customHeight="1">
      <c r="C2730" s="223"/>
      <c r="D2730" s="223"/>
      <c r="E2730" s="264" t="s">
        <v>66</v>
      </c>
      <c r="F2730" s="265" t="s">
        <v>316</v>
      </c>
      <c r="G2730" s="263"/>
      <c r="H2730" s="263"/>
      <c r="I2730" s="263"/>
      <c r="J2730" s="263"/>
      <c r="K2730" s="263"/>
      <c r="L2730" s="263"/>
      <c r="M2730" s="263"/>
      <c r="N2730" s="263"/>
      <c r="O2730" s="263"/>
      <c r="P2730" s="263"/>
      <c r="Q2730" s="263"/>
      <c r="R2730" s="263"/>
      <c r="S2730" s="263"/>
      <c r="T2730" s="263"/>
      <c r="U2730" s="263"/>
      <c r="V2730" s="263"/>
      <c r="W2730" s="267"/>
      <c r="X2730" s="263"/>
      <c r="AZ2730" s="269" t="s">
        <v>41</v>
      </c>
      <c r="BA2730" s="269">
        <v>6</v>
      </c>
    </row>
    <row r="2731" spans="1:53" ht="39.950000000000003" customHeight="1">
      <c r="C2731" s="223"/>
      <c r="D2731" s="223"/>
      <c r="E2731" s="271"/>
      <c r="F2731" s="272"/>
      <c r="G2731" s="263"/>
      <c r="H2731" s="263"/>
      <c r="I2731" s="263" t="s">
        <v>32</v>
      </c>
      <c r="J2731" s="263"/>
      <c r="K2731" s="263"/>
      <c r="L2731" s="263"/>
      <c r="M2731" s="263"/>
      <c r="N2731" s="273"/>
      <c r="O2731" s="266"/>
      <c r="P2731" s="266" t="s">
        <v>34</v>
      </c>
      <c r="Q2731" s="266"/>
      <c r="R2731" s="266"/>
      <c r="S2731" s="266"/>
      <c r="T2731" s="266"/>
      <c r="U2731" s="263"/>
      <c r="V2731" s="263"/>
      <c r="W2731" s="267"/>
      <c r="X2731" s="263"/>
      <c r="AZ2731" s="269" t="s">
        <v>42</v>
      </c>
      <c r="BA2731" s="269">
        <v>7</v>
      </c>
    </row>
    <row r="2732" spans="1:53" ht="39.950000000000003" customHeight="1">
      <c r="E2732" s="264" t="s">
        <v>26</v>
      </c>
      <c r="F2732" s="265" t="s">
        <v>128</v>
      </c>
      <c r="G2732" s="263"/>
      <c r="H2732" s="263"/>
      <c r="I2732" s="486"/>
      <c r="J2732" s="486"/>
      <c r="K2732" s="486"/>
      <c r="L2732" s="486"/>
      <c r="M2732" s="263"/>
      <c r="N2732" s="483" t="str">
        <f>IF(V2725&gt;V2728,I2725,IF(V2728&gt;V2725,I2728,""))</f>
        <v>PINDURA Tobiáš</v>
      </c>
      <c r="O2732" s="494"/>
      <c r="P2732" s="494"/>
      <c r="Q2732" s="494"/>
      <c r="R2732" s="494"/>
      <c r="S2732" s="495"/>
      <c r="T2732" s="263"/>
      <c r="U2732" s="263"/>
      <c r="V2732" s="263"/>
      <c r="W2732" s="267"/>
      <c r="X2732" s="263"/>
      <c r="AZ2732" s="269" t="s">
        <v>43</v>
      </c>
      <c r="BA2732" s="269">
        <v>8</v>
      </c>
    </row>
    <row r="2733" spans="1:53" ht="39.950000000000003" customHeight="1">
      <c r="E2733" s="271"/>
      <c r="F2733" s="272"/>
      <c r="G2733" s="263"/>
      <c r="H2733" s="263"/>
      <c r="I2733" s="486"/>
      <c r="J2733" s="486"/>
      <c r="K2733" s="486"/>
      <c r="L2733" s="486"/>
      <c r="M2733" s="263"/>
      <c r="N2733" s="483" t="str">
        <f>IF(V2725&gt;V2728,I2726,IF(V2728&gt;V2725,I2729,""))</f>
        <v>ŠINKAROVÁ Dáša</v>
      </c>
      <c r="O2733" s="494"/>
      <c r="P2733" s="494"/>
      <c r="Q2733" s="494"/>
      <c r="R2733" s="494"/>
      <c r="S2733" s="495"/>
      <c r="T2733" s="263"/>
      <c r="U2733" s="263"/>
      <c r="V2733" s="263"/>
      <c r="W2733" s="267"/>
      <c r="X2733" s="263"/>
    </row>
    <row r="2734" spans="1:53" ht="39.950000000000003" customHeight="1">
      <c r="E2734" s="264" t="s">
        <v>27</v>
      </c>
      <c r="F2734" s="274" t="s">
        <v>374</v>
      </c>
      <c r="G2734" s="263"/>
      <c r="H2734" s="263"/>
      <c r="I2734" s="263"/>
      <c r="J2734" s="263"/>
      <c r="K2734" s="263"/>
      <c r="L2734" s="263"/>
      <c r="M2734" s="263"/>
      <c r="N2734" s="263"/>
      <c r="O2734" s="263"/>
      <c r="P2734" s="263"/>
      <c r="Q2734" s="263"/>
      <c r="R2734" s="263"/>
      <c r="S2734" s="263"/>
      <c r="T2734" s="263"/>
      <c r="U2734" s="263"/>
      <c r="V2734" s="263"/>
      <c r="W2734" s="267"/>
      <c r="X2734" s="263"/>
    </row>
    <row r="2735" spans="1:53" ht="39.950000000000003" customHeight="1">
      <c r="E2735" s="271"/>
      <c r="F2735" s="272"/>
      <c r="G2735" s="263"/>
      <c r="H2735" s="263" t="s">
        <v>33</v>
      </c>
      <c r="I2735" s="263"/>
      <c r="J2735" s="263"/>
      <c r="K2735" s="263"/>
      <c r="L2735" s="263"/>
      <c r="M2735" s="263"/>
      <c r="N2735" s="263"/>
      <c r="O2735" s="263"/>
      <c r="P2735" s="263"/>
      <c r="Q2735" s="263"/>
      <c r="R2735" s="263"/>
      <c r="S2735" s="263"/>
      <c r="T2735" s="263"/>
      <c r="U2735" s="263"/>
      <c r="V2735" s="263"/>
      <c r="W2735" s="267"/>
      <c r="X2735" s="263"/>
    </row>
    <row r="2736" spans="1:53" ht="39.950000000000003" customHeight="1">
      <c r="E2736" s="271"/>
      <c r="F2736" s="272"/>
      <c r="G2736" s="263"/>
      <c r="H2736" s="263"/>
      <c r="I2736" s="263"/>
      <c r="J2736" s="263"/>
      <c r="K2736" s="263"/>
      <c r="L2736" s="263"/>
      <c r="M2736" s="263"/>
      <c r="N2736" s="263"/>
      <c r="O2736" s="263"/>
      <c r="P2736" s="263"/>
      <c r="Q2736" s="263"/>
      <c r="R2736" s="263"/>
      <c r="S2736" s="263"/>
      <c r="T2736" s="263"/>
      <c r="U2736" s="263"/>
      <c r="V2736" s="263"/>
      <c r="W2736" s="267"/>
      <c r="X2736" s="263"/>
    </row>
    <row r="2737" spans="1:53" ht="39.950000000000003" customHeight="1">
      <c r="E2737" s="271"/>
      <c r="F2737" s="272"/>
      <c r="G2737" s="263"/>
      <c r="H2737" s="263"/>
      <c r="I2737" s="496" t="str">
        <f>I2725</f>
        <v>PINDURA Tobiáš</v>
      </c>
      <c r="J2737" s="496"/>
      <c r="K2737" s="496"/>
      <c r="L2737" s="496"/>
      <c r="M2737" s="263"/>
      <c r="N2737" s="263"/>
      <c r="P2737" s="496" t="str">
        <f>I2728</f>
        <v>TUREK Teodor</v>
      </c>
      <c r="Q2737" s="496"/>
      <c r="R2737" s="496"/>
      <c r="S2737" s="496"/>
      <c r="T2737" s="497"/>
      <c r="U2737" s="497"/>
      <c r="V2737" s="263"/>
      <c r="W2737" s="267"/>
      <c r="X2737" s="263"/>
    </row>
    <row r="2738" spans="1:53" ht="39.950000000000003" customHeight="1">
      <c r="E2738" s="271"/>
      <c r="F2738" s="272"/>
      <c r="G2738" s="263"/>
      <c r="H2738" s="263"/>
      <c r="I2738" s="496" t="str">
        <f>I2726</f>
        <v>ŠINKAROVÁ Dáša</v>
      </c>
      <c r="J2738" s="496"/>
      <c r="K2738" s="496"/>
      <c r="L2738" s="496"/>
      <c r="M2738" s="263"/>
      <c r="N2738" s="263"/>
      <c r="O2738" s="263"/>
      <c r="P2738" s="496" t="str">
        <f>I2729</f>
        <v>DZUROVÁ Lenka</v>
      </c>
      <c r="Q2738" s="496"/>
      <c r="R2738" s="496"/>
      <c r="S2738" s="496"/>
      <c r="T2738" s="497"/>
      <c r="U2738" s="497"/>
      <c r="V2738" s="263"/>
      <c r="W2738" s="267"/>
      <c r="X2738" s="263"/>
    </row>
    <row r="2739" spans="1:53" ht="69.95" customHeight="1">
      <c r="E2739" s="264"/>
      <c r="F2739" s="265"/>
      <c r="G2739" s="263"/>
      <c r="H2739" s="275" t="s">
        <v>36</v>
      </c>
      <c r="I2739" s="483"/>
      <c r="J2739" s="484"/>
      <c r="K2739" s="484"/>
      <c r="L2739" s="485"/>
      <c r="M2739" s="263"/>
      <c r="N2739" s="263"/>
      <c r="O2739" s="275" t="s">
        <v>36</v>
      </c>
      <c r="P2739" s="486"/>
      <c r="Q2739" s="486"/>
      <c r="R2739" s="486"/>
      <c r="S2739" s="486"/>
      <c r="T2739" s="486"/>
      <c r="U2739" s="486"/>
      <c r="V2739" s="263"/>
      <c r="W2739" s="267"/>
      <c r="X2739" s="263"/>
    </row>
    <row r="2740" spans="1:53" ht="69.95" customHeight="1">
      <c r="E2740" s="264"/>
      <c r="F2740" s="265"/>
      <c r="G2740" s="263"/>
      <c r="H2740" s="275" t="s">
        <v>37</v>
      </c>
      <c r="I2740" s="486"/>
      <c r="J2740" s="486"/>
      <c r="K2740" s="486"/>
      <c r="L2740" s="486"/>
      <c r="M2740" s="263"/>
      <c r="N2740" s="263"/>
      <c r="O2740" s="275" t="s">
        <v>37</v>
      </c>
      <c r="P2740" s="486"/>
      <c r="Q2740" s="486"/>
      <c r="R2740" s="486"/>
      <c r="S2740" s="486"/>
      <c r="T2740" s="486"/>
      <c r="U2740" s="486"/>
      <c r="V2740" s="263"/>
      <c r="W2740" s="267"/>
      <c r="X2740" s="263"/>
    </row>
    <row r="2741" spans="1:53" ht="69.95" customHeight="1">
      <c r="E2741" s="264"/>
      <c r="F2741" s="265"/>
      <c r="G2741" s="263"/>
      <c r="H2741" s="275" t="s">
        <v>37</v>
      </c>
      <c r="I2741" s="486"/>
      <c r="J2741" s="486"/>
      <c r="K2741" s="486"/>
      <c r="L2741" s="486"/>
      <c r="M2741" s="263"/>
      <c r="N2741" s="263"/>
      <c r="O2741" s="275" t="s">
        <v>37</v>
      </c>
      <c r="P2741" s="486"/>
      <c r="Q2741" s="486"/>
      <c r="R2741" s="486"/>
      <c r="S2741" s="486"/>
      <c r="T2741" s="486"/>
      <c r="U2741" s="486"/>
      <c r="V2741" s="263"/>
      <c r="W2741" s="267"/>
      <c r="X2741" s="263"/>
    </row>
    <row r="2742" spans="1:53" ht="39.950000000000003" customHeight="1" thickBot="1">
      <c r="E2742" s="276"/>
      <c r="F2742" s="277"/>
      <c r="G2742" s="278"/>
      <c r="H2742" s="278"/>
      <c r="I2742" s="278"/>
      <c r="J2742" s="278"/>
      <c r="K2742" s="278"/>
      <c r="L2742" s="278"/>
      <c r="M2742" s="278"/>
      <c r="N2742" s="278"/>
      <c r="O2742" s="278"/>
      <c r="P2742" s="278"/>
      <c r="Q2742" s="278"/>
      <c r="R2742" s="278"/>
      <c r="S2742" s="278"/>
      <c r="T2742" s="279"/>
      <c r="U2742" s="279"/>
      <c r="V2742" s="279"/>
      <c r="W2742" s="280"/>
      <c r="X2742" s="263"/>
    </row>
    <row r="2743" spans="1:53" ht="62.25" thickBot="1"/>
    <row r="2744" spans="1:53" ht="39.950000000000003" customHeight="1">
      <c r="A2744" s="252" t="str">
        <f>CONCATENATE(F2751,F2753,F2755)</f>
        <v>MIXP28</v>
      </c>
      <c r="C2744" s="223"/>
      <c r="D2744" s="223"/>
      <c r="E2744" s="259" t="s">
        <v>70</v>
      </c>
      <c r="F2744" s="260">
        <f>VLOOKUP(CONCATENATE(A2744,1),'zoznam zapasov'!$A$6:$K$160,3,0)</f>
        <v>136</v>
      </c>
      <c r="G2744" s="261"/>
      <c r="H2744" s="322" t="s">
        <v>501</v>
      </c>
      <c r="I2744" s="261"/>
      <c r="J2744" s="261"/>
      <c r="K2744" s="261"/>
      <c r="L2744" s="261"/>
      <c r="M2744" s="261"/>
      <c r="N2744" s="261"/>
      <c r="O2744" s="261"/>
      <c r="P2744" s="261"/>
      <c r="Q2744" s="261"/>
      <c r="R2744" s="261"/>
      <c r="S2744" s="261"/>
      <c r="T2744" s="261"/>
      <c r="U2744" s="261"/>
      <c r="V2744" s="261" t="s">
        <v>30</v>
      </c>
      <c r="W2744" s="262"/>
      <c r="X2744" s="263"/>
      <c r="Y2744" s="253" t="str">
        <f>A2746</f>
        <v>MIXP281</v>
      </c>
      <c r="Z2744" s="258" t="str">
        <f>CONCATENATE(V2746,":",V2749)</f>
        <v>0:3</v>
      </c>
      <c r="AA2744" s="255" t="str">
        <f>IF(V2746&gt;V2749,B2746,IF(V2749&gt;V2746,B2749,""))</f>
        <v>DIKO / PEKOVÁ</v>
      </c>
      <c r="AB2744" s="255" t="str">
        <f>IF(V2746&gt;V2749,AV2744,IF(V2749&gt;V2746,AV2745,""))</f>
        <v xml:space="preserve">3:0 ( 3,4,7,,,, ) </v>
      </c>
      <c r="AC2744" s="255" t="str">
        <f>CONCATENATE("Tbl.: ",F2746,"   H: ",F2749,"   D: ",F2748)</f>
        <v>Tbl.: 8   H: 17.30   D: So</v>
      </c>
      <c r="AE2744" s="253" t="s">
        <v>11</v>
      </c>
      <c r="AV2744" s="256" t="str">
        <f>CONCATENATE(V2746,":",V2749, " ( ",AN2746,",",AO2746,",",AP2746,",",AQ2746,",",AR2746,",",AS2746,",",AT2746," ) ")</f>
        <v xml:space="preserve">0:3 ( -3,-4,-7,,,, ) </v>
      </c>
    </row>
    <row r="2745" spans="1:53" ht="39.950000000000003" customHeight="1">
      <c r="C2745" s="223"/>
      <c r="D2745" s="223"/>
      <c r="E2745" s="264"/>
      <c r="F2745" s="265"/>
      <c r="G2745" s="321" t="s">
        <v>500</v>
      </c>
      <c r="H2745" s="323" t="s">
        <v>502</v>
      </c>
      <c r="I2745" s="263"/>
      <c r="J2745" s="263"/>
      <c r="K2745" s="263"/>
      <c r="L2745" s="263"/>
      <c r="M2745" s="263"/>
      <c r="N2745" s="266">
        <v>1</v>
      </c>
      <c r="O2745" s="266">
        <v>2</v>
      </c>
      <c r="P2745" s="266">
        <v>3</v>
      </c>
      <c r="Q2745" s="266">
        <v>4</v>
      </c>
      <c r="R2745" s="266">
        <v>5</v>
      </c>
      <c r="S2745" s="266">
        <v>6</v>
      </c>
      <c r="T2745" s="266">
        <v>7</v>
      </c>
      <c r="U2745" s="263"/>
      <c r="V2745" s="266" t="s">
        <v>31</v>
      </c>
      <c r="W2745" s="267"/>
      <c r="X2745" s="263"/>
      <c r="AE2745" s="253" t="s">
        <v>68</v>
      </c>
      <c r="AV2745" s="256" t="str">
        <f>CONCATENATE(V2749,":",V2746, " ( ",AN2747,",",AO2747,",",AP2747,",",AQ2747,",",AR2747,",",AS2747,",",AT2747," ) ")</f>
        <v xml:space="preserve">3:0 ( 3,4,7,,,, ) </v>
      </c>
    </row>
    <row r="2746" spans="1:53" ht="39.950000000000003" customHeight="1">
      <c r="A2746" s="252" t="str">
        <f>CONCATENATE(A2744,1)</f>
        <v>MIXP281</v>
      </c>
      <c r="B2746" s="252" t="str">
        <f>VLOOKUP(A2746,'KO KODY SPOLU'!$A$3:$B$189,2,0)</f>
        <v>PETRÍK / PAPCUNOVÁ</v>
      </c>
      <c r="C2746" s="223"/>
      <c r="D2746" s="223"/>
      <c r="E2746" s="264" t="s">
        <v>29</v>
      </c>
      <c r="F2746" s="265">
        <f>VLOOKUP(CONCATENATE(A2744,1),'zoznam zapasov'!$A$6:$K$160,11,0)</f>
        <v>8</v>
      </c>
      <c r="G2746" s="508"/>
      <c r="H2746" s="319"/>
      <c r="I2746" s="487" t="str">
        <f>IF(ISERROR(VLOOKUP(B2746,vylosovanie!$N$75:$Q$191,3,0))=TRUE," ",VLOOKUP(B2746,vylosovanie!$N$75:$Q$191,3,0))</f>
        <v>PETRÍK Filip</v>
      </c>
      <c r="J2746" s="488"/>
      <c r="K2746" s="488"/>
      <c r="L2746" s="488"/>
      <c r="M2746" s="263"/>
      <c r="N2746" s="489">
        <v>3</v>
      </c>
      <c r="O2746" s="489">
        <v>4</v>
      </c>
      <c r="P2746" s="489">
        <v>7</v>
      </c>
      <c r="Q2746" s="489"/>
      <c r="R2746" s="489"/>
      <c r="S2746" s="491"/>
      <c r="T2746" s="491"/>
      <c r="U2746" s="263"/>
      <c r="V2746" s="493">
        <f>IF(SUM(AF2746:AL2747)=0,"",SUM(AF2746:AL2746))</f>
        <v>0</v>
      </c>
      <c r="W2746" s="267"/>
      <c r="X2746" s="263"/>
      <c r="AE2746" s="253" t="str">
        <f>VLOOKUP(I2746,vylosovanie!$F$8:$L$190,7,0)</f>
        <v>CH51</v>
      </c>
      <c r="AF2746" s="268">
        <f>IF(N2746&gt;N2749,1,0)</f>
        <v>0</v>
      </c>
      <c r="AG2746" s="268">
        <f t="shared" ref="AG2746" si="2636">IF(O2746&gt;O2749,1,0)</f>
        <v>0</v>
      </c>
      <c r="AH2746" s="268">
        <f t="shared" ref="AH2746" si="2637">IF(P2746&gt;P2749,1,0)</f>
        <v>0</v>
      </c>
      <c r="AI2746" s="268">
        <f t="shared" ref="AI2746" si="2638">IF(Q2746&gt;Q2749,1,0)</f>
        <v>0</v>
      </c>
      <c r="AJ2746" s="268">
        <f t="shared" ref="AJ2746" si="2639">IF(R2746&gt;R2749,1,0)</f>
        <v>0</v>
      </c>
      <c r="AK2746" s="268">
        <f t="shared" ref="AK2746" si="2640">IF(S2746&gt;S2749,1,0)</f>
        <v>0</v>
      </c>
      <c r="AL2746" s="268">
        <f t="shared" ref="AL2746" si="2641">IF(T2746&gt;T2749,1,0)</f>
        <v>0</v>
      </c>
      <c r="AN2746" s="268">
        <f t="shared" ref="AN2746" si="2642">IF(ISBLANK(N2746)=TRUE,"",IF(AF2746=1,N2749,-N2746))</f>
        <v>-3</v>
      </c>
      <c r="AO2746" s="268">
        <f t="shared" ref="AO2746" si="2643">IF(ISBLANK(O2746)=TRUE,"",IF(AG2746=1,O2749,-O2746))</f>
        <v>-4</v>
      </c>
      <c r="AP2746" s="268">
        <f t="shared" ref="AP2746" si="2644">IF(ISBLANK(P2746)=TRUE,"",IF(AH2746=1,P2749,-P2746))</f>
        <v>-7</v>
      </c>
      <c r="AQ2746" s="268" t="str">
        <f t="shared" ref="AQ2746" si="2645">IF(ISBLANK(Q2746)=TRUE,"",IF(AI2746=1,Q2749,-Q2746))</f>
        <v/>
      </c>
      <c r="AR2746" s="268" t="str">
        <f t="shared" ref="AR2746" si="2646">IF(ISBLANK(R2746)=TRUE,"",IF(AJ2746=1,R2749,-R2746))</f>
        <v/>
      </c>
      <c r="AS2746" s="268" t="str">
        <f t="shared" ref="AS2746" si="2647">IF(ISBLANK(S2746)=TRUE,"",IF(AK2746=1,S2749,-S2746))</f>
        <v/>
      </c>
      <c r="AT2746" s="268" t="str">
        <f t="shared" ref="AT2746" si="2648">IF(ISBLANK(T2746)=TRUE,"",IF(AL2746=1,T2749,-T2746))</f>
        <v/>
      </c>
      <c r="AZ2746" s="269" t="s">
        <v>12</v>
      </c>
      <c r="BA2746" s="269">
        <v>1</v>
      </c>
    </row>
    <row r="2747" spans="1:53" ht="39.950000000000003" customHeight="1">
      <c r="C2747" s="223"/>
      <c r="D2747" s="223"/>
      <c r="E2747" s="264"/>
      <c r="F2747" s="265"/>
      <c r="G2747" s="509"/>
      <c r="H2747" s="319"/>
      <c r="I2747" s="487" t="str">
        <f>IF(ISERROR(VLOOKUP(B2746,vylosovanie!$N$75:$Q$191,3,0))=TRUE," ",VLOOKUP(B2746,vylosovanie!$N$75:$Q$191,4,0))</f>
        <v>PAPCUNOVÁ Viktória</v>
      </c>
      <c r="J2747" s="488"/>
      <c r="K2747" s="488"/>
      <c r="L2747" s="488"/>
      <c r="M2747" s="263"/>
      <c r="N2747" s="490"/>
      <c r="O2747" s="490"/>
      <c r="P2747" s="490"/>
      <c r="Q2747" s="490"/>
      <c r="R2747" s="490"/>
      <c r="S2747" s="492"/>
      <c r="T2747" s="492"/>
      <c r="U2747" s="263"/>
      <c r="V2747" s="493"/>
      <c r="W2747" s="267"/>
      <c r="X2747" s="263"/>
      <c r="AE2747" s="253" t="str">
        <f>VLOOKUP(I2749,vylosovanie!$F$8:$L$190,7,0)</f>
        <v>CH11</v>
      </c>
      <c r="AF2747" s="268">
        <f>IF(N2749&gt;N2746,1,0)</f>
        <v>1</v>
      </c>
      <c r="AG2747" s="268">
        <f t="shared" ref="AG2747" si="2649">IF(O2749&gt;O2746,1,0)</f>
        <v>1</v>
      </c>
      <c r="AH2747" s="268">
        <f t="shared" ref="AH2747" si="2650">IF(P2749&gt;P2746,1,0)</f>
        <v>1</v>
      </c>
      <c r="AI2747" s="268">
        <f t="shared" ref="AI2747" si="2651">IF(Q2749&gt;Q2746,1,0)</f>
        <v>0</v>
      </c>
      <c r="AJ2747" s="268">
        <f t="shared" ref="AJ2747" si="2652">IF(R2749&gt;R2746,1,0)</f>
        <v>0</v>
      </c>
      <c r="AK2747" s="268">
        <f t="shared" ref="AK2747" si="2653">IF(S2749&gt;S2746,1,0)</f>
        <v>0</v>
      </c>
      <c r="AL2747" s="268">
        <f t="shared" ref="AL2747" si="2654">IF(T2749&gt;T2746,1,0)</f>
        <v>0</v>
      </c>
      <c r="AN2747" s="268">
        <f t="shared" ref="AN2747" si="2655">IF(ISBLANK(N2749)=TRUE,"",IF(AF2747=1,N2746,-N2749))</f>
        <v>3</v>
      </c>
      <c r="AO2747" s="268">
        <f t="shared" ref="AO2747" si="2656">IF(ISBLANK(O2749)=TRUE,"",IF(AG2747=1,O2746,-O2749))</f>
        <v>4</v>
      </c>
      <c r="AP2747" s="268">
        <f t="shared" ref="AP2747" si="2657">IF(ISBLANK(P2749)=TRUE,"",IF(AH2747=1,P2746,-P2749))</f>
        <v>7</v>
      </c>
      <c r="AQ2747" s="268" t="str">
        <f t="shared" ref="AQ2747" si="2658">IF(ISBLANK(Q2749)=TRUE,"",IF(AI2747=1,Q2746,-Q2749))</f>
        <v/>
      </c>
      <c r="AR2747" s="268" t="str">
        <f t="shared" ref="AR2747" si="2659">IF(ISBLANK(R2749)=TRUE,"",IF(AJ2747=1,R2746,-R2749))</f>
        <v/>
      </c>
      <c r="AS2747" s="268" t="str">
        <f t="shared" ref="AS2747" si="2660">IF(ISBLANK(S2749)=TRUE,"",IF(AK2747=1,S2746,-S2749))</f>
        <v/>
      </c>
      <c r="AT2747" s="268" t="str">
        <f t="shared" ref="AT2747" si="2661">IF(ISBLANK(T2749)=TRUE,"",IF(AL2747=1,T2746,-T2749))</f>
        <v/>
      </c>
      <c r="AZ2747" s="269" t="s">
        <v>18</v>
      </c>
      <c r="BA2747" s="269">
        <v>2</v>
      </c>
    </row>
    <row r="2748" spans="1:53" ht="39.950000000000003" customHeight="1">
      <c r="C2748" s="223"/>
      <c r="D2748" s="223"/>
      <c r="E2748" s="264" t="s">
        <v>35</v>
      </c>
      <c r="F2748" s="265" t="str">
        <f>VLOOKUP(CONCATENATE(A2744,1),'zoznam zapasov'!$A$6:$K$160,9,0)</f>
        <v>So</v>
      </c>
      <c r="G2748" s="263"/>
      <c r="H2748" s="263"/>
      <c r="I2748" s="263"/>
      <c r="J2748" s="263"/>
      <c r="K2748" s="263"/>
      <c r="L2748" s="263"/>
      <c r="M2748" s="263"/>
      <c r="N2748" s="263"/>
      <c r="O2748" s="263"/>
      <c r="P2748" s="263"/>
      <c r="Q2748" s="263"/>
      <c r="R2748" s="263"/>
      <c r="S2748" s="263"/>
      <c r="T2748" s="263"/>
      <c r="U2748" s="263"/>
      <c r="V2748" s="263"/>
      <c r="W2748" s="267"/>
      <c r="X2748" s="263"/>
      <c r="AZ2748" s="269" t="s">
        <v>38</v>
      </c>
      <c r="BA2748" s="269">
        <v>3</v>
      </c>
    </row>
    <row r="2749" spans="1:53" ht="39.950000000000003" customHeight="1">
      <c r="A2749" s="252" t="str">
        <f>CONCATENATE(A2744,2)</f>
        <v>MIXP282</v>
      </c>
      <c r="B2749" s="252" t="str">
        <f>VLOOKUP(A2749,'KO KODY SPOLU'!$A$3:$B$189,2,0)</f>
        <v>DIKO / PEKOVÁ</v>
      </c>
      <c r="C2749" s="223"/>
      <c r="D2749" s="223"/>
      <c r="E2749" s="264" t="s">
        <v>28</v>
      </c>
      <c r="F2749" s="270" t="str">
        <f>VLOOKUP(CONCATENATE(A2744,1),'zoznam zapasov'!$A$6:$K$160,10,0)</f>
        <v>17.30</v>
      </c>
      <c r="G2749" s="508"/>
      <c r="H2749" s="319"/>
      <c r="I2749" s="487" t="str">
        <f>IF(ISERROR(VLOOKUP(B2749,vylosovanie!$N$75:$Q$191,3,0))=TRUE," ",VLOOKUP(B2749,vylosovanie!$N$75:$Q$191,3,0))</f>
        <v>DIKO Dalibor</v>
      </c>
      <c r="J2749" s="488"/>
      <c r="K2749" s="488"/>
      <c r="L2749" s="488"/>
      <c r="M2749" s="263"/>
      <c r="N2749" s="489">
        <v>11</v>
      </c>
      <c r="O2749" s="489">
        <v>11</v>
      </c>
      <c r="P2749" s="489">
        <v>11</v>
      </c>
      <c r="Q2749" s="489"/>
      <c r="R2749" s="489"/>
      <c r="S2749" s="491"/>
      <c r="T2749" s="491"/>
      <c r="U2749" s="263"/>
      <c r="V2749" s="493">
        <f>IF(SUM(AF2746:AL2747)=0,"",SUM(AF2747:AL2747))</f>
        <v>3</v>
      </c>
      <c r="W2749" s="267"/>
      <c r="X2749" s="263"/>
      <c r="AZ2749" s="269" t="s">
        <v>39</v>
      </c>
      <c r="BA2749" s="269">
        <v>4</v>
      </c>
    </row>
    <row r="2750" spans="1:53" ht="39.950000000000003" customHeight="1">
      <c r="C2750" s="223"/>
      <c r="D2750" s="223"/>
      <c r="E2750" s="271"/>
      <c r="F2750" s="272"/>
      <c r="G2750" s="509"/>
      <c r="H2750" s="319"/>
      <c r="I2750" s="487" t="str">
        <f>IF(ISERROR(VLOOKUP(B2749,vylosovanie!$N$75:$Q$191,3,0))=TRUE," ",VLOOKUP(B2749,vylosovanie!$N$75:$Q$191,4,0))</f>
        <v>PEKOVÁ Zuzana</v>
      </c>
      <c r="J2750" s="488"/>
      <c r="K2750" s="488"/>
      <c r="L2750" s="488"/>
      <c r="M2750" s="263"/>
      <c r="N2750" s="490"/>
      <c r="O2750" s="490"/>
      <c r="P2750" s="490"/>
      <c r="Q2750" s="490"/>
      <c r="R2750" s="490"/>
      <c r="S2750" s="492"/>
      <c r="T2750" s="492"/>
      <c r="U2750" s="263"/>
      <c r="V2750" s="493"/>
      <c r="W2750" s="267"/>
      <c r="X2750" s="263"/>
      <c r="AZ2750" s="269" t="s">
        <v>40</v>
      </c>
      <c r="BA2750" s="269">
        <v>5</v>
      </c>
    </row>
    <row r="2751" spans="1:53" ht="39.950000000000003" customHeight="1">
      <c r="C2751" s="223"/>
      <c r="D2751" s="223"/>
      <c r="E2751" s="264" t="s">
        <v>66</v>
      </c>
      <c r="F2751" s="265" t="s">
        <v>316</v>
      </c>
      <c r="G2751" s="263"/>
      <c r="H2751" s="263"/>
      <c r="I2751" s="263"/>
      <c r="J2751" s="263"/>
      <c r="K2751" s="263"/>
      <c r="L2751" s="263"/>
      <c r="M2751" s="263"/>
      <c r="N2751" s="263"/>
      <c r="O2751" s="263"/>
      <c r="P2751" s="263"/>
      <c r="Q2751" s="263"/>
      <c r="R2751" s="263"/>
      <c r="S2751" s="263"/>
      <c r="T2751" s="263"/>
      <c r="U2751" s="263"/>
      <c r="V2751" s="263"/>
      <c r="W2751" s="267"/>
      <c r="X2751" s="263"/>
      <c r="AZ2751" s="269" t="s">
        <v>41</v>
      </c>
      <c r="BA2751" s="269">
        <v>6</v>
      </c>
    </row>
    <row r="2752" spans="1:53" ht="39.950000000000003" customHeight="1">
      <c r="C2752" s="223"/>
      <c r="D2752" s="223"/>
      <c r="E2752" s="271"/>
      <c r="F2752" s="272"/>
      <c r="G2752" s="263"/>
      <c r="H2752" s="263"/>
      <c r="I2752" s="263" t="s">
        <v>32</v>
      </c>
      <c r="J2752" s="263"/>
      <c r="K2752" s="263"/>
      <c r="L2752" s="263"/>
      <c r="M2752" s="263"/>
      <c r="N2752" s="273"/>
      <c r="O2752" s="266"/>
      <c r="P2752" s="266" t="s">
        <v>34</v>
      </c>
      <c r="Q2752" s="266"/>
      <c r="R2752" s="266"/>
      <c r="S2752" s="266"/>
      <c r="T2752" s="266"/>
      <c r="U2752" s="263"/>
      <c r="V2752" s="263"/>
      <c r="W2752" s="267"/>
      <c r="X2752" s="263"/>
      <c r="AZ2752" s="269" t="s">
        <v>42</v>
      </c>
      <c r="BA2752" s="269">
        <v>7</v>
      </c>
    </row>
    <row r="2753" spans="1:53" ht="39.950000000000003" customHeight="1">
      <c r="E2753" s="264" t="s">
        <v>26</v>
      </c>
      <c r="F2753" s="265" t="s">
        <v>128</v>
      </c>
      <c r="G2753" s="263"/>
      <c r="H2753" s="263"/>
      <c r="I2753" s="486"/>
      <c r="J2753" s="486"/>
      <c r="K2753" s="486"/>
      <c r="L2753" s="486"/>
      <c r="M2753" s="263"/>
      <c r="N2753" s="483" t="str">
        <f>IF(V2746&gt;V2749,I2746,IF(V2749&gt;V2746,I2749,""))</f>
        <v>DIKO Dalibor</v>
      </c>
      <c r="O2753" s="494"/>
      <c r="P2753" s="494"/>
      <c r="Q2753" s="494"/>
      <c r="R2753" s="494"/>
      <c r="S2753" s="495"/>
      <c r="T2753" s="263"/>
      <c r="U2753" s="263"/>
      <c r="V2753" s="263"/>
      <c r="W2753" s="267"/>
      <c r="X2753" s="263"/>
      <c r="AZ2753" s="269" t="s">
        <v>43</v>
      </c>
      <c r="BA2753" s="269">
        <v>8</v>
      </c>
    </row>
    <row r="2754" spans="1:53" ht="39.950000000000003" customHeight="1">
      <c r="E2754" s="271"/>
      <c r="F2754" s="272"/>
      <c r="G2754" s="263"/>
      <c r="H2754" s="263"/>
      <c r="I2754" s="486"/>
      <c r="J2754" s="486"/>
      <c r="K2754" s="486"/>
      <c r="L2754" s="486"/>
      <c r="M2754" s="263"/>
      <c r="N2754" s="483" t="str">
        <f>IF(V2746&gt;V2749,I2747,IF(V2749&gt;V2746,I2750,""))</f>
        <v>PEKOVÁ Zuzana</v>
      </c>
      <c r="O2754" s="494"/>
      <c r="P2754" s="494"/>
      <c r="Q2754" s="494"/>
      <c r="R2754" s="494"/>
      <c r="S2754" s="495"/>
      <c r="T2754" s="263"/>
      <c r="U2754" s="263"/>
      <c r="V2754" s="263"/>
      <c r="W2754" s="267"/>
      <c r="X2754" s="263"/>
    </row>
    <row r="2755" spans="1:53" ht="39.950000000000003" customHeight="1">
      <c r="E2755" s="264" t="s">
        <v>27</v>
      </c>
      <c r="F2755" s="274" t="s">
        <v>375</v>
      </c>
      <c r="G2755" s="263"/>
      <c r="H2755" s="263"/>
      <c r="I2755" s="263"/>
      <c r="J2755" s="263"/>
      <c r="K2755" s="263"/>
      <c r="L2755" s="263"/>
      <c r="M2755" s="263"/>
      <c r="N2755" s="263"/>
      <c r="O2755" s="263"/>
      <c r="P2755" s="263"/>
      <c r="Q2755" s="263"/>
      <c r="R2755" s="263"/>
      <c r="S2755" s="263"/>
      <c r="T2755" s="263"/>
      <c r="U2755" s="263"/>
      <c r="V2755" s="263"/>
      <c r="W2755" s="267"/>
      <c r="X2755" s="263"/>
    </row>
    <row r="2756" spans="1:53" ht="39.950000000000003" customHeight="1">
      <c r="E2756" s="271"/>
      <c r="F2756" s="272"/>
      <c r="G2756" s="263"/>
      <c r="H2756" s="263" t="s">
        <v>33</v>
      </c>
      <c r="I2756" s="263"/>
      <c r="J2756" s="263"/>
      <c r="K2756" s="263"/>
      <c r="L2756" s="263"/>
      <c r="M2756" s="263"/>
      <c r="N2756" s="263"/>
      <c r="O2756" s="263"/>
      <c r="P2756" s="263"/>
      <c r="Q2756" s="263"/>
      <c r="R2756" s="263"/>
      <c r="S2756" s="263"/>
      <c r="T2756" s="263"/>
      <c r="U2756" s="263"/>
      <c r="V2756" s="263"/>
      <c r="W2756" s="267"/>
      <c r="X2756" s="263"/>
    </row>
    <row r="2757" spans="1:53" ht="39.950000000000003" customHeight="1">
      <c r="E2757" s="271"/>
      <c r="F2757" s="272"/>
      <c r="G2757" s="263"/>
      <c r="H2757" s="263"/>
      <c r="I2757" s="263"/>
      <c r="J2757" s="263"/>
      <c r="K2757" s="263"/>
      <c r="L2757" s="263"/>
      <c r="M2757" s="263"/>
      <c r="N2757" s="263"/>
      <c r="O2757" s="263"/>
      <c r="P2757" s="263"/>
      <c r="Q2757" s="263"/>
      <c r="R2757" s="263"/>
      <c r="S2757" s="263"/>
      <c r="T2757" s="263"/>
      <c r="U2757" s="263"/>
      <c r="V2757" s="263"/>
      <c r="W2757" s="267"/>
      <c r="X2757" s="263"/>
    </row>
    <row r="2758" spans="1:53" ht="39.950000000000003" customHeight="1">
      <c r="E2758" s="271"/>
      <c r="F2758" s="272"/>
      <c r="G2758" s="263"/>
      <c r="H2758" s="263"/>
      <c r="I2758" s="496" t="str">
        <f>I2746</f>
        <v>PETRÍK Filip</v>
      </c>
      <c r="J2758" s="496"/>
      <c r="K2758" s="496"/>
      <c r="L2758" s="496"/>
      <c r="M2758" s="263"/>
      <c r="N2758" s="263"/>
      <c r="P2758" s="496" t="str">
        <f>I2749</f>
        <v>DIKO Dalibor</v>
      </c>
      <c r="Q2758" s="496"/>
      <c r="R2758" s="496"/>
      <c r="S2758" s="496"/>
      <c r="T2758" s="497"/>
      <c r="U2758" s="497"/>
      <c r="V2758" s="263"/>
      <c r="W2758" s="267"/>
      <c r="X2758" s="263"/>
    </row>
    <row r="2759" spans="1:53" ht="39.950000000000003" customHeight="1">
      <c r="E2759" s="271"/>
      <c r="F2759" s="272"/>
      <c r="G2759" s="263"/>
      <c r="H2759" s="263"/>
      <c r="I2759" s="496" t="str">
        <f>I2747</f>
        <v>PAPCUNOVÁ Viktória</v>
      </c>
      <c r="J2759" s="496"/>
      <c r="K2759" s="496"/>
      <c r="L2759" s="496"/>
      <c r="M2759" s="263"/>
      <c r="N2759" s="263"/>
      <c r="O2759" s="263"/>
      <c r="P2759" s="496" t="str">
        <f>I2750</f>
        <v>PEKOVÁ Zuzana</v>
      </c>
      <c r="Q2759" s="496"/>
      <c r="R2759" s="496"/>
      <c r="S2759" s="496"/>
      <c r="T2759" s="497"/>
      <c r="U2759" s="497"/>
      <c r="V2759" s="263"/>
      <c r="W2759" s="267"/>
      <c r="X2759" s="263"/>
    </row>
    <row r="2760" spans="1:53" ht="69.95" customHeight="1">
      <c r="E2760" s="264"/>
      <c r="F2760" s="265"/>
      <c r="G2760" s="263"/>
      <c r="H2760" s="275" t="s">
        <v>36</v>
      </c>
      <c r="I2760" s="483"/>
      <c r="J2760" s="484"/>
      <c r="K2760" s="484"/>
      <c r="L2760" s="485"/>
      <c r="M2760" s="263"/>
      <c r="N2760" s="263"/>
      <c r="O2760" s="275" t="s">
        <v>36</v>
      </c>
      <c r="P2760" s="486"/>
      <c r="Q2760" s="486"/>
      <c r="R2760" s="486"/>
      <c r="S2760" s="486"/>
      <c r="T2760" s="486"/>
      <c r="U2760" s="486"/>
      <c r="V2760" s="263"/>
      <c r="W2760" s="267"/>
      <c r="X2760" s="263"/>
    </row>
    <row r="2761" spans="1:53" ht="69.95" customHeight="1">
      <c r="E2761" s="264"/>
      <c r="F2761" s="265"/>
      <c r="G2761" s="263"/>
      <c r="H2761" s="275" t="s">
        <v>37</v>
      </c>
      <c r="I2761" s="486"/>
      <c r="J2761" s="486"/>
      <c r="K2761" s="486"/>
      <c r="L2761" s="486"/>
      <c r="M2761" s="263"/>
      <c r="N2761" s="263"/>
      <c r="O2761" s="275" t="s">
        <v>37</v>
      </c>
      <c r="P2761" s="486"/>
      <c r="Q2761" s="486"/>
      <c r="R2761" s="486"/>
      <c r="S2761" s="486"/>
      <c r="T2761" s="486"/>
      <c r="U2761" s="486"/>
      <c r="V2761" s="263"/>
      <c r="W2761" s="267"/>
      <c r="X2761" s="263"/>
    </row>
    <row r="2762" spans="1:53" ht="69.95" customHeight="1">
      <c r="E2762" s="264"/>
      <c r="F2762" s="265"/>
      <c r="G2762" s="263"/>
      <c r="H2762" s="275" t="s">
        <v>37</v>
      </c>
      <c r="I2762" s="486"/>
      <c r="J2762" s="486"/>
      <c r="K2762" s="486"/>
      <c r="L2762" s="486"/>
      <c r="M2762" s="263"/>
      <c r="N2762" s="263"/>
      <c r="O2762" s="275" t="s">
        <v>37</v>
      </c>
      <c r="P2762" s="486"/>
      <c r="Q2762" s="486"/>
      <c r="R2762" s="486"/>
      <c r="S2762" s="486"/>
      <c r="T2762" s="486"/>
      <c r="U2762" s="486"/>
      <c r="V2762" s="263"/>
      <c r="W2762" s="267"/>
      <c r="X2762" s="263"/>
    </row>
    <row r="2763" spans="1:53" ht="39.950000000000003" customHeight="1" thickBot="1">
      <c r="E2763" s="276"/>
      <c r="F2763" s="277"/>
      <c r="G2763" s="278"/>
      <c r="H2763" s="278"/>
      <c r="I2763" s="278"/>
      <c r="J2763" s="278"/>
      <c r="K2763" s="278"/>
      <c r="L2763" s="278"/>
      <c r="M2763" s="278"/>
      <c r="N2763" s="278"/>
      <c r="O2763" s="278"/>
      <c r="P2763" s="278"/>
      <c r="Q2763" s="278"/>
      <c r="R2763" s="278"/>
      <c r="S2763" s="278"/>
      <c r="T2763" s="279"/>
      <c r="U2763" s="279"/>
      <c r="V2763" s="279"/>
      <c r="W2763" s="280"/>
      <c r="X2763" s="263"/>
    </row>
    <row r="2764" spans="1:53" ht="62.25" thickBot="1"/>
    <row r="2765" spans="1:53" ht="39.950000000000003" customHeight="1">
      <c r="A2765" s="252" t="str">
        <f>CONCATENATE(F2772,F2774,F2776)</f>
        <v>CH4P13</v>
      </c>
      <c r="C2765" s="223"/>
      <c r="D2765" s="223"/>
      <c r="E2765" s="259" t="s">
        <v>70</v>
      </c>
      <c r="F2765" s="260">
        <f>VLOOKUP(CONCATENATE(A2765,1),'zoznam zapasov'!$A$6:$K$160,3,0)</f>
        <v>137</v>
      </c>
      <c r="G2765" s="261"/>
      <c r="H2765" s="322" t="s">
        <v>501</v>
      </c>
      <c r="I2765" s="261"/>
      <c r="J2765" s="261"/>
      <c r="K2765" s="261"/>
      <c r="L2765" s="261" t="s">
        <v>533</v>
      </c>
      <c r="M2765" s="261"/>
      <c r="N2765" s="261"/>
      <c r="O2765" s="261"/>
      <c r="P2765" s="261"/>
      <c r="Q2765" s="261"/>
      <c r="R2765" s="261"/>
      <c r="S2765" s="261"/>
      <c r="T2765" s="261"/>
      <c r="U2765" s="261"/>
      <c r="V2765" s="261" t="s">
        <v>30</v>
      </c>
      <c r="W2765" s="262"/>
      <c r="X2765" s="263"/>
      <c r="Y2765" s="253" t="str">
        <f>A2767</f>
        <v>CH4P131</v>
      </c>
      <c r="Z2765" s="258" t="str">
        <f>CONCATENATE(V2767,":",V2770)</f>
        <v>3:1</v>
      </c>
      <c r="AA2765" s="255" t="str">
        <f>IF(V2767&gt;V2770,B2767,IF(V2770&gt;V2767,B2770,""))</f>
        <v>DIKO / KYSEL</v>
      </c>
      <c r="AB2765" s="255" t="str">
        <f>IF(V2767&gt;V2770,AV2765,IF(V2770&gt;V2767,AV2766,""))</f>
        <v xml:space="preserve">3:1 ( 7,7,-9,7,,, ) </v>
      </c>
      <c r="AC2765" s="255" t="str">
        <f>CONCATENATE("Tbl.: ",F2767,"   H: ",F2770,"   D: ",F2769)</f>
        <v>Tbl.: 1   H: 9.30   D: Ne</v>
      </c>
      <c r="AE2765" s="253" t="s">
        <v>11</v>
      </c>
      <c r="AV2765" s="256" t="str">
        <f>CONCATENATE(V2767,":",V2770, " ( ",AN2767,",",AO2767,",",AP2767,",",AQ2767,",",AR2767,",",AS2767,",",AT2767," ) ")</f>
        <v xml:space="preserve">3:1 ( 7,7,-9,7,,, ) </v>
      </c>
    </row>
    <row r="2766" spans="1:53" ht="39.950000000000003" customHeight="1">
      <c r="C2766" s="223"/>
      <c r="D2766" s="223"/>
      <c r="E2766" s="264"/>
      <c r="F2766" s="265"/>
      <c r="G2766" s="321" t="s">
        <v>500</v>
      </c>
      <c r="H2766" s="323" t="s">
        <v>502</v>
      </c>
      <c r="I2766" s="263"/>
      <c r="J2766" s="263"/>
      <c r="K2766" s="263"/>
      <c r="L2766" s="263"/>
      <c r="M2766" s="263"/>
      <c r="N2766" s="266">
        <v>1</v>
      </c>
      <c r="O2766" s="266">
        <v>2</v>
      </c>
      <c r="P2766" s="266">
        <v>3</v>
      </c>
      <c r="Q2766" s="266">
        <v>4</v>
      </c>
      <c r="R2766" s="266">
        <v>5</v>
      </c>
      <c r="S2766" s="266">
        <v>6</v>
      </c>
      <c r="T2766" s="266">
        <v>7</v>
      </c>
      <c r="U2766" s="263"/>
      <c r="V2766" s="266" t="s">
        <v>31</v>
      </c>
      <c r="W2766" s="267"/>
      <c r="X2766" s="263"/>
      <c r="AE2766" s="253" t="s">
        <v>68</v>
      </c>
      <c r="AV2766" s="256" t="str">
        <f>CONCATENATE(V2770,":",V2767, " ( ",AN2768,",",AO2768,",",AP2768,",",AQ2768,",",AR2768,",",AS2768,",",AT2768," ) ")</f>
        <v xml:space="preserve">1:3 ( -7,-7,9,-7,,, ) </v>
      </c>
    </row>
    <row r="2767" spans="1:53" ht="39.950000000000003" customHeight="1">
      <c r="A2767" s="252" t="str">
        <f>CONCATENATE(A2765,1)</f>
        <v>CH4P131</v>
      </c>
      <c r="B2767" s="252" t="str">
        <f>VLOOKUP(A2767,'KO KODY SPOLU'!$A$3:$B$189,2,0)</f>
        <v>DIKO / KYSEL</v>
      </c>
      <c r="C2767" s="223"/>
      <c r="D2767" s="223"/>
      <c r="E2767" s="264" t="s">
        <v>29</v>
      </c>
      <c r="F2767" s="265">
        <f>VLOOKUP(CONCATENATE(A2765,1),'zoznam zapasov'!$A$6:$K$160,11,0)</f>
        <v>1</v>
      </c>
      <c r="G2767" s="508"/>
      <c r="H2767" s="319"/>
      <c r="I2767" s="487" t="str">
        <f>IF(ISERROR(VLOOKUP(B2767,vylosovanie!$N$75:$Q$191,3,0))=TRUE," ",VLOOKUP(B2767,vylosovanie!$N$75:$Q$191,3,0))</f>
        <v>DIKO Dalibor</v>
      </c>
      <c r="J2767" s="488"/>
      <c r="K2767" s="488"/>
      <c r="L2767" s="488"/>
      <c r="M2767" s="263"/>
      <c r="N2767" s="489">
        <v>11</v>
      </c>
      <c r="O2767" s="489">
        <v>11</v>
      </c>
      <c r="P2767" s="489">
        <v>9</v>
      </c>
      <c r="Q2767" s="489">
        <v>11</v>
      </c>
      <c r="R2767" s="489"/>
      <c r="S2767" s="491"/>
      <c r="T2767" s="491"/>
      <c r="U2767" s="263"/>
      <c r="V2767" s="493">
        <f>IF(SUM(AF2767:AL2768)=0,"",SUM(AF2767:AL2767))</f>
        <v>3</v>
      </c>
      <c r="W2767" s="267"/>
      <c r="X2767" s="263"/>
      <c r="AE2767" s="253" t="str">
        <f>VLOOKUP(I2767,vylosovanie!$F$8:$L$190,7,0)</f>
        <v>CH11</v>
      </c>
      <c r="AF2767" s="268">
        <f>IF(N2767&gt;N2770,1,0)</f>
        <v>1</v>
      </c>
      <c r="AG2767" s="268">
        <f t="shared" ref="AG2767" si="2662">IF(O2767&gt;O2770,1,0)</f>
        <v>1</v>
      </c>
      <c r="AH2767" s="268">
        <f t="shared" ref="AH2767" si="2663">IF(P2767&gt;P2770,1,0)</f>
        <v>0</v>
      </c>
      <c r="AI2767" s="268">
        <f t="shared" ref="AI2767" si="2664">IF(Q2767&gt;Q2770,1,0)</f>
        <v>1</v>
      </c>
      <c r="AJ2767" s="268">
        <f t="shared" ref="AJ2767" si="2665">IF(R2767&gt;R2770,1,0)</f>
        <v>0</v>
      </c>
      <c r="AK2767" s="268">
        <f t="shared" ref="AK2767" si="2666">IF(S2767&gt;S2770,1,0)</f>
        <v>0</v>
      </c>
      <c r="AL2767" s="268">
        <f t="shared" ref="AL2767" si="2667">IF(T2767&gt;T2770,1,0)</f>
        <v>0</v>
      </c>
      <c r="AN2767" s="268">
        <f t="shared" ref="AN2767" si="2668">IF(ISBLANK(N2767)=TRUE,"",IF(AF2767=1,N2770,-N2767))</f>
        <v>7</v>
      </c>
      <c r="AO2767" s="268">
        <f t="shared" ref="AO2767" si="2669">IF(ISBLANK(O2767)=TRUE,"",IF(AG2767=1,O2770,-O2767))</f>
        <v>7</v>
      </c>
      <c r="AP2767" s="268">
        <f t="shared" ref="AP2767" si="2670">IF(ISBLANK(P2767)=TRUE,"",IF(AH2767=1,P2770,-P2767))</f>
        <v>-9</v>
      </c>
      <c r="AQ2767" s="268">
        <f t="shared" ref="AQ2767" si="2671">IF(ISBLANK(Q2767)=TRUE,"",IF(AI2767=1,Q2770,-Q2767))</f>
        <v>7</v>
      </c>
      <c r="AR2767" s="268" t="str">
        <f t="shared" ref="AR2767" si="2672">IF(ISBLANK(R2767)=TRUE,"",IF(AJ2767=1,R2770,-R2767))</f>
        <v/>
      </c>
      <c r="AS2767" s="268" t="str">
        <f t="shared" ref="AS2767" si="2673">IF(ISBLANK(S2767)=TRUE,"",IF(AK2767=1,S2770,-S2767))</f>
        <v/>
      </c>
      <c r="AT2767" s="268" t="str">
        <f t="shared" ref="AT2767" si="2674">IF(ISBLANK(T2767)=TRUE,"",IF(AL2767=1,T2770,-T2767))</f>
        <v/>
      </c>
      <c r="AZ2767" s="269" t="s">
        <v>12</v>
      </c>
      <c r="BA2767" s="269">
        <v>1</v>
      </c>
    </row>
    <row r="2768" spans="1:53" ht="39.950000000000003" customHeight="1">
      <c r="C2768" s="223"/>
      <c r="D2768" s="223"/>
      <c r="E2768" s="264"/>
      <c r="F2768" s="265"/>
      <c r="G2768" s="509"/>
      <c r="H2768" s="319"/>
      <c r="I2768" s="487" t="str">
        <f>IF(ISERROR(VLOOKUP(B2767,vylosovanie!$N$75:$Q$191,3,0))=TRUE," ",VLOOKUP(B2767,vylosovanie!$N$75:$Q$191,4,0))</f>
        <v>KYSEL Martin</v>
      </c>
      <c r="J2768" s="488"/>
      <c r="K2768" s="488"/>
      <c r="L2768" s="488"/>
      <c r="M2768" s="263"/>
      <c r="N2768" s="490"/>
      <c r="O2768" s="490"/>
      <c r="P2768" s="490"/>
      <c r="Q2768" s="490"/>
      <c r="R2768" s="490"/>
      <c r="S2768" s="492"/>
      <c r="T2768" s="492"/>
      <c r="U2768" s="263"/>
      <c r="V2768" s="493"/>
      <c r="W2768" s="267"/>
      <c r="X2768" s="263"/>
      <c r="AE2768" s="253" t="str">
        <f>VLOOKUP(I2770,vylosovanie!$F$8:$L$190,7,0)</f>
        <v>CH31</v>
      </c>
      <c r="AF2768" s="268">
        <f>IF(N2770&gt;N2767,1,0)</f>
        <v>0</v>
      </c>
      <c r="AG2768" s="268">
        <f t="shared" ref="AG2768" si="2675">IF(O2770&gt;O2767,1,0)</f>
        <v>0</v>
      </c>
      <c r="AH2768" s="268">
        <f t="shared" ref="AH2768" si="2676">IF(P2770&gt;P2767,1,0)</f>
        <v>1</v>
      </c>
      <c r="AI2768" s="268">
        <f t="shared" ref="AI2768" si="2677">IF(Q2770&gt;Q2767,1,0)</f>
        <v>0</v>
      </c>
      <c r="AJ2768" s="268">
        <f t="shared" ref="AJ2768" si="2678">IF(R2770&gt;R2767,1,0)</f>
        <v>0</v>
      </c>
      <c r="AK2768" s="268">
        <f t="shared" ref="AK2768" si="2679">IF(S2770&gt;S2767,1,0)</f>
        <v>0</v>
      </c>
      <c r="AL2768" s="268">
        <f t="shared" ref="AL2768" si="2680">IF(T2770&gt;T2767,1,0)</f>
        <v>0</v>
      </c>
      <c r="AN2768" s="268">
        <f t="shared" ref="AN2768" si="2681">IF(ISBLANK(N2770)=TRUE,"",IF(AF2768=1,N2767,-N2770))</f>
        <v>-7</v>
      </c>
      <c r="AO2768" s="268">
        <f t="shared" ref="AO2768" si="2682">IF(ISBLANK(O2770)=TRUE,"",IF(AG2768=1,O2767,-O2770))</f>
        <v>-7</v>
      </c>
      <c r="AP2768" s="268">
        <f t="shared" ref="AP2768" si="2683">IF(ISBLANK(P2770)=TRUE,"",IF(AH2768=1,P2767,-P2770))</f>
        <v>9</v>
      </c>
      <c r="AQ2768" s="268">
        <f t="shared" ref="AQ2768" si="2684">IF(ISBLANK(Q2770)=TRUE,"",IF(AI2768=1,Q2767,-Q2770))</f>
        <v>-7</v>
      </c>
      <c r="AR2768" s="268" t="str">
        <f t="shared" ref="AR2768" si="2685">IF(ISBLANK(R2770)=TRUE,"",IF(AJ2768=1,R2767,-R2770))</f>
        <v/>
      </c>
      <c r="AS2768" s="268" t="str">
        <f t="shared" ref="AS2768" si="2686">IF(ISBLANK(S2770)=TRUE,"",IF(AK2768=1,S2767,-S2770))</f>
        <v/>
      </c>
      <c r="AT2768" s="268" t="str">
        <f t="shared" ref="AT2768" si="2687">IF(ISBLANK(T2770)=TRUE,"",IF(AL2768=1,T2767,-T2770))</f>
        <v/>
      </c>
      <c r="AZ2768" s="269" t="s">
        <v>18</v>
      </c>
      <c r="BA2768" s="269">
        <v>2</v>
      </c>
    </row>
    <row r="2769" spans="1:53" ht="39.950000000000003" customHeight="1">
      <c r="C2769" s="223"/>
      <c r="D2769" s="223"/>
      <c r="E2769" s="264" t="s">
        <v>35</v>
      </c>
      <c r="F2769" s="265" t="str">
        <f>VLOOKUP(CONCATENATE(A2765,1),'zoznam zapasov'!$A$6:$K$160,9,0)</f>
        <v>Ne</v>
      </c>
      <c r="G2769" s="263"/>
      <c r="H2769" s="263"/>
      <c r="I2769" s="263"/>
      <c r="J2769" s="263"/>
      <c r="K2769" s="263"/>
      <c r="L2769" s="263"/>
      <c r="M2769" s="263"/>
      <c r="N2769" s="263"/>
      <c r="O2769" s="263"/>
      <c r="P2769" s="263"/>
      <c r="Q2769" s="263"/>
      <c r="R2769" s="263"/>
      <c r="S2769" s="263"/>
      <c r="T2769" s="263"/>
      <c r="U2769" s="263"/>
      <c r="V2769" s="263"/>
      <c r="W2769" s="267"/>
      <c r="X2769" s="263"/>
      <c r="AZ2769" s="269" t="s">
        <v>38</v>
      </c>
      <c r="BA2769" s="269">
        <v>3</v>
      </c>
    </row>
    <row r="2770" spans="1:53" ht="39.950000000000003" customHeight="1">
      <c r="A2770" s="252" t="str">
        <f>CONCATENATE(A2765,2)</f>
        <v>CH4P132</v>
      </c>
      <c r="B2770" s="252" t="str">
        <f>VLOOKUP(A2770,'KO KODY SPOLU'!$A$3:$B$189,2,0)</f>
        <v>FEČO / PAPÁNEK</v>
      </c>
      <c r="C2770" s="223"/>
      <c r="D2770" s="223"/>
      <c r="E2770" s="264" t="s">
        <v>28</v>
      </c>
      <c r="F2770" s="270" t="str">
        <f>VLOOKUP(CONCATENATE(A2765,1),'zoznam zapasov'!$A$6:$K$160,10,0)</f>
        <v>9.30</v>
      </c>
      <c r="G2770" s="508"/>
      <c r="H2770" s="319"/>
      <c r="I2770" s="487" t="str">
        <f>IF(ISERROR(VLOOKUP(B2770,vylosovanie!$N$75:$Q$191,3,0))=TRUE," ",VLOOKUP(B2770,vylosovanie!$N$75:$Q$191,3,0))</f>
        <v>FEČO Samuel</v>
      </c>
      <c r="J2770" s="488"/>
      <c r="K2770" s="488"/>
      <c r="L2770" s="488"/>
      <c r="M2770" s="263"/>
      <c r="N2770" s="489">
        <v>7</v>
      </c>
      <c r="O2770" s="489">
        <v>7</v>
      </c>
      <c r="P2770" s="489">
        <v>11</v>
      </c>
      <c r="Q2770" s="489">
        <v>7</v>
      </c>
      <c r="R2770" s="489"/>
      <c r="S2770" s="491"/>
      <c r="T2770" s="491"/>
      <c r="U2770" s="263"/>
      <c r="V2770" s="493">
        <f>IF(SUM(AF2767:AL2768)=0,"",SUM(AF2768:AL2768))</f>
        <v>1</v>
      </c>
      <c r="W2770" s="267"/>
      <c r="X2770" s="263"/>
      <c r="AZ2770" s="269" t="s">
        <v>39</v>
      </c>
      <c r="BA2770" s="269">
        <v>4</v>
      </c>
    </row>
    <row r="2771" spans="1:53" ht="39.950000000000003" customHeight="1">
      <c r="C2771" s="223"/>
      <c r="D2771" s="223"/>
      <c r="E2771" s="271"/>
      <c r="F2771" s="272"/>
      <c r="G2771" s="509"/>
      <c r="H2771" s="319"/>
      <c r="I2771" s="487" t="str">
        <f>IF(ISERROR(VLOOKUP(B2770,vylosovanie!$N$75:$Q$191,3,0))=TRUE," ",VLOOKUP(B2770,vylosovanie!$N$75:$Q$191,4,0))</f>
        <v>PAPÁNEK Martin</v>
      </c>
      <c r="J2771" s="488"/>
      <c r="K2771" s="488"/>
      <c r="L2771" s="488"/>
      <c r="M2771" s="263"/>
      <c r="N2771" s="490"/>
      <c r="O2771" s="490"/>
      <c r="P2771" s="490"/>
      <c r="Q2771" s="490"/>
      <c r="R2771" s="490"/>
      <c r="S2771" s="492"/>
      <c r="T2771" s="492"/>
      <c r="U2771" s="263"/>
      <c r="V2771" s="493"/>
      <c r="W2771" s="267"/>
      <c r="X2771" s="263"/>
      <c r="AZ2771" s="269" t="s">
        <v>40</v>
      </c>
      <c r="BA2771" s="269">
        <v>5</v>
      </c>
    </row>
    <row r="2772" spans="1:53" ht="39.950000000000003" customHeight="1">
      <c r="C2772" s="223"/>
      <c r="D2772" s="223"/>
      <c r="E2772" s="264" t="s">
        <v>66</v>
      </c>
      <c r="F2772" s="265" t="s">
        <v>309</v>
      </c>
      <c r="G2772" s="263"/>
      <c r="H2772" s="263"/>
      <c r="I2772" s="263"/>
      <c r="J2772" s="263"/>
      <c r="K2772" s="263"/>
      <c r="L2772" s="263"/>
      <c r="M2772" s="263"/>
      <c r="N2772" s="263"/>
      <c r="O2772" s="263"/>
      <c r="P2772" s="263"/>
      <c r="Q2772" s="263"/>
      <c r="R2772" s="263"/>
      <c r="S2772" s="263"/>
      <c r="T2772" s="263"/>
      <c r="U2772" s="263"/>
      <c r="V2772" s="263"/>
      <c r="W2772" s="267"/>
      <c r="X2772" s="263"/>
      <c r="AZ2772" s="269" t="s">
        <v>41</v>
      </c>
      <c r="BA2772" s="269">
        <v>6</v>
      </c>
    </row>
    <row r="2773" spans="1:53" ht="39.950000000000003" customHeight="1">
      <c r="C2773" s="223"/>
      <c r="D2773" s="223"/>
      <c r="E2773" s="271"/>
      <c r="F2773" s="272"/>
      <c r="G2773" s="263"/>
      <c r="H2773" s="263"/>
      <c r="I2773" s="263" t="s">
        <v>32</v>
      </c>
      <c r="J2773" s="263"/>
      <c r="K2773" s="263"/>
      <c r="L2773" s="263"/>
      <c r="M2773" s="263"/>
      <c r="N2773" s="273"/>
      <c r="O2773" s="266"/>
      <c r="P2773" s="266" t="s">
        <v>34</v>
      </c>
      <c r="Q2773" s="266"/>
      <c r="R2773" s="266"/>
      <c r="S2773" s="266"/>
      <c r="T2773" s="266"/>
      <c r="U2773" s="263"/>
      <c r="V2773" s="263"/>
      <c r="W2773" s="267"/>
      <c r="X2773" s="263"/>
      <c r="AZ2773" s="269" t="s">
        <v>42</v>
      </c>
      <c r="BA2773" s="269">
        <v>7</v>
      </c>
    </row>
    <row r="2774" spans="1:53" ht="39.950000000000003" customHeight="1">
      <c r="E2774" s="264" t="s">
        <v>26</v>
      </c>
      <c r="F2774" s="265" t="s">
        <v>128</v>
      </c>
      <c r="G2774" s="263"/>
      <c r="H2774" s="263"/>
      <c r="I2774" s="486"/>
      <c r="J2774" s="486"/>
      <c r="K2774" s="486"/>
      <c r="L2774" s="486"/>
      <c r="M2774" s="263"/>
      <c r="N2774" s="483" t="str">
        <f>IF(V2767&gt;V2770,I2767,IF(V2770&gt;V2767,I2770,""))</f>
        <v>DIKO Dalibor</v>
      </c>
      <c r="O2774" s="494"/>
      <c r="P2774" s="494"/>
      <c r="Q2774" s="494"/>
      <c r="R2774" s="494"/>
      <c r="S2774" s="495"/>
      <c r="T2774" s="263"/>
      <c r="U2774" s="263"/>
      <c r="V2774" s="263"/>
      <c r="W2774" s="267"/>
      <c r="X2774" s="263"/>
      <c r="AZ2774" s="269" t="s">
        <v>43</v>
      </c>
      <c r="BA2774" s="269">
        <v>8</v>
      </c>
    </row>
    <row r="2775" spans="1:53" ht="39.950000000000003" customHeight="1">
      <c r="E2775" s="271"/>
      <c r="F2775" s="272"/>
      <c r="G2775" s="263"/>
      <c r="H2775" s="263"/>
      <c r="I2775" s="486"/>
      <c r="J2775" s="486"/>
      <c r="K2775" s="486"/>
      <c r="L2775" s="486"/>
      <c r="M2775" s="263"/>
      <c r="N2775" s="483" t="str">
        <f>IF(V2767&gt;V2770,I2768,IF(V2770&gt;V2767,I2771,""))</f>
        <v>KYSEL Martin</v>
      </c>
      <c r="O2775" s="494"/>
      <c r="P2775" s="494"/>
      <c r="Q2775" s="494"/>
      <c r="R2775" s="494"/>
      <c r="S2775" s="495"/>
      <c r="T2775" s="263"/>
      <c r="U2775" s="263"/>
      <c r="V2775" s="263"/>
      <c r="W2775" s="267"/>
      <c r="X2775" s="263"/>
    </row>
    <row r="2776" spans="1:53" ht="39.950000000000003" customHeight="1">
      <c r="E2776" s="264" t="s">
        <v>27</v>
      </c>
      <c r="F2776" s="274" t="s">
        <v>352</v>
      </c>
      <c r="G2776" s="263"/>
      <c r="H2776" s="263"/>
      <c r="I2776" s="263"/>
      <c r="J2776" s="263"/>
      <c r="K2776" s="263"/>
      <c r="L2776" s="263"/>
      <c r="M2776" s="263"/>
      <c r="N2776" s="263"/>
      <c r="O2776" s="263"/>
      <c r="P2776" s="263"/>
      <c r="Q2776" s="263"/>
      <c r="R2776" s="263"/>
      <c r="S2776" s="263"/>
      <c r="T2776" s="263"/>
      <c r="U2776" s="263"/>
      <c r="V2776" s="263"/>
      <c r="W2776" s="267"/>
      <c r="X2776" s="263"/>
    </row>
    <row r="2777" spans="1:53" ht="39.950000000000003" customHeight="1">
      <c r="E2777" s="271"/>
      <c r="F2777" s="272"/>
      <c r="G2777" s="263"/>
      <c r="H2777" s="263" t="s">
        <v>33</v>
      </c>
      <c r="I2777" s="263"/>
      <c r="J2777" s="263"/>
      <c r="K2777" s="263"/>
      <c r="L2777" s="263"/>
      <c r="M2777" s="263"/>
      <c r="N2777" s="263"/>
      <c r="O2777" s="263"/>
      <c r="P2777" s="263"/>
      <c r="Q2777" s="263"/>
      <c r="R2777" s="263"/>
      <c r="S2777" s="263"/>
      <c r="T2777" s="263"/>
      <c r="U2777" s="263"/>
      <c r="V2777" s="263"/>
      <c r="W2777" s="267"/>
      <c r="X2777" s="263"/>
    </row>
    <row r="2778" spans="1:53" ht="39.950000000000003" customHeight="1">
      <c r="E2778" s="271"/>
      <c r="F2778" s="272"/>
      <c r="G2778" s="263"/>
      <c r="H2778" s="263"/>
      <c r="I2778" s="263"/>
      <c r="J2778" s="263"/>
      <c r="K2778" s="263"/>
      <c r="L2778" s="263"/>
      <c r="M2778" s="263"/>
      <c r="N2778" s="263"/>
      <c r="O2778" s="263"/>
      <c r="P2778" s="263"/>
      <c r="Q2778" s="263"/>
      <c r="R2778" s="263"/>
      <c r="S2778" s="263"/>
      <c r="T2778" s="263"/>
      <c r="U2778" s="263"/>
      <c r="V2778" s="263"/>
      <c r="W2778" s="267"/>
      <c r="X2778" s="263"/>
    </row>
    <row r="2779" spans="1:53" ht="39.950000000000003" customHeight="1">
      <c r="E2779" s="271"/>
      <c r="F2779" s="272"/>
      <c r="G2779" s="263"/>
      <c r="H2779" s="263"/>
      <c r="I2779" s="496" t="str">
        <f>I2767</f>
        <v>DIKO Dalibor</v>
      </c>
      <c r="J2779" s="496"/>
      <c r="K2779" s="496"/>
      <c r="L2779" s="496"/>
      <c r="M2779" s="263"/>
      <c r="N2779" s="263"/>
      <c r="P2779" s="496" t="str">
        <f>I2770</f>
        <v>FEČO Samuel</v>
      </c>
      <c r="Q2779" s="496"/>
      <c r="R2779" s="496"/>
      <c r="S2779" s="496"/>
      <c r="T2779" s="497"/>
      <c r="U2779" s="497"/>
      <c r="V2779" s="263"/>
      <c r="W2779" s="267"/>
      <c r="X2779" s="263"/>
    </row>
    <row r="2780" spans="1:53" ht="39.950000000000003" customHeight="1">
      <c r="E2780" s="271"/>
      <c r="F2780" s="272"/>
      <c r="G2780" s="263"/>
      <c r="H2780" s="263"/>
      <c r="I2780" s="496" t="str">
        <f>I2768</f>
        <v>KYSEL Martin</v>
      </c>
      <c r="J2780" s="496"/>
      <c r="K2780" s="496"/>
      <c r="L2780" s="496"/>
      <c r="M2780" s="263"/>
      <c r="N2780" s="263"/>
      <c r="O2780" s="263"/>
      <c r="P2780" s="496" t="str">
        <f>I2771</f>
        <v>PAPÁNEK Martin</v>
      </c>
      <c r="Q2780" s="496"/>
      <c r="R2780" s="496"/>
      <c r="S2780" s="496"/>
      <c r="T2780" s="497"/>
      <c r="U2780" s="497"/>
      <c r="V2780" s="263"/>
      <c r="W2780" s="267"/>
      <c r="X2780" s="263"/>
    </row>
    <row r="2781" spans="1:53" ht="69.95" customHeight="1">
      <c r="E2781" s="264"/>
      <c r="F2781" s="265"/>
      <c r="G2781" s="263"/>
      <c r="H2781" s="275" t="s">
        <v>36</v>
      </c>
      <c r="I2781" s="483"/>
      <c r="J2781" s="484"/>
      <c r="K2781" s="484"/>
      <c r="L2781" s="485"/>
      <c r="M2781" s="263"/>
      <c r="N2781" s="263"/>
      <c r="O2781" s="275" t="s">
        <v>36</v>
      </c>
      <c r="P2781" s="486"/>
      <c r="Q2781" s="486"/>
      <c r="R2781" s="486"/>
      <c r="S2781" s="486"/>
      <c r="T2781" s="486"/>
      <c r="U2781" s="486"/>
      <c r="V2781" s="263"/>
      <c r="W2781" s="267"/>
      <c r="X2781" s="263"/>
    </row>
    <row r="2782" spans="1:53" ht="69.95" customHeight="1">
      <c r="E2782" s="264"/>
      <c r="F2782" s="265"/>
      <c r="G2782" s="263"/>
      <c r="H2782" s="275" t="s">
        <v>37</v>
      </c>
      <c r="I2782" s="486"/>
      <c r="J2782" s="486"/>
      <c r="K2782" s="486"/>
      <c r="L2782" s="486"/>
      <c r="M2782" s="263"/>
      <c r="N2782" s="263"/>
      <c r="O2782" s="275" t="s">
        <v>37</v>
      </c>
      <c r="P2782" s="486"/>
      <c r="Q2782" s="486"/>
      <c r="R2782" s="486"/>
      <c r="S2782" s="486"/>
      <c r="T2782" s="486"/>
      <c r="U2782" s="486"/>
      <c r="V2782" s="263"/>
      <c r="W2782" s="267"/>
      <c r="X2782" s="263"/>
    </row>
    <row r="2783" spans="1:53" ht="69.95" customHeight="1">
      <c r="E2783" s="264"/>
      <c r="F2783" s="265"/>
      <c r="G2783" s="263"/>
      <c r="H2783" s="275" t="s">
        <v>37</v>
      </c>
      <c r="I2783" s="486"/>
      <c r="J2783" s="486"/>
      <c r="K2783" s="486"/>
      <c r="L2783" s="486"/>
      <c r="M2783" s="263"/>
      <c r="N2783" s="263"/>
      <c r="O2783" s="275" t="s">
        <v>37</v>
      </c>
      <c r="P2783" s="486"/>
      <c r="Q2783" s="486"/>
      <c r="R2783" s="486"/>
      <c r="S2783" s="486"/>
      <c r="T2783" s="486"/>
      <c r="U2783" s="486"/>
      <c r="V2783" s="263"/>
      <c r="W2783" s="267"/>
      <c r="X2783" s="263"/>
    </row>
    <row r="2784" spans="1:53" ht="39.950000000000003" customHeight="1" thickBot="1">
      <c r="E2784" s="276"/>
      <c r="F2784" s="277"/>
      <c r="G2784" s="278"/>
      <c r="H2784" s="278"/>
      <c r="I2784" s="278"/>
      <c r="J2784" s="278"/>
      <c r="K2784" s="278"/>
      <c r="L2784" s="278"/>
      <c r="M2784" s="278"/>
      <c r="N2784" s="278"/>
      <c r="O2784" s="278"/>
      <c r="P2784" s="278"/>
      <c r="Q2784" s="278"/>
      <c r="R2784" s="278"/>
      <c r="S2784" s="278"/>
      <c r="T2784" s="279"/>
      <c r="U2784" s="279"/>
      <c r="V2784" s="279"/>
      <c r="W2784" s="280"/>
      <c r="X2784" s="263"/>
    </row>
    <row r="2785" spans="1:53" ht="62.25" thickBot="1"/>
    <row r="2786" spans="1:53" ht="39.950000000000003" customHeight="1">
      <c r="A2786" s="252" t="str">
        <f>CONCATENATE(F2793,F2795,F2797)</f>
        <v>CH4P14</v>
      </c>
      <c r="C2786" s="223"/>
      <c r="D2786" s="223"/>
      <c r="E2786" s="259" t="s">
        <v>70</v>
      </c>
      <c r="F2786" s="260">
        <f>VLOOKUP(CONCATENATE(A2786,1),'zoznam zapasov'!$A$6:$K$160,3,0)</f>
        <v>138</v>
      </c>
      <c r="G2786" s="261"/>
      <c r="H2786" s="322" t="s">
        <v>501</v>
      </c>
      <c r="I2786" s="261"/>
      <c r="J2786" s="261"/>
      <c r="K2786" s="261"/>
      <c r="L2786" s="261" t="s">
        <v>534</v>
      </c>
      <c r="M2786" s="261"/>
      <c r="N2786" s="261"/>
      <c r="O2786" s="261"/>
      <c r="P2786" s="261"/>
      <c r="Q2786" s="261"/>
      <c r="R2786" s="261"/>
      <c r="S2786" s="261"/>
      <c r="T2786" s="261"/>
      <c r="U2786" s="261"/>
      <c r="V2786" s="261" t="s">
        <v>30</v>
      </c>
      <c r="W2786" s="262"/>
      <c r="X2786" s="263"/>
      <c r="Y2786" s="253" t="str">
        <f>A2788</f>
        <v>CH4P141</v>
      </c>
      <c r="Z2786" s="258" t="str">
        <f>CONCATENATE(V2788,":",V2791)</f>
        <v>3:2</v>
      </c>
      <c r="AA2786" s="255" t="str">
        <f>IF(V2788&gt;V2791,B2788,IF(V2791&gt;V2788,B2791,""))</f>
        <v>ĎANOVSKÝ / MILAN</v>
      </c>
      <c r="AB2786" s="255" t="str">
        <f>IF(V2788&gt;V2791,AV2786,IF(V2791&gt;V2788,AV2787,""))</f>
        <v xml:space="preserve">3:2 ( -8,-9,13,6,7,, ) </v>
      </c>
      <c r="AC2786" s="255" t="str">
        <f>CONCATENATE("Tbl.: ",F2788,"   H: ",F2791,"   D: ",F2790)</f>
        <v>Tbl.: 2   H: 9.30   D: Ne</v>
      </c>
      <c r="AE2786" s="253" t="s">
        <v>11</v>
      </c>
      <c r="AV2786" s="256" t="str">
        <f>CONCATENATE(V2788,":",V2791, " ( ",AN2788,",",AO2788,",",AP2788,",",AQ2788,",",AR2788,",",AS2788,",",AT2788," ) ")</f>
        <v xml:space="preserve">3:2 ( -8,-9,13,6,7,, ) </v>
      </c>
    </row>
    <row r="2787" spans="1:53" ht="39.950000000000003" customHeight="1">
      <c r="C2787" s="223"/>
      <c r="D2787" s="223"/>
      <c r="E2787" s="264"/>
      <c r="F2787" s="265"/>
      <c r="G2787" s="321" t="s">
        <v>500</v>
      </c>
      <c r="H2787" s="323" t="s">
        <v>502</v>
      </c>
      <c r="I2787" s="263"/>
      <c r="J2787" s="263"/>
      <c r="K2787" s="263"/>
      <c r="L2787" s="263"/>
      <c r="M2787" s="263"/>
      <c r="N2787" s="266">
        <v>1</v>
      </c>
      <c r="O2787" s="266">
        <v>2</v>
      </c>
      <c r="P2787" s="266">
        <v>3</v>
      </c>
      <c r="Q2787" s="266">
        <v>4</v>
      </c>
      <c r="R2787" s="266">
        <v>5</v>
      </c>
      <c r="S2787" s="266">
        <v>6</v>
      </c>
      <c r="T2787" s="266">
        <v>7</v>
      </c>
      <c r="U2787" s="263"/>
      <c r="V2787" s="266" t="s">
        <v>31</v>
      </c>
      <c r="W2787" s="267"/>
      <c r="X2787" s="263"/>
      <c r="AE2787" s="253" t="s">
        <v>68</v>
      </c>
      <c r="AV2787" s="256" t="str">
        <f>CONCATENATE(V2791,":",V2788, " ( ",AN2789,",",AO2789,",",AP2789,",",AQ2789,",",AR2789,",",AS2789,",",AT2789," ) ")</f>
        <v xml:space="preserve">2:3 ( 8,9,-13,-6,-7,, ) </v>
      </c>
    </row>
    <row r="2788" spans="1:53" ht="39.950000000000003" customHeight="1">
      <c r="A2788" s="252" t="str">
        <f>CONCATENATE(A2786,1)</f>
        <v>CH4P141</v>
      </c>
      <c r="B2788" s="252" t="str">
        <f>VLOOKUP(A2788,'KO KODY SPOLU'!$A$3:$B$189,2,0)</f>
        <v>ĎANOVSKÝ / MILAN</v>
      </c>
      <c r="C2788" s="223"/>
      <c r="D2788" s="223"/>
      <c r="E2788" s="264" t="s">
        <v>29</v>
      </c>
      <c r="F2788" s="265">
        <f>VLOOKUP(CONCATENATE(A2786,1),'zoznam zapasov'!$A$6:$K$160,11,0)</f>
        <v>2</v>
      </c>
      <c r="G2788" s="508"/>
      <c r="H2788" s="319"/>
      <c r="I2788" s="487" t="str">
        <f>IF(ISERROR(VLOOKUP(B2788,vylosovanie!$N$75:$Q$191,3,0))=TRUE," ",VLOOKUP(B2788,vylosovanie!$N$75:$Q$191,3,0))</f>
        <v>ĎANOVSKÝ Martin</v>
      </c>
      <c r="J2788" s="488"/>
      <c r="K2788" s="488"/>
      <c r="L2788" s="488"/>
      <c r="M2788" s="263"/>
      <c r="N2788" s="489">
        <v>8</v>
      </c>
      <c r="O2788" s="489">
        <v>9</v>
      </c>
      <c r="P2788" s="489">
        <v>15</v>
      </c>
      <c r="Q2788" s="489">
        <v>11</v>
      </c>
      <c r="R2788" s="489">
        <v>11</v>
      </c>
      <c r="S2788" s="491"/>
      <c r="T2788" s="491"/>
      <c r="U2788" s="263"/>
      <c r="V2788" s="493">
        <f>IF(SUM(AF2788:AL2789)=0,"",SUM(AF2788:AL2788))</f>
        <v>3</v>
      </c>
      <c r="W2788" s="267"/>
      <c r="X2788" s="263"/>
      <c r="AE2788" s="253" t="str">
        <f>VLOOKUP(I2788,vylosovanie!$F$8:$L$190,7,0)</f>
        <v>CH52</v>
      </c>
      <c r="AF2788" s="268">
        <f>IF(N2788&gt;N2791,1,0)</f>
        <v>0</v>
      </c>
      <c r="AG2788" s="268">
        <f t="shared" ref="AG2788" si="2688">IF(O2788&gt;O2791,1,0)</f>
        <v>0</v>
      </c>
      <c r="AH2788" s="268">
        <f t="shared" ref="AH2788" si="2689">IF(P2788&gt;P2791,1,0)</f>
        <v>1</v>
      </c>
      <c r="AI2788" s="268">
        <f t="shared" ref="AI2788" si="2690">IF(Q2788&gt;Q2791,1,0)</f>
        <v>1</v>
      </c>
      <c r="AJ2788" s="268">
        <f t="shared" ref="AJ2788" si="2691">IF(R2788&gt;R2791,1,0)</f>
        <v>1</v>
      </c>
      <c r="AK2788" s="268">
        <f t="shared" ref="AK2788" si="2692">IF(S2788&gt;S2791,1,0)</f>
        <v>0</v>
      </c>
      <c r="AL2788" s="268">
        <f t="shared" ref="AL2788" si="2693">IF(T2788&gt;T2791,1,0)</f>
        <v>0</v>
      </c>
      <c r="AN2788" s="268">
        <f t="shared" ref="AN2788" si="2694">IF(ISBLANK(N2788)=TRUE,"",IF(AF2788=1,N2791,-N2788))</f>
        <v>-8</v>
      </c>
      <c r="AO2788" s="268">
        <f t="shared" ref="AO2788" si="2695">IF(ISBLANK(O2788)=TRUE,"",IF(AG2788=1,O2791,-O2788))</f>
        <v>-9</v>
      </c>
      <c r="AP2788" s="268">
        <f t="shared" ref="AP2788" si="2696">IF(ISBLANK(P2788)=TRUE,"",IF(AH2788=1,P2791,-P2788))</f>
        <v>13</v>
      </c>
      <c r="AQ2788" s="268">
        <f t="shared" ref="AQ2788" si="2697">IF(ISBLANK(Q2788)=TRUE,"",IF(AI2788=1,Q2791,-Q2788))</f>
        <v>6</v>
      </c>
      <c r="AR2788" s="268">
        <f t="shared" ref="AR2788" si="2698">IF(ISBLANK(R2788)=TRUE,"",IF(AJ2788=1,R2791,-R2788))</f>
        <v>7</v>
      </c>
      <c r="AS2788" s="268" t="str">
        <f t="shared" ref="AS2788" si="2699">IF(ISBLANK(S2788)=TRUE,"",IF(AK2788=1,S2791,-S2788))</f>
        <v/>
      </c>
      <c r="AT2788" s="268" t="str">
        <f t="shared" ref="AT2788" si="2700">IF(ISBLANK(T2788)=TRUE,"",IF(AL2788=1,T2791,-T2788))</f>
        <v/>
      </c>
      <c r="AZ2788" s="269" t="s">
        <v>12</v>
      </c>
      <c r="BA2788" s="269">
        <v>1</v>
      </c>
    </row>
    <row r="2789" spans="1:53" ht="39.950000000000003" customHeight="1">
      <c r="C2789" s="223"/>
      <c r="D2789" s="223"/>
      <c r="E2789" s="264"/>
      <c r="F2789" s="265"/>
      <c r="G2789" s="509"/>
      <c r="H2789" s="319"/>
      <c r="I2789" s="487" t="str">
        <f>IF(ISERROR(VLOOKUP(B2788,vylosovanie!$N$75:$Q$191,3,0))=TRUE," ",VLOOKUP(B2788,vylosovanie!$N$75:$Q$191,4,0))</f>
        <v>MILAN Martin</v>
      </c>
      <c r="J2789" s="488"/>
      <c r="K2789" s="488"/>
      <c r="L2789" s="488"/>
      <c r="M2789" s="263"/>
      <c r="N2789" s="490"/>
      <c r="O2789" s="490"/>
      <c r="P2789" s="490"/>
      <c r="Q2789" s="490"/>
      <c r="R2789" s="490"/>
      <c r="S2789" s="492"/>
      <c r="T2789" s="492"/>
      <c r="U2789" s="263"/>
      <c r="V2789" s="493"/>
      <c r="W2789" s="267"/>
      <c r="X2789" s="263"/>
      <c r="AE2789" s="253" t="str">
        <f>VLOOKUP(I2791,vylosovanie!$F$8:$L$190,7,0)</f>
        <v>CH42</v>
      </c>
      <c r="AF2789" s="268">
        <f>IF(N2791&gt;N2788,1,0)</f>
        <v>1</v>
      </c>
      <c r="AG2789" s="268">
        <f t="shared" ref="AG2789" si="2701">IF(O2791&gt;O2788,1,0)</f>
        <v>1</v>
      </c>
      <c r="AH2789" s="268">
        <f t="shared" ref="AH2789" si="2702">IF(P2791&gt;P2788,1,0)</f>
        <v>0</v>
      </c>
      <c r="AI2789" s="268">
        <f t="shared" ref="AI2789" si="2703">IF(Q2791&gt;Q2788,1,0)</f>
        <v>0</v>
      </c>
      <c r="AJ2789" s="268">
        <f t="shared" ref="AJ2789" si="2704">IF(R2791&gt;R2788,1,0)</f>
        <v>0</v>
      </c>
      <c r="AK2789" s="268">
        <f t="shared" ref="AK2789" si="2705">IF(S2791&gt;S2788,1,0)</f>
        <v>0</v>
      </c>
      <c r="AL2789" s="268">
        <f t="shared" ref="AL2789" si="2706">IF(T2791&gt;T2788,1,0)</f>
        <v>0</v>
      </c>
      <c r="AN2789" s="268">
        <f t="shared" ref="AN2789" si="2707">IF(ISBLANK(N2791)=TRUE,"",IF(AF2789=1,N2788,-N2791))</f>
        <v>8</v>
      </c>
      <c r="AO2789" s="268">
        <f t="shared" ref="AO2789" si="2708">IF(ISBLANK(O2791)=TRUE,"",IF(AG2789=1,O2788,-O2791))</f>
        <v>9</v>
      </c>
      <c r="AP2789" s="268">
        <f t="shared" ref="AP2789" si="2709">IF(ISBLANK(P2791)=TRUE,"",IF(AH2789=1,P2788,-P2791))</f>
        <v>-13</v>
      </c>
      <c r="AQ2789" s="268">
        <f t="shared" ref="AQ2789" si="2710">IF(ISBLANK(Q2791)=TRUE,"",IF(AI2789=1,Q2788,-Q2791))</f>
        <v>-6</v>
      </c>
      <c r="AR2789" s="268">
        <f t="shared" ref="AR2789" si="2711">IF(ISBLANK(R2791)=TRUE,"",IF(AJ2789=1,R2788,-R2791))</f>
        <v>-7</v>
      </c>
      <c r="AS2789" s="268" t="str">
        <f t="shared" ref="AS2789" si="2712">IF(ISBLANK(S2791)=TRUE,"",IF(AK2789=1,S2788,-S2791))</f>
        <v/>
      </c>
      <c r="AT2789" s="268" t="str">
        <f t="shared" ref="AT2789" si="2713">IF(ISBLANK(T2791)=TRUE,"",IF(AL2789=1,T2788,-T2791))</f>
        <v/>
      </c>
      <c r="AZ2789" s="269" t="s">
        <v>18</v>
      </c>
      <c r="BA2789" s="269">
        <v>2</v>
      </c>
    </row>
    <row r="2790" spans="1:53" ht="39.950000000000003" customHeight="1">
      <c r="C2790" s="223"/>
      <c r="D2790" s="223"/>
      <c r="E2790" s="264" t="s">
        <v>35</v>
      </c>
      <c r="F2790" s="265" t="str">
        <f>VLOOKUP(CONCATENATE(A2786,1),'zoznam zapasov'!$A$6:$K$160,9,0)</f>
        <v>Ne</v>
      </c>
      <c r="G2790" s="263"/>
      <c r="H2790" s="263"/>
      <c r="I2790" s="263"/>
      <c r="J2790" s="263"/>
      <c r="K2790" s="263"/>
      <c r="L2790" s="263"/>
      <c r="M2790" s="263"/>
      <c r="N2790" s="263"/>
      <c r="O2790" s="263"/>
      <c r="P2790" s="263"/>
      <c r="Q2790" s="263"/>
      <c r="R2790" s="263"/>
      <c r="S2790" s="263"/>
      <c r="T2790" s="263"/>
      <c r="U2790" s="263"/>
      <c r="V2790" s="263"/>
      <c r="W2790" s="267"/>
      <c r="X2790" s="263"/>
      <c r="AZ2790" s="269" t="s">
        <v>38</v>
      </c>
      <c r="BA2790" s="269">
        <v>3</v>
      </c>
    </row>
    <row r="2791" spans="1:53" ht="39.950000000000003" customHeight="1">
      <c r="A2791" s="252" t="str">
        <f>CONCATENATE(A2786,2)</f>
        <v>CH4P142</v>
      </c>
      <c r="B2791" s="252" t="str">
        <f>VLOOKUP(A2791,'KO KODY SPOLU'!$A$3:$B$189,2,0)</f>
        <v>HURKA / JALOVECKÝ</v>
      </c>
      <c r="C2791" s="223"/>
      <c r="D2791" s="223"/>
      <c r="E2791" s="264" t="s">
        <v>28</v>
      </c>
      <c r="F2791" s="270" t="str">
        <f>VLOOKUP(CONCATENATE(A2786,1),'zoznam zapasov'!$A$6:$K$160,10,0)</f>
        <v>9.30</v>
      </c>
      <c r="G2791" s="508"/>
      <c r="H2791" s="319"/>
      <c r="I2791" s="487" t="str">
        <f>IF(ISERROR(VLOOKUP(B2791,vylosovanie!$N$75:$Q$191,3,0))=TRUE," ",VLOOKUP(B2791,vylosovanie!$N$75:$Q$191,3,0))</f>
        <v>HURKA Rastislav</v>
      </c>
      <c r="J2791" s="488"/>
      <c r="K2791" s="488"/>
      <c r="L2791" s="488"/>
      <c r="M2791" s="263"/>
      <c r="N2791" s="489">
        <v>11</v>
      </c>
      <c r="O2791" s="489">
        <v>11</v>
      </c>
      <c r="P2791" s="489">
        <v>13</v>
      </c>
      <c r="Q2791" s="489">
        <v>6</v>
      </c>
      <c r="R2791" s="489">
        <v>7</v>
      </c>
      <c r="S2791" s="491"/>
      <c r="T2791" s="491"/>
      <c r="U2791" s="263"/>
      <c r="V2791" s="493">
        <f>IF(SUM(AF2788:AL2789)=0,"",SUM(AF2789:AL2789))</f>
        <v>2</v>
      </c>
      <c r="W2791" s="267"/>
      <c r="X2791" s="263"/>
      <c r="AZ2791" s="269" t="s">
        <v>39</v>
      </c>
      <c r="BA2791" s="269">
        <v>4</v>
      </c>
    </row>
    <row r="2792" spans="1:53" ht="39.950000000000003" customHeight="1">
      <c r="C2792" s="223"/>
      <c r="D2792" s="223"/>
      <c r="E2792" s="271"/>
      <c r="F2792" s="272"/>
      <c r="G2792" s="509"/>
      <c r="H2792" s="319"/>
      <c r="I2792" s="487" t="str">
        <f>IF(ISERROR(VLOOKUP(B2791,vylosovanie!$N$75:$Q$191,3,0))=TRUE," ",VLOOKUP(B2791,vylosovanie!$N$75:$Q$191,4,0))</f>
        <v>JALOVECKÝ Marek</v>
      </c>
      <c r="J2792" s="488"/>
      <c r="K2792" s="488"/>
      <c r="L2792" s="488"/>
      <c r="M2792" s="263"/>
      <c r="N2792" s="490"/>
      <c r="O2792" s="490"/>
      <c r="P2792" s="490"/>
      <c r="Q2792" s="490"/>
      <c r="R2792" s="490"/>
      <c r="S2792" s="492"/>
      <c r="T2792" s="492"/>
      <c r="U2792" s="263"/>
      <c r="V2792" s="493"/>
      <c r="W2792" s="267"/>
      <c r="X2792" s="263"/>
      <c r="AZ2792" s="269" t="s">
        <v>40</v>
      </c>
      <c r="BA2792" s="269">
        <v>5</v>
      </c>
    </row>
    <row r="2793" spans="1:53" ht="39.950000000000003" customHeight="1">
      <c r="C2793" s="223"/>
      <c r="D2793" s="223"/>
      <c r="E2793" s="264" t="s">
        <v>66</v>
      </c>
      <c r="F2793" s="265" t="s">
        <v>309</v>
      </c>
      <c r="G2793" s="263"/>
      <c r="H2793" s="263"/>
      <c r="I2793" s="263"/>
      <c r="J2793" s="263"/>
      <c r="K2793" s="263"/>
      <c r="L2793" s="263"/>
      <c r="M2793" s="263"/>
      <c r="N2793" s="263"/>
      <c r="O2793" s="263"/>
      <c r="P2793" s="263"/>
      <c r="Q2793" s="263"/>
      <c r="R2793" s="263"/>
      <c r="S2793" s="263"/>
      <c r="T2793" s="263"/>
      <c r="U2793" s="263"/>
      <c r="V2793" s="263"/>
      <c r="W2793" s="267"/>
      <c r="X2793" s="263"/>
      <c r="AZ2793" s="269" t="s">
        <v>41</v>
      </c>
      <c r="BA2793" s="269">
        <v>6</v>
      </c>
    </row>
    <row r="2794" spans="1:53" ht="39.950000000000003" customHeight="1">
      <c r="C2794" s="223"/>
      <c r="D2794" s="223"/>
      <c r="E2794" s="271"/>
      <c r="F2794" s="272"/>
      <c r="G2794" s="263"/>
      <c r="H2794" s="263"/>
      <c r="I2794" s="263" t="s">
        <v>32</v>
      </c>
      <c r="J2794" s="263"/>
      <c r="K2794" s="263"/>
      <c r="L2794" s="263"/>
      <c r="M2794" s="263"/>
      <c r="N2794" s="273"/>
      <c r="O2794" s="266"/>
      <c r="P2794" s="266" t="s">
        <v>34</v>
      </c>
      <c r="Q2794" s="266"/>
      <c r="R2794" s="266"/>
      <c r="S2794" s="266"/>
      <c r="T2794" s="266"/>
      <c r="U2794" s="263"/>
      <c r="V2794" s="263"/>
      <c r="W2794" s="267"/>
      <c r="X2794" s="263"/>
      <c r="AZ2794" s="269" t="s">
        <v>42</v>
      </c>
      <c r="BA2794" s="269">
        <v>7</v>
      </c>
    </row>
    <row r="2795" spans="1:53" ht="39.950000000000003" customHeight="1">
      <c r="E2795" s="264" t="s">
        <v>26</v>
      </c>
      <c r="F2795" s="265" t="s">
        <v>128</v>
      </c>
      <c r="G2795" s="263"/>
      <c r="H2795" s="263"/>
      <c r="I2795" s="486"/>
      <c r="J2795" s="486"/>
      <c r="K2795" s="486"/>
      <c r="L2795" s="486"/>
      <c r="M2795" s="263"/>
      <c r="N2795" s="483" t="str">
        <f>IF(V2788&gt;V2791,I2788,IF(V2791&gt;V2788,I2791,""))</f>
        <v>ĎANOVSKÝ Martin</v>
      </c>
      <c r="O2795" s="494"/>
      <c r="P2795" s="494"/>
      <c r="Q2795" s="494"/>
      <c r="R2795" s="494"/>
      <c r="S2795" s="495"/>
      <c r="T2795" s="263"/>
      <c r="U2795" s="263"/>
      <c r="V2795" s="263"/>
      <c r="W2795" s="267"/>
      <c r="X2795" s="263"/>
      <c r="AZ2795" s="269" t="s">
        <v>43</v>
      </c>
      <c r="BA2795" s="269">
        <v>8</v>
      </c>
    </row>
    <row r="2796" spans="1:53" ht="39.950000000000003" customHeight="1">
      <c r="E2796" s="271"/>
      <c r="F2796" s="272"/>
      <c r="G2796" s="263"/>
      <c r="H2796" s="263"/>
      <c r="I2796" s="486"/>
      <c r="J2796" s="486"/>
      <c r="K2796" s="486"/>
      <c r="L2796" s="486"/>
      <c r="M2796" s="263"/>
      <c r="N2796" s="483" t="str">
        <f>IF(V2788&gt;V2791,I2789,IF(V2791&gt;V2788,I2792,""))</f>
        <v>MILAN Martin</v>
      </c>
      <c r="O2796" s="494"/>
      <c r="P2796" s="494"/>
      <c r="Q2796" s="494"/>
      <c r="R2796" s="494"/>
      <c r="S2796" s="495"/>
      <c r="T2796" s="263"/>
      <c r="U2796" s="263"/>
      <c r="V2796" s="263"/>
      <c r="W2796" s="267"/>
      <c r="X2796" s="263"/>
    </row>
    <row r="2797" spans="1:53" ht="39.950000000000003" customHeight="1">
      <c r="E2797" s="264" t="s">
        <v>27</v>
      </c>
      <c r="F2797" s="274" t="s">
        <v>353</v>
      </c>
      <c r="G2797" s="263"/>
      <c r="H2797" s="263"/>
      <c r="I2797" s="263"/>
      <c r="J2797" s="263"/>
      <c r="K2797" s="263"/>
      <c r="L2797" s="263"/>
      <c r="M2797" s="263"/>
      <c r="N2797" s="263"/>
      <c r="O2797" s="263"/>
      <c r="P2797" s="263"/>
      <c r="Q2797" s="263"/>
      <c r="R2797" s="263"/>
      <c r="S2797" s="263"/>
      <c r="T2797" s="263"/>
      <c r="U2797" s="263"/>
      <c r="V2797" s="263"/>
      <c r="W2797" s="267"/>
      <c r="X2797" s="263"/>
    </row>
    <row r="2798" spans="1:53" ht="39.950000000000003" customHeight="1">
      <c r="E2798" s="271"/>
      <c r="F2798" s="272"/>
      <c r="G2798" s="263"/>
      <c r="H2798" s="263" t="s">
        <v>33</v>
      </c>
      <c r="I2798" s="263"/>
      <c r="J2798" s="263"/>
      <c r="K2798" s="263"/>
      <c r="L2798" s="263"/>
      <c r="M2798" s="263"/>
      <c r="N2798" s="263"/>
      <c r="O2798" s="263"/>
      <c r="P2798" s="263"/>
      <c r="Q2798" s="263"/>
      <c r="R2798" s="263"/>
      <c r="S2798" s="263"/>
      <c r="T2798" s="263"/>
      <c r="U2798" s="263"/>
      <c r="V2798" s="263"/>
      <c r="W2798" s="267"/>
      <c r="X2798" s="263"/>
    </row>
    <row r="2799" spans="1:53" ht="39.950000000000003" customHeight="1">
      <c r="E2799" s="271"/>
      <c r="F2799" s="272"/>
      <c r="G2799" s="263"/>
      <c r="H2799" s="263"/>
      <c r="I2799" s="263"/>
      <c r="J2799" s="263"/>
      <c r="K2799" s="263"/>
      <c r="L2799" s="263"/>
      <c r="M2799" s="263"/>
      <c r="N2799" s="263"/>
      <c r="O2799" s="263"/>
      <c r="P2799" s="263"/>
      <c r="Q2799" s="263"/>
      <c r="R2799" s="263"/>
      <c r="S2799" s="263"/>
      <c r="T2799" s="263"/>
      <c r="U2799" s="263"/>
      <c r="V2799" s="263"/>
      <c r="W2799" s="267"/>
      <c r="X2799" s="263"/>
    </row>
    <row r="2800" spans="1:53" ht="39.950000000000003" customHeight="1">
      <c r="E2800" s="271"/>
      <c r="F2800" s="272"/>
      <c r="G2800" s="263"/>
      <c r="H2800" s="263"/>
      <c r="I2800" s="496" t="str">
        <f>I2788</f>
        <v>ĎANOVSKÝ Martin</v>
      </c>
      <c r="J2800" s="496"/>
      <c r="K2800" s="496"/>
      <c r="L2800" s="496"/>
      <c r="M2800" s="263"/>
      <c r="N2800" s="263"/>
      <c r="P2800" s="496" t="str">
        <f>I2791</f>
        <v>HURKA Rastislav</v>
      </c>
      <c r="Q2800" s="496"/>
      <c r="R2800" s="496"/>
      <c r="S2800" s="496"/>
      <c r="T2800" s="497"/>
      <c r="U2800" s="497"/>
      <c r="V2800" s="263"/>
      <c r="W2800" s="267"/>
      <c r="X2800" s="263"/>
    </row>
    <row r="2801" spans="1:53" ht="39.950000000000003" customHeight="1">
      <c r="E2801" s="271"/>
      <c r="F2801" s="272"/>
      <c r="G2801" s="263"/>
      <c r="H2801" s="263"/>
      <c r="I2801" s="496" t="str">
        <f>I2789</f>
        <v>MILAN Martin</v>
      </c>
      <c r="J2801" s="496"/>
      <c r="K2801" s="496"/>
      <c r="L2801" s="496"/>
      <c r="M2801" s="263"/>
      <c r="N2801" s="263"/>
      <c r="O2801" s="263"/>
      <c r="P2801" s="496" t="str">
        <f>I2792</f>
        <v>JALOVECKÝ Marek</v>
      </c>
      <c r="Q2801" s="496"/>
      <c r="R2801" s="496"/>
      <c r="S2801" s="496"/>
      <c r="T2801" s="497"/>
      <c r="U2801" s="497"/>
      <c r="V2801" s="263"/>
      <c r="W2801" s="267"/>
      <c r="X2801" s="263"/>
    </row>
    <row r="2802" spans="1:53" ht="69.95" customHeight="1">
      <c r="E2802" s="264"/>
      <c r="F2802" s="265"/>
      <c r="G2802" s="263"/>
      <c r="H2802" s="275" t="s">
        <v>36</v>
      </c>
      <c r="I2802" s="483"/>
      <c r="J2802" s="484"/>
      <c r="K2802" s="484"/>
      <c r="L2802" s="485"/>
      <c r="M2802" s="263"/>
      <c r="N2802" s="263"/>
      <c r="O2802" s="275" t="s">
        <v>36</v>
      </c>
      <c r="P2802" s="486"/>
      <c r="Q2802" s="486"/>
      <c r="R2802" s="486"/>
      <c r="S2802" s="486"/>
      <c r="T2802" s="486"/>
      <c r="U2802" s="486"/>
      <c r="V2802" s="263"/>
      <c r="W2802" s="267"/>
      <c r="X2802" s="263"/>
    </row>
    <row r="2803" spans="1:53" ht="69.95" customHeight="1">
      <c r="E2803" s="264"/>
      <c r="F2803" s="265"/>
      <c r="G2803" s="263"/>
      <c r="H2803" s="275" t="s">
        <v>37</v>
      </c>
      <c r="I2803" s="486"/>
      <c r="J2803" s="486"/>
      <c r="K2803" s="486"/>
      <c r="L2803" s="486"/>
      <c r="M2803" s="263"/>
      <c r="N2803" s="263"/>
      <c r="O2803" s="275" t="s">
        <v>37</v>
      </c>
      <c r="P2803" s="486"/>
      <c r="Q2803" s="486"/>
      <c r="R2803" s="486"/>
      <c r="S2803" s="486"/>
      <c r="T2803" s="486"/>
      <c r="U2803" s="486"/>
      <c r="V2803" s="263"/>
      <c r="W2803" s="267"/>
      <c r="X2803" s="263"/>
    </row>
    <row r="2804" spans="1:53" ht="69.95" customHeight="1">
      <c r="E2804" s="264"/>
      <c r="F2804" s="265"/>
      <c r="G2804" s="263"/>
      <c r="H2804" s="275" t="s">
        <v>37</v>
      </c>
      <c r="I2804" s="486"/>
      <c r="J2804" s="486"/>
      <c r="K2804" s="486"/>
      <c r="L2804" s="486"/>
      <c r="M2804" s="263"/>
      <c r="N2804" s="263"/>
      <c r="O2804" s="275" t="s">
        <v>37</v>
      </c>
      <c r="P2804" s="486"/>
      <c r="Q2804" s="486"/>
      <c r="R2804" s="486"/>
      <c r="S2804" s="486"/>
      <c r="T2804" s="486"/>
      <c r="U2804" s="486"/>
      <c r="V2804" s="263"/>
      <c r="W2804" s="267"/>
      <c r="X2804" s="263"/>
    </row>
    <row r="2805" spans="1:53" ht="39.950000000000003" customHeight="1" thickBot="1">
      <c r="E2805" s="276"/>
      <c r="F2805" s="277"/>
      <c r="G2805" s="278"/>
      <c r="H2805" s="278"/>
      <c r="I2805" s="278"/>
      <c r="J2805" s="278"/>
      <c r="K2805" s="278"/>
      <c r="L2805" s="278"/>
      <c r="M2805" s="278"/>
      <c r="N2805" s="278"/>
      <c r="O2805" s="278"/>
      <c r="P2805" s="278"/>
      <c r="Q2805" s="278"/>
      <c r="R2805" s="278"/>
      <c r="S2805" s="278"/>
      <c r="T2805" s="279"/>
      <c r="U2805" s="279"/>
      <c r="V2805" s="279"/>
      <c r="W2805" s="280"/>
      <c r="X2805" s="263"/>
    </row>
    <row r="2806" spans="1:53" ht="62.25" thickBot="1"/>
    <row r="2807" spans="1:53" ht="39.950000000000003" customHeight="1">
      <c r="A2807" s="252" t="str">
        <f>CONCATENATE(F2814,F2816,F2818)</f>
        <v>D4P13</v>
      </c>
      <c r="C2807" s="223"/>
      <c r="D2807" s="223"/>
      <c r="E2807" s="259" t="s">
        <v>70</v>
      </c>
      <c r="F2807" s="260">
        <f>VLOOKUP(CONCATENATE(A2807,1),'zoznam zapasov'!$A$6:$K$160,3,0)</f>
        <v>139</v>
      </c>
      <c r="G2807" s="261"/>
      <c r="H2807" s="322" t="s">
        <v>501</v>
      </c>
      <c r="I2807" s="261"/>
      <c r="J2807" s="261"/>
      <c r="K2807" s="261"/>
      <c r="L2807" s="261" t="s">
        <v>535</v>
      </c>
      <c r="M2807" s="261"/>
      <c r="N2807" s="261"/>
      <c r="O2807" s="261"/>
      <c r="P2807" s="261"/>
      <c r="Q2807" s="261"/>
      <c r="R2807" s="261"/>
      <c r="S2807" s="261"/>
      <c r="T2807" s="261"/>
      <c r="U2807" s="261"/>
      <c r="V2807" s="261" t="s">
        <v>30</v>
      </c>
      <c r="W2807" s="262"/>
      <c r="X2807" s="263"/>
      <c r="Y2807" s="253" t="str">
        <f>A2809</f>
        <v>D4P131</v>
      </c>
      <c r="Z2807" s="258" t="str">
        <f>CONCATENATE(V2809,":",V2812)</f>
        <v>3:0</v>
      </c>
      <c r="AA2807" s="255" t="str">
        <f>IF(V2809&gt;V2812,B2809,IF(V2812&gt;V2809,B2812,""))</f>
        <v>LABOŠOVÁ / ŠINKAROVÁ</v>
      </c>
      <c r="AB2807" s="255" t="str">
        <f>IF(V2809&gt;V2812,AV2807,IF(V2812&gt;V2809,AV2808,""))</f>
        <v xml:space="preserve">3:0 ( 6,4,3,,,, ) </v>
      </c>
      <c r="AC2807" s="255" t="str">
        <f>CONCATENATE("Tbl.: ",F2809,"   H: ",F2812,"   D: ",F2811)</f>
        <v>Tbl.: 3   H: 9.30   D: Ne</v>
      </c>
      <c r="AE2807" s="253" t="s">
        <v>11</v>
      </c>
      <c r="AV2807" s="256" t="str">
        <f>CONCATENATE(V2809,":",V2812, " ( ",AN2809,",",AO2809,",",AP2809,",",AQ2809,",",AR2809,",",AS2809,",",AT2809," ) ")</f>
        <v xml:space="preserve">3:0 ( 6,4,3,,,, ) </v>
      </c>
    </row>
    <row r="2808" spans="1:53" ht="39.950000000000003" customHeight="1">
      <c r="C2808" s="223"/>
      <c r="D2808" s="223"/>
      <c r="E2808" s="264"/>
      <c r="F2808" s="265"/>
      <c r="G2808" s="321" t="s">
        <v>500</v>
      </c>
      <c r="H2808" s="323" t="s">
        <v>502</v>
      </c>
      <c r="I2808" s="263"/>
      <c r="J2808" s="263"/>
      <c r="K2808" s="263"/>
      <c r="L2808" s="263"/>
      <c r="M2808" s="263"/>
      <c r="N2808" s="266">
        <v>1</v>
      </c>
      <c r="O2808" s="266">
        <v>2</v>
      </c>
      <c r="P2808" s="266">
        <v>3</v>
      </c>
      <c r="Q2808" s="266">
        <v>4</v>
      </c>
      <c r="R2808" s="266">
        <v>5</v>
      </c>
      <c r="S2808" s="266">
        <v>6</v>
      </c>
      <c r="T2808" s="266">
        <v>7</v>
      </c>
      <c r="U2808" s="263"/>
      <c r="V2808" s="266" t="s">
        <v>31</v>
      </c>
      <c r="W2808" s="267"/>
      <c r="X2808" s="263"/>
      <c r="AE2808" s="253" t="s">
        <v>68</v>
      </c>
      <c r="AV2808" s="256" t="str">
        <f>CONCATENATE(V2812,":",V2809, " ( ",AN2810,",",AO2810,",",AP2810,",",AQ2810,",",AR2810,",",AS2810,",",AT2810," ) ")</f>
        <v xml:space="preserve">0:3 ( -6,-4,-3,,,, ) </v>
      </c>
    </row>
    <row r="2809" spans="1:53" ht="39.950000000000003" customHeight="1">
      <c r="A2809" s="252" t="str">
        <f>CONCATENATE(A2807,1)</f>
        <v>D4P131</v>
      </c>
      <c r="B2809" s="252" t="str">
        <f>VLOOKUP(A2809,'KO KODY SPOLU'!$A$3:$B$189,2,0)</f>
        <v>LABOŠOVÁ / ŠINKAROVÁ</v>
      </c>
      <c r="C2809" s="223"/>
      <c r="D2809" s="223"/>
      <c r="E2809" s="264" t="s">
        <v>29</v>
      </c>
      <c r="F2809" s="265">
        <f>VLOOKUP(CONCATENATE(A2807,1),'zoznam zapasov'!$A$6:$K$160,11,0)</f>
        <v>3</v>
      </c>
      <c r="G2809" s="508"/>
      <c r="H2809" s="319"/>
      <c r="I2809" s="487" t="str">
        <f>IF(ISERROR(VLOOKUP(B2809,vylosovanie!$N$75:$Q$191,3,0))=TRUE," ",VLOOKUP(B2809,vylosovanie!$N$75:$Q$191,3,0))</f>
        <v>LABOŠOVÁ Ema</v>
      </c>
      <c r="J2809" s="488"/>
      <c r="K2809" s="488"/>
      <c r="L2809" s="488"/>
      <c r="M2809" s="263"/>
      <c r="N2809" s="489">
        <v>11</v>
      </c>
      <c r="O2809" s="489">
        <v>11</v>
      </c>
      <c r="P2809" s="489">
        <v>11</v>
      </c>
      <c r="Q2809" s="489"/>
      <c r="R2809" s="489"/>
      <c r="S2809" s="491"/>
      <c r="T2809" s="491"/>
      <c r="U2809" s="263"/>
      <c r="V2809" s="493">
        <f>IF(SUM(AF2809:AL2810)=0,"",SUM(AF2809:AL2809))</f>
        <v>3</v>
      </c>
      <c r="W2809" s="267"/>
      <c r="X2809" s="263"/>
      <c r="AE2809" s="253" t="str">
        <f>VLOOKUP(I2809,vylosovanie!$F$8:$L$190,7,0)</f>
        <v>D11</v>
      </c>
      <c r="AF2809" s="268">
        <f>IF(N2809&gt;N2812,1,0)</f>
        <v>1</v>
      </c>
      <c r="AG2809" s="268">
        <f t="shared" ref="AG2809" si="2714">IF(O2809&gt;O2812,1,0)</f>
        <v>1</v>
      </c>
      <c r="AH2809" s="268">
        <f t="shared" ref="AH2809" si="2715">IF(P2809&gt;P2812,1,0)</f>
        <v>1</v>
      </c>
      <c r="AI2809" s="268">
        <f t="shared" ref="AI2809" si="2716">IF(Q2809&gt;Q2812,1,0)</f>
        <v>0</v>
      </c>
      <c r="AJ2809" s="268">
        <f t="shared" ref="AJ2809" si="2717">IF(R2809&gt;R2812,1,0)</f>
        <v>0</v>
      </c>
      <c r="AK2809" s="268">
        <f t="shared" ref="AK2809" si="2718">IF(S2809&gt;S2812,1,0)</f>
        <v>0</v>
      </c>
      <c r="AL2809" s="268">
        <f t="shared" ref="AL2809" si="2719">IF(T2809&gt;T2812,1,0)</f>
        <v>0</v>
      </c>
      <c r="AN2809" s="268">
        <f t="shared" ref="AN2809" si="2720">IF(ISBLANK(N2809)=TRUE,"",IF(AF2809=1,N2812,-N2809))</f>
        <v>6</v>
      </c>
      <c r="AO2809" s="268">
        <f t="shared" ref="AO2809" si="2721">IF(ISBLANK(O2809)=TRUE,"",IF(AG2809=1,O2812,-O2809))</f>
        <v>4</v>
      </c>
      <c r="AP2809" s="268">
        <f t="shared" ref="AP2809" si="2722">IF(ISBLANK(P2809)=TRUE,"",IF(AH2809=1,P2812,-P2809))</f>
        <v>3</v>
      </c>
      <c r="AQ2809" s="268" t="str">
        <f t="shared" ref="AQ2809" si="2723">IF(ISBLANK(Q2809)=TRUE,"",IF(AI2809=1,Q2812,-Q2809))</f>
        <v/>
      </c>
      <c r="AR2809" s="268" t="str">
        <f t="shared" ref="AR2809" si="2724">IF(ISBLANK(R2809)=TRUE,"",IF(AJ2809=1,R2812,-R2809))</f>
        <v/>
      </c>
      <c r="AS2809" s="268" t="str">
        <f t="shared" ref="AS2809" si="2725">IF(ISBLANK(S2809)=TRUE,"",IF(AK2809=1,S2812,-S2809))</f>
        <v/>
      </c>
      <c r="AT2809" s="268" t="str">
        <f t="shared" ref="AT2809" si="2726">IF(ISBLANK(T2809)=TRUE,"",IF(AL2809=1,T2812,-T2809))</f>
        <v/>
      </c>
      <c r="AZ2809" s="269" t="s">
        <v>12</v>
      </c>
      <c r="BA2809" s="269">
        <v>1</v>
      </c>
    </row>
    <row r="2810" spans="1:53" ht="39.950000000000003" customHeight="1">
      <c r="C2810" s="223"/>
      <c r="D2810" s="223"/>
      <c r="E2810" s="264"/>
      <c r="F2810" s="265"/>
      <c r="G2810" s="509"/>
      <c r="H2810" s="319"/>
      <c r="I2810" s="487" t="str">
        <f>IF(ISERROR(VLOOKUP(B2809,vylosovanie!$N$75:$Q$191,3,0))=TRUE," ",VLOOKUP(B2809,vylosovanie!$N$75:$Q$191,4,0))</f>
        <v>ŠINKAROVÁ Dáša</v>
      </c>
      <c r="J2810" s="488"/>
      <c r="K2810" s="488"/>
      <c r="L2810" s="488"/>
      <c r="M2810" s="263"/>
      <c r="N2810" s="490"/>
      <c r="O2810" s="490"/>
      <c r="P2810" s="490"/>
      <c r="Q2810" s="490"/>
      <c r="R2810" s="490"/>
      <c r="S2810" s="492"/>
      <c r="T2810" s="492"/>
      <c r="U2810" s="263"/>
      <c r="V2810" s="493"/>
      <c r="W2810" s="267"/>
      <c r="X2810" s="263"/>
      <c r="AE2810" s="253" t="str">
        <f>VLOOKUP(I2812,vylosovanie!$F$8:$L$190,7,0)</f>
        <v>D61</v>
      </c>
      <c r="AF2810" s="268">
        <f>IF(N2812&gt;N2809,1,0)</f>
        <v>0</v>
      </c>
      <c r="AG2810" s="268">
        <f t="shared" ref="AG2810" si="2727">IF(O2812&gt;O2809,1,0)</f>
        <v>0</v>
      </c>
      <c r="AH2810" s="268">
        <f t="shared" ref="AH2810" si="2728">IF(P2812&gt;P2809,1,0)</f>
        <v>0</v>
      </c>
      <c r="AI2810" s="268">
        <f t="shared" ref="AI2810" si="2729">IF(Q2812&gt;Q2809,1,0)</f>
        <v>0</v>
      </c>
      <c r="AJ2810" s="268">
        <f t="shared" ref="AJ2810" si="2730">IF(R2812&gt;R2809,1,0)</f>
        <v>0</v>
      </c>
      <c r="AK2810" s="268">
        <f t="shared" ref="AK2810" si="2731">IF(S2812&gt;S2809,1,0)</f>
        <v>0</v>
      </c>
      <c r="AL2810" s="268">
        <f t="shared" ref="AL2810" si="2732">IF(T2812&gt;T2809,1,0)</f>
        <v>0</v>
      </c>
      <c r="AN2810" s="268">
        <f t="shared" ref="AN2810" si="2733">IF(ISBLANK(N2812)=TRUE,"",IF(AF2810=1,N2809,-N2812))</f>
        <v>-6</v>
      </c>
      <c r="AO2810" s="268">
        <f t="shared" ref="AO2810" si="2734">IF(ISBLANK(O2812)=TRUE,"",IF(AG2810=1,O2809,-O2812))</f>
        <v>-4</v>
      </c>
      <c r="AP2810" s="268">
        <f t="shared" ref="AP2810" si="2735">IF(ISBLANK(P2812)=TRUE,"",IF(AH2810=1,P2809,-P2812))</f>
        <v>-3</v>
      </c>
      <c r="AQ2810" s="268" t="str">
        <f t="shared" ref="AQ2810" si="2736">IF(ISBLANK(Q2812)=TRUE,"",IF(AI2810=1,Q2809,-Q2812))</f>
        <v/>
      </c>
      <c r="AR2810" s="268" t="str">
        <f t="shared" ref="AR2810" si="2737">IF(ISBLANK(R2812)=TRUE,"",IF(AJ2810=1,R2809,-R2812))</f>
        <v/>
      </c>
      <c r="AS2810" s="268" t="str">
        <f t="shared" ref="AS2810" si="2738">IF(ISBLANK(S2812)=TRUE,"",IF(AK2810=1,S2809,-S2812))</f>
        <v/>
      </c>
      <c r="AT2810" s="268" t="str">
        <f t="shared" ref="AT2810" si="2739">IF(ISBLANK(T2812)=TRUE,"",IF(AL2810=1,T2809,-T2812))</f>
        <v/>
      </c>
      <c r="AZ2810" s="269" t="s">
        <v>18</v>
      </c>
      <c r="BA2810" s="269">
        <v>2</v>
      </c>
    </row>
    <row r="2811" spans="1:53" ht="39.950000000000003" customHeight="1">
      <c r="C2811" s="223"/>
      <c r="D2811" s="223"/>
      <c r="E2811" s="264" t="s">
        <v>35</v>
      </c>
      <c r="F2811" s="265" t="str">
        <f>VLOOKUP(CONCATENATE(A2807,1),'zoznam zapasov'!$A$6:$K$160,9,0)</f>
        <v>Ne</v>
      </c>
      <c r="G2811" s="263"/>
      <c r="H2811" s="263"/>
      <c r="I2811" s="263"/>
      <c r="J2811" s="263"/>
      <c r="K2811" s="263"/>
      <c r="L2811" s="263"/>
      <c r="M2811" s="263"/>
      <c r="N2811" s="263"/>
      <c r="O2811" s="263"/>
      <c r="P2811" s="263"/>
      <c r="Q2811" s="263"/>
      <c r="R2811" s="263"/>
      <c r="S2811" s="263"/>
      <c r="T2811" s="263"/>
      <c r="U2811" s="263"/>
      <c r="V2811" s="263"/>
      <c r="W2811" s="267"/>
      <c r="X2811" s="263"/>
      <c r="AZ2811" s="269" t="s">
        <v>38</v>
      </c>
      <c r="BA2811" s="269">
        <v>3</v>
      </c>
    </row>
    <row r="2812" spans="1:53" ht="39.950000000000003" customHeight="1">
      <c r="A2812" s="252" t="str">
        <f>CONCATENATE(A2807,2)</f>
        <v>D4P132</v>
      </c>
      <c r="B2812" s="252" t="str">
        <f>VLOOKUP(A2812,'KO KODY SPOLU'!$A$3:$B$189,2,0)</f>
        <v>ŠVAJDLENKOVÁ / HURBANOVÁ</v>
      </c>
      <c r="C2812" s="223"/>
      <c r="D2812" s="223"/>
      <c r="E2812" s="264" t="s">
        <v>28</v>
      </c>
      <c r="F2812" s="270" t="str">
        <f>VLOOKUP(CONCATENATE(A2807,1),'zoznam zapasov'!$A$6:$K$160,10,0)</f>
        <v>9.30</v>
      </c>
      <c r="G2812" s="508"/>
      <c r="H2812" s="319"/>
      <c r="I2812" s="487" t="str">
        <f>IF(ISERROR(VLOOKUP(B2812,vylosovanie!$N$75:$Q$191,3,0))=TRUE," ",VLOOKUP(B2812,vylosovanie!$N$75:$Q$191,3,0))</f>
        <v>ŠVAJDLENKOVÁ Laura</v>
      </c>
      <c r="J2812" s="488"/>
      <c r="K2812" s="488"/>
      <c r="L2812" s="488"/>
      <c r="M2812" s="263"/>
      <c r="N2812" s="489">
        <v>6</v>
      </c>
      <c r="O2812" s="489">
        <v>4</v>
      </c>
      <c r="P2812" s="489">
        <v>3</v>
      </c>
      <c r="Q2812" s="489"/>
      <c r="R2812" s="489"/>
      <c r="S2812" s="491"/>
      <c r="T2812" s="491"/>
      <c r="U2812" s="263"/>
      <c r="V2812" s="493">
        <f>IF(SUM(AF2809:AL2810)=0,"",SUM(AF2810:AL2810))</f>
        <v>0</v>
      </c>
      <c r="W2812" s="267"/>
      <c r="X2812" s="263"/>
      <c r="AZ2812" s="269" t="s">
        <v>39</v>
      </c>
      <c r="BA2812" s="269">
        <v>4</v>
      </c>
    </row>
    <row r="2813" spans="1:53" ht="39.950000000000003" customHeight="1">
      <c r="C2813" s="223"/>
      <c r="D2813" s="223"/>
      <c r="E2813" s="271"/>
      <c r="F2813" s="272"/>
      <c r="G2813" s="509"/>
      <c r="H2813" s="319"/>
      <c r="I2813" s="487" t="str">
        <f>IF(ISERROR(VLOOKUP(B2812,vylosovanie!$N$75:$Q$191,3,0))=TRUE," ",VLOOKUP(B2812,vylosovanie!$N$75:$Q$191,4,0))</f>
        <v>HURBANOVÁ Isabella</v>
      </c>
      <c r="J2813" s="488"/>
      <c r="K2813" s="488"/>
      <c r="L2813" s="488"/>
      <c r="M2813" s="263"/>
      <c r="N2813" s="490"/>
      <c r="O2813" s="490"/>
      <c r="P2813" s="490"/>
      <c r="Q2813" s="490"/>
      <c r="R2813" s="490"/>
      <c r="S2813" s="492"/>
      <c r="T2813" s="492"/>
      <c r="U2813" s="263"/>
      <c r="V2813" s="493"/>
      <c r="W2813" s="267"/>
      <c r="X2813" s="263"/>
      <c r="AZ2813" s="269" t="s">
        <v>40</v>
      </c>
      <c r="BA2813" s="269">
        <v>5</v>
      </c>
    </row>
    <row r="2814" spans="1:53" ht="39.950000000000003" customHeight="1">
      <c r="C2814" s="223"/>
      <c r="D2814" s="223"/>
      <c r="E2814" s="264" t="s">
        <v>66</v>
      </c>
      <c r="F2814" s="265" t="s">
        <v>95</v>
      </c>
      <c r="G2814" s="263"/>
      <c r="H2814" s="263"/>
      <c r="I2814" s="263"/>
      <c r="J2814" s="263"/>
      <c r="K2814" s="263"/>
      <c r="L2814" s="263"/>
      <c r="M2814" s="263"/>
      <c r="N2814" s="263"/>
      <c r="O2814" s="263"/>
      <c r="P2814" s="263"/>
      <c r="Q2814" s="263"/>
      <c r="R2814" s="263"/>
      <c r="S2814" s="263"/>
      <c r="T2814" s="263"/>
      <c r="U2814" s="263"/>
      <c r="V2814" s="263"/>
      <c r="W2814" s="267"/>
      <c r="X2814" s="263"/>
      <c r="AZ2814" s="269" t="s">
        <v>41</v>
      </c>
      <c r="BA2814" s="269">
        <v>6</v>
      </c>
    </row>
    <row r="2815" spans="1:53" ht="39.950000000000003" customHeight="1">
      <c r="C2815" s="223"/>
      <c r="D2815" s="223"/>
      <c r="E2815" s="271"/>
      <c r="F2815" s="272"/>
      <c r="G2815" s="263"/>
      <c r="H2815" s="263"/>
      <c r="I2815" s="263" t="s">
        <v>32</v>
      </c>
      <c r="J2815" s="263"/>
      <c r="K2815" s="263"/>
      <c r="L2815" s="263"/>
      <c r="M2815" s="263"/>
      <c r="N2815" s="273"/>
      <c r="O2815" s="266"/>
      <c r="P2815" s="266" t="s">
        <v>34</v>
      </c>
      <c r="Q2815" s="266"/>
      <c r="R2815" s="266"/>
      <c r="S2815" s="266"/>
      <c r="T2815" s="266"/>
      <c r="U2815" s="263"/>
      <c r="V2815" s="263"/>
      <c r="W2815" s="267"/>
      <c r="X2815" s="263"/>
      <c r="AZ2815" s="269" t="s">
        <v>42</v>
      </c>
      <c r="BA2815" s="269">
        <v>7</v>
      </c>
    </row>
    <row r="2816" spans="1:53" ht="39.950000000000003" customHeight="1">
      <c r="E2816" s="264" t="s">
        <v>26</v>
      </c>
      <c r="F2816" s="265" t="s">
        <v>128</v>
      </c>
      <c r="G2816" s="263"/>
      <c r="H2816" s="263"/>
      <c r="I2816" s="486"/>
      <c r="J2816" s="486"/>
      <c r="K2816" s="486"/>
      <c r="L2816" s="486"/>
      <c r="M2816" s="263"/>
      <c r="N2816" s="483" t="str">
        <f>IF(V2809&gt;V2812,I2809,IF(V2812&gt;V2809,I2812,""))</f>
        <v>LABOŠOVÁ Ema</v>
      </c>
      <c r="O2816" s="494"/>
      <c r="P2816" s="494"/>
      <c r="Q2816" s="494"/>
      <c r="R2816" s="494"/>
      <c r="S2816" s="495"/>
      <c r="T2816" s="263"/>
      <c r="U2816" s="263"/>
      <c r="V2816" s="263"/>
      <c r="W2816" s="267"/>
      <c r="X2816" s="263"/>
      <c r="AZ2816" s="269" t="s">
        <v>43</v>
      </c>
      <c r="BA2816" s="269">
        <v>8</v>
      </c>
    </row>
    <row r="2817" spans="1:53" ht="39.950000000000003" customHeight="1">
      <c r="E2817" s="271"/>
      <c r="F2817" s="272"/>
      <c r="G2817" s="263"/>
      <c r="H2817" s="263"/>
      <c r="I2817" s="486"/>
      <c r="J2817" s="486"/>
      <c r="K2817" s="486"/>
      <c r="L2817" s="486"/>
      <c r="M2817" s="263"/>
      <c r="N2817" s="483" t="str">
        <f>IF(V2809&gt;V2812,I2810,IF(V2812&gt;V2809,I2813,""))</f>
        <v>ŠINKAROVÁ Dáša</v>
      </c>
      <c r="O2817" s="494"/>
      <c r="P2817" s="494"/>
      <c r="Q2817" s="494"/>
      <c r="R2817" s="494"/>
      <c r="S2817" s="495"/>
      <c r="T2817" s="263"/>
      <c r="U2817" s="263"/>
      <c r="V2817" s="263"/>
      <c r="W2817" s="267"/>
      <c r="X2817" s="263"/>
    </row>
    <row r="2818" spans="1:53" ht="39.950000000000003" customHeight="1">
      <c r="E2818" s="264" t="s">
        <v>27</v>
      </c>
      <c r="F2818" s="274" t="s">
        <v>352</v>
      </c>
      <c r="G2818" s="263"/>
      <c r="H2818" s="263"/>
      <c r="I2818" s="263"/>
      <c r="J2818" s="263"/>
      <c r="K2818" s="263"/>
      <c r="L2818" s="263"/>
      <c r="M2818" s="263"/>
      <c r="N2818" s="263"/>
      <c r="O2818" s="263"/>
      <c r="P2818" s="263"/>
      <c r="Q2818" s="263"/>
      <c r="R2818" s="263"/>
      <c r="S2818" s="263"/>
      <c r="T2818" s="263"/>
      <c r="U2818" s="263"/>
      <c r="V2818" s="263"/>
      <c r="W2818" s="267"/>
      <c r="X2818" s="263"/>
    </row>
    <row r="2819" spans="1:53" ht="39.950000000000003" customHeight="1">
      <c r="E2819" s="271"/>
      <c r="F2819" s="272"/>
      <c r="G2819" s="263"/>
      <c r="H2819" s="263" t="s">
        <v>33</v>
      </c>
      <c r="I2819" s="263"/>
      <c r="J2819" s="263"/>
      <c r="K2819" s="263"/>
      <c r="L2819" s="263"/>
      <c r="M2819" s="263"/>
      <c r="N2819" s="263"/>
      <c r="O2819" s="263"/>
      <c r="P2819" s="263"/>
      <c r="Q2819" s="263"/>
      <c r="R2819" s="263"/>
      <c r="S2819" s="263"/>
      <c r="T2819" s="263"/>
      <c r="U2819" s="263"/>
      <c r="V2819" s="263"/>
      <c r="W2819" s="267"/>
      <c r="X2819" s="263"/>
    </row>
    <row r="2820" spans="1:53" ht="39.950000000000003" customHeight="1">
      <c r="E2820" s="271"/>
      <c r="F2820" s="272"/>
      <c r="G2820" s="263"/>
      <c r="H2820" s="263"/>
      <c r="I2820" s="263"/>
      <c r="J2820" s="263"/>
      <c r="K2820" s="263"/>
      <c r="L2820" s="263"/>
      <c r="M2820" s="263"/>
      <c r="N2820" s="263"/>
      <c r="O2820" s="263"/>
      <c r="P2820" s="263"/>
      <c r="Q2820" s="263"/>
      <c r="R2820" s="263"/>
      <c r="S2820" s="263"/>
      <c r="T2820" s="263"/>
      <c r="U2820" s="263"/>
      <c r="V2820" s="263"/>
      <c r="W2820" s="267"/>
      <c r="X2820" s="263"/>
    </row>
    <row r="2821" spans="1:53" ht="39.950000000000003" customHeight="1">
      <c r="E2821" s="271"/>
      <c r="F2821" s="272"/>
      <c r="G2821" s="263"/>
      <c r="H2821" s="263"/>
      <c r="I2821" s="496" t="str">
        <f>I2809</f>
        <v>LABOŠOVÁ Ema</v>
      </c>
      <c r="J2821" s="496"/>
      <c r="K2821" s="496"/>
      <c r="L2821" s="496"/>
      <c r="M2821" s="263"/>
      <c r="N2821" s="263"/>
      <c r="P2821" s="496" t="str">
        <f>I2812</f>
        <v>ŠVAJDLENKOVÁ Laura</v>
      </c>
      <c r="Q2821" s="496"/>
      <c r="R2821" s="496"/>
      <c r="S2821" s="496"/>
      <c r="T2821" s="497"/>
      <c r="U2821" s="497"/>
      <c r="V2821" s="263"/>
      <c r="W2821" s="267"/>
      <c r="X2821" s="263"/>
    </row>
    <row r="2822" spans="1:53" ht="39.950000000000003" customHeight="1">
      <c r="E2822" s="271"/>
      <c r="F2822" s="272"/>
      <c r="G2822" s="263"/>
      <c r="H2822" s="263"/>
      <c r="I2822" s="496" t="str">
        <f>I2810</f>
        <v>ŠINKAROVÁ Dáša</v>
      </c>
      <c r="J2822" s="496"/>
      <c r="K2822" s="496"/>
      <c r="L2822" s="496"/>
      <c r="M2822" s="263"/>
      <c r="N2822" s="263"/>
      <c r="O2822" s="263"/>
      <c r="P2822" s="496" t="str">
        <f>I2813</f>
        <v>HURBANOVÁ Isabella</v>
      </c>
      <c r="Q2822" s="496"/>
      <c r="R2822" s="496"/>
      <c r="S2822" s="496"/>
      <c r="T2822" s="497"/>
      <c r="U2822" s="497"/>
      <c r="V2822" s="263"/>
      <c r="W2822" s="267"/>
      <c r="X2822" s="263"/>
    </row>
    <row r="2823" spans="1:53" ht="69.95" customHeight="1">
      <c r="E2823" s="264"/>
      <c r="F2823" s="265"/>
      <c r="G2823" s="263"/>
      <c r="H2823" s="275" t="s">
        <v>36</v>
      </c>
      <c r="I2823" s="483"/>
      <c r="J2823" s="484"/>
      <c r="K2823" s="484"/>
      <c r="L2823" s="485"/>
      <c r="M2823" s="263"/>
      <c r="N2823" s="263"/>
      <c r="O2823" s="275" t="s">
        <v>36</v>
      </c>
      <c r="P2823" s="486"/>
      <c r="Q2823" s="486"/>
      <c r="R2823" s="486"/>
      <c r="S2823" s="486"/>
      <c r="T2823" s="486"/>
      <c r="U2823" s="486"/>
      <c r="V2823" s="263"/>
      <c r="W2823" s="267"/>
      <c r="X2823" s="263"/>
    </row>
    <row r="2824" spans="1:53" ht="69.95" customHeight="1">
      <c r="E2824" s="264"/>
      <c r="F2824" s="265"/>
      <c r="G2824" s="263"/>
      <c r="H2824" s="275" t="s">
        <v>37</v>
      </c>
      <c r="I2824" s="486"/>
      <c r="J2824" s="486"/>
      <c r="K2824" s="486"/>
      <c r="L2824" s="486"/>
      <c r="M2824" s="263"/>
      <c r="N2824" s="263"/>
      <c r="O2824" s="275" t="s">
        <v>37</v>
      </c>
      <c r="P2824" s="486"/>
      <c r="Q2824" s="486"/>
      <c r="R2824" s="486"/>
      <c r="S2824" s="486"/>
      <c r="T2824" s="486"/>
      <c r="U2824" s="486"/>
      <c r="V2824" s="263"/>
      <c r="W2824" s="267"/>
      <c r="X2824" s="263"/>
    </row>
    <row r="2825" spans="1:53" ht="69.95" customHeight="1">
      <c r="E2825" s="264"/>
      <c r="F2825" s="265"/>
      <c r="G2825" s="263"/>
      <c r="H2825" s="275" t="s">
        <v>37</v>
      </c>
      <c r="I2825" s="486"/>
      <c r="J2825" s="486"/>
      <c r="K2825" s="486"/>
      <c r="L2825" s="486"/>
      <c r="M2825" s="263"/>
      <c r="N2825" s="263"/>
      <c r="O2825" s="275" t="s">
        <v>37</v>
      </c>
      <c r="P2825" s="486"/>
      <c r="Q2825" s="486"/>
      <c r="R2825" s="486"/>
      <c r="S2825" s="486"/>
      <c r="T2825" s="486"/>
      <c r="U2825" s="486"/>
      <c r="V2825" s="263"/>
      <c r="W2825" s="267"/>
      <c r="X2825" s="263"/>
    </row>
    <row r="2826" spans="1:53" ht="39.950000000000003" customHeight="1" thickBot="1">
      <c r="E2826" s="276"/>
      <c r="F2826" s="277"/>
      <c r="G2826" s="278"/>
      <c r="H2826" s="278"/>
      <c r="I2826" s="278"/>
      <c r="J2826" s="278"/>
      <c r="K2826" s="278"/>
      <c r="L2826" s="278"/>
      <c r="M2826" s="278"/>
      <c r="N2826" s="278"/>
      <c r="O2826" s="278"/>
      <c r="P2826" s="278"/>
      <c r="Q2826" s="278"/>
      <c r="R2826" s="278"/>
      <c r="S2826" s="278"/>
      <c r="T2826" s="279"/>
      <c r="U2826" s="279"/>
      <c r="V2826" s="279"/>
      <c r="W2826" s="280"/>
      <c r="X2826" s="263"/>
    </row>
    <row r="2827" spans="1:53" ht="62.25" thickBot="1"/>
    <row r="2828" spans="1:53" ht="39.950000000000003" customHeight="1">
      <c r="A2828" s="252" t="str">
        <f>CONCATENATE(F2835,F2837,F2839)</f>
        <v>D4P14</v>
      </c>
      <c r="C2828" s="223"/>
      <c r="D2828" s="223"/>
      <c r="E2828" s="259" t="s">
        <v>70</v>
      </c>
      <c r="F2828" s="260">
        <f>VLOOKUP(CONCATENATE(A2828,1),'zoznam zapasov'!$A$6:$K$160,3,0)</f>
        <v>140</v>
      </c>
      <c r="G2828" s="261"/>
      <c r="H2828" s="322" t="s">
        <v>501</v>
      </c>
      <c r="I2828" s="261"/>
      <c r="J2828" s="261"/>
      <c r="K2828" s="261"/>
      <c r="L2828" s="261" t="s">
        <v>536</v>
      </c>
      <c r="M2828" s="261"/>
      <c r="N2828" s="261"/>
      <c r="O2828" s="261"/>
      <c r="P2828" s="261"/>
      <c r="Q2828" s="261"/>
      <c r="R2828" s="261"/>
      <c r="S2828" s="261"/>
      <c r="T2828" s="261"/>
      <c r="U2828" s="261"/>
      <c r="V2828" s="261" t="s">
        <v>30</v>
      </c>
      <c r="W2828" s="262"/>
      <c r="X2828" s="263"/>
      <c r="Y2828" s="253" t="str">
        <f>A2830</f>
        <v>D4P141</v>
      </c>
      <c r="Z2828" s="258" t="str">
        <f>CONCATENATE(V2830,":",V2833)</f>
        <v>2:3</v>
      </c>
      <c r="AA2828" s="255" t="str">
        <f>IF(V2830&gt;V2833,B2830,IF(V2833&gt;V2830,B2833,""))</f>
        <v>PEKOVÁ / DIVINSKÁ</v>
      </c>
      <c r="AB2828" s="255" t="str">
        <f>IF(V2830&gt;V2833,AV2828,IF(V2833&gt;V2830,AV2829,""))</f>
        <v xml:space="preserve">3:2 ( 7,10,-9,-7,8,, ) </v>
      </c>
      <c r="AC2828" s="255" t="str">
        <f>CONCATENATE("Tbl.: ",F2830,"   H: ",F2833,"   D: ",F2832)</f>
        <v>Tbl.: 4   H: 9.30   D: Ne</v>
      </c>
      <c r="AE2828" s="253" t="s">
        <v>11</v>
      </c>
      <c r="AV2828" s="256" t="str">
        <f>CONCATENATE(V2830,":",V2833, " ( ",AN2830,",",AO2830,",",AP2830,",",AQ2830,",",AR2830,",",AS2830,",",AT2830," ) ")</f>
        <v xml:space="preserve">2:3 ( -7,-10,9,7,-8,, ) </v>
      </c>
    </row>
    <row r="2829" spans="1:53" ht="39.950000000000003" customHeight="1">
      <c r="C2829" s="223"/>
      <c r="D2829" s="223"/>
      <c r="E2829" s="264"/>
      <c r="F2829" s="265"/>
      <c r="G2829" s="321" t="s">
        <v>500</v>
      </c>
      <c r="H2829" s="323" t="s">
        <v>502</v>
      </c>
      <c r="I2829" s="263"/>
      <c r="J2829" s="263"/>
      <c r="K2829" s="263"/>
      <c r="L2829" s="263"/>
      <c r="M2829" s="263"/>
      <c r="N2829" s="266">
        <v>1</v>
      </c>
      <c r="O2829" s="266">
        <v>2</v>
      </c>
      <c r="P2829" s="266">
        <v>3</v>
      </c>
      <c r="Q2829" s="266">
        <v>4</v>
      </c>
      <c r="R2829" s="266">
        <v>5</v>
      </c>
      <c r="S2829" s="266">
        <v>6</v>
      </c>
      <c r="T2829" s="266">
        <v>7</v>
      </c>
      <c r="U2829" s="263"/>
      <c r="V2829" s="266" t="s">
        <v>31</v>
      </c>
      <c r="W2829" s="267"/>
      <c r="X2829" s="263"/>
      <c r="AE2829" s="253" t="s">
        <v>68</v>
      </c>
      <c r="AV2829" s="256" t="str">
        <f>CONCATENATE(V2833,":",V2830, " ( ",AN2831,",",AO2831,",",AP2831,",",AQ2831,",",AR2831,",",AS2831,",",AT2831," ) ")</f>
        <v xml:space="preserve">3:2 ( 7,10,-9,-7,8,, ) </v>
      </c>
    </row>
    <row r="2830" spans="1:53" ht="39.950000000000003" customHeight="1">
      <c r="A2830" s="252" t="str">
        <f>CONCATENATE(A2828,1)</f>
        <v>D4P141</v>
      </c>
      <c r="B2830" s="252" t="str">
        <f>VLOOKUP(A2830,'KO KODY SPOLU'!$A$3:$B$189,2,0)</f>
        <v>DZELINSKA / TEREZKOVÁ</v>
      </c>
      <c r="C2830" s="223"/>
      <c r="D2830" s="223"/>
      <c r="E2830" s="264" t="s">
        <v>29</v>
      </c>
      <c r="F2830" s="265">
        <f>VLOOKUP(CONCATENATE(A2828,1),'zoznam zapasov'!$A$6:$K$160,11,0)</f>
        <v>4</v>
      </c>
      <c r="G2830" s="508"/>
      <c r="H2830" s="319"/>
      <c r="I2830" s="487" t="str">
        <f>IF(ISERROR(VLOOKUP(B2830,vylosovanie!$N$75:$Q$191,3,0))=TRUE," ",VLOOKUP(B2830,vylosovanie!$N$75:$Q$191,3,0))</f>
        <v>DZELINSKA Júlia</v>
      </c>
      <c r="J2830" s="488"/>
      <c r="K2830" s="488"/>
      <c r="L2830" s="488"/>
      <c r="M2830" s="263"/>
      <c r="N2830" s="489">
        <v>7</v>
      </c>
      <c r="O2830" s="489">
        <v>10</v>
      </c>
      <c r="P2830" s="489">
        <v>11</v>
      </c>
      <c r="Q2830" s="489">
        <v>11</v>
      </c>
      <c r="R2830" s="489">
        <v>8</v>
      </c>
      <c r="S2830" s="491"/>
      <c r="T2830" s="491"/>
      <c r="U2830" s="263"/>
      <c r="V2830" s="493">
        <f>IF(SUM(AF2830:AL2831)=0,"",SUM(AF2830:AL2830))</f>
        <v>2</v>
      </c>
      <c r="W2830" s="267"/>
      <c r="X2830" s="263"/>
      <c r="AE2830" s="253" t="str">
        <f>VLOOKUP(I2830,vylosovanie!$F$8:$L$190,7,0)</f>
        <v>D41</v>
      </c>
      <c r="AF2830" s="268">
        <f>IF(N2830&gt;N2833,1,0)</f>
        <v>0</v>
      </c>
      <c r="AG2830" s="268">
        <f t="shared" ref="AG2830" si="2740">IF(O2830&gt;O2833,1,0)</f>
        <v>0</v>
      </c>
      <c r="AH2830" s="268">
        <f t="shared" ref="AH2830" si="2741">IF(P2830&gt;P2833,1,0)</f>
        <v>1</v>
      </c>
      <c r="AI2830" s="268">
        <f t="shared" ref="AI2830" si="2742">IF(Q2830&gt;Q2833,1,0)</f>
        <v>1</v>
      </c>
      <c r="AJ2830" s="268">
        <f t="shared" ref="AJ2830" si="2743">IF(R2830&gt;R2833,1,0)</f>
        <v>0</v>
      </c>
      <c r="AK2830" s="268">
        <f t="shared" ref="AK2830" si="2744">IF(S2830&gt;S2833,1,0)</f>
        <v>0</v>
      </c>
      <c r="AL2830" s="268">
        <f t="shared" ref="AL2830" si="2745">IF(T2830&gt;T2833,1,0)</f>
        <v>0</v>
      </c>
      <c r="AN2830" s="268">
        <f t="shared" ref="AN2830" si="2746">IF(ISBLANK(N2830)=TRUE,"",IF(AF2830=1,N2833,-N2830))</f>
        <v>-7</v>
      </c>
      <c r="AO2830" s="268">
        <f t="shared" ref="AO2830" si="2747">IF(ISBLANK(O2830)=TRUE,"",IF(AG2830=1,O2833,-O2830))</f>
        <v>-10</v>
      </c>
      <c r="AP2830" s="268">
        <f t="shared" ref="AP2830" si="2748">IF(ISBLANK(P2830)=TRUE,"",IF(AH2830=1,P2833,-P2830))</f>
        <v>9</v>
      </c>
      <c r="AQ2830" s="268">
        <f t="shared" ref="AQ2830" si="2749">IF(ISBLANK(Q2830)=TRUE,"",IF(AI2830=1,Q2833,-Q2830))</f>
        <v>7</v>
      </c>
      <c r="AR2830" s="268">
        <f t="shared" ref="AR2830" si="2750">IF(ISBLANK(R2830)=TRUE,"",IF(AJ2830=1,R2833,-R2830))</f>
        <v>-8</v>
      </c>
      <c r="AS2830" s="268" t="str">
        <f t="shared" ref="AS2830" si="2751">IF(ISBLANK(S2830)=TRUE,"",IF(AK2830=1,S2833,-S2830))</f>
        <v/>
      </c>
      <c r="AT2830" s="268" t="str">
        <f t="shared" ref="AT2830" si="2752">IF(ISBLANK(T2830)=TRUE,"",IF(AL2830=1,T2833,-T2830))</f>
        <v/>
      </c>
      <c r="AZ2830" s="269" t="s">
        <v>12</v>
      </c>
      <c r="BA2830" s="269">
        <v>1</v>
      </c>
    </row>
    <row r="2831" spans="1:53" ht="39.950000000000003" customHeight="1">
      <c r="C2831" s="223"/>
      <c r="D2831" s="223"/>
      <c r="E2831" s="264"/>
      <c r="F2831" s="265"/>
      <c r="G2831" s="509"/>
      <c r="H2831" s="319"/>
      <c r="I2831" s="487" t="str">
        <f>IF(ISERROR(VLOOKUP(B2830,vylosovanie!$N$75:$Q$191,3,0))=TRUE," ",VLOOKUP(B2830,vylosovanie!$N$75:$Q$191,4,0))</f>
        <v>TEREZKOVÁ Jana</v>
      </c>
      <c r="J2831" s="488"/>
      <c r="K2831" s="488"/>
      <c r="L2831" s="488"/>
      <c r="M2831" s="263"/>
      <c r="N2831" s="490"/>
      <c r="O2831" s="490"/>
      <c r="P2831" s="490"/>
      <c r="Q2831" s="490"/>
      <c r="R2831" s="490"/>
      <c r="S2831" s="492"/>
      <c r="T2831" s="492"/>
      <c r="U2831" s="263"/>
      <c r="V2831" s="493"/>
      <c r="W2831" s="267"/>
      <c r="X2831" s="263"/>
      <c r="AE2831" s="253" t="str">
        <f>VLOOKUP(I2833,vylosovanie!$F$8:$L$190,7,0)</f>
        <v>D21</v>
      </c>
      <c r="AF2831" s="268">
        <f>IF(N2833&gt;N2830,1,0)</f>
        <v>1</v>
      </c>
      <c r="AG2831" s="268">
        <f t="shared" ref="AG2831" si="2753">IF(O2833&gt;O2830,1,0)</f>
        <v>1</v>
      </c>
      <c r="AH2831" s="268">
        <f t="shared" ref="AH2831" si="2754">IF(P2833&gt;P2830,1,0)</f>
        <v>0</v>
      </c>
      <c r="AI2831" s="268">
        <f t="shared" ref="AI2831" si="2755">IF(Q2833&gt;Q2830,1,0)</f>
        <v>0</v>
      </c>
      <c r="AJ2831" s="268">
        <f t="shared" ref="AJ2831" si="2756">IF(R2833&gt;R2830,1,0)</f>
        <v>1</v>
      </c>
      <c r="AK2831" s="268">
        <f t="shared" ref="AK2831" si="2757">IF(S2833&gt;S2830,1,0)</f>
        <v>0</v>
      </c>
      <c r="AL2831" s="268">
        <f t="shared" ref="AL2831" si="2758">IF(T2833&gt;T2830,1,0)</f>
        <v>0</v>
      </c>
      <c r="AN2831" s="268">
        <f t="shared" ref="AN2831" si="2759">IF(ISBLANK(N2833)=TRUE,"",IF(AF2831=1,N2830,-N2833))</f>
        <v>7</v>
      </c>
      <c r="AO2831" s="268">
        <f t="shared" ref="AO2831" si="2760">IF(ISBLANK(O2833)=TRUE,"",IF(AG2831=1,O2830,-O2833))</f>
        <v>10</v>
      </c>
      <c r="AP2831" s="268">
        <f t="shared" ref="AP2831" si="2761">IF(ISBLANK(P2833)=TRUE,"",IF(AH2831=1,P2830,-P2833))</f>
        <v>-9</v>
      </c>
      <c r="AQ2831" s="268">
        <f t="shared" ref="AQ2831" si="2762">IF(ISBLANK(Q2833)=TRUE,"",IF(AI2831=1,Q2830,-Q2833))</f>
        <v>-7</v>
      </c>
      <c r="AR2831" s="268">
        <f t="shared" ref="AR2831" si="2763">IF(ISBLANK(R2833)=TRUE,"",IF(AJ2831=1,R2830,-R2833))</f>
        <v>8</v>
      </c>
      <c r="AS2831" s="268" t="str">
        <f t="shared" ref="AS2831" si="2764">IF(ISBLANK(S2833)=TRUE,"",IF(AK2831=1,S2830,-S2833))</f>
        <v/>
      </c>
      <c r="AT2831" s="268" t="str">
        <f t="shared" ref="AT2831" si="2765">IF(ISBLANK(T2833)=TRUE,"",IF(AL2831=1,T2830,-T2833))</f>
        <v/>
      </c>
      <c r="AZ2831" s="269" t="s">
        <v>18</v>
      </c>
      <c r="BA2831" s="269">
        <v>2</v>
      </c>
    </row>
    <row r="2832" spans="1:53" ht="39.950000000000003" customHeight="1">
      <c r="C2832" s="223"/>
      <c r="D2832" s="223"/>
      <c r="E2832" s="264" t="s">
        <v>35</v>
      </c>
      <c r="F2832" s="265" t="str">
        <f>VLOOKUP(CONCATENATE(A2828,1),'zoznam zapasov'!$A$6:$K$160,9,0)</f>
        <v>Ne</v>
      </c>
      <c r="G2832" s="263"/>
      <c r="H2832" s="263"/>
      <c r="I2832" s="263"/>
      <c r="J2832" s="263"/>
      <c r="K2832" s="263"/>
      <c r="L2832" s="263"/>
      <c r="M2832" s="263"/>
      <c r="N2832" s="263"/>
      <c r="O2832" s="263"/>
      <c r="P2832" s="263"/>
      <c r="Q2832" s="263"/>
      <c r="R2832" s="263"/>
      <c r="S2832" s="263"/>
      <c r="T2832" s="263"/>
      <c r="U2832" s="263"/>
      <c r="V2832" s="263"/>
      <c r="W2832" s="267"/>
      <c r="X2832" s="263"/>
      <c r="AZ2832" s="269" t="s">
        <v>38</v>
      </c>
      <c r="BA2832" s="269">
        <v>3</v>
      </c>
    </row>
    <row r="2833" spans="1:53" ht="39.950000000000003" customHeight="1">
      <c r="A2833" s="252" t="str">
        <f>CONCATENATE(A2828,2)</f>
        <v>D4P142</v>
      </c>
      <c r="B2833" s="252" t="str">
        <f>VLOOKUP(A2833,'KO KODY SPOLU'!$A$3:$B$189,2,0)</f>
        <v>PEKOVÁ / DIVINSKÁ</v>
      </c>
      <c r="C2833" s="223"/>
      <c r="D2833" s="223"/>
      <c r="E2833" s="264" t="s">
        <v>28</v>
      </c>
      <c r="F2833" s="270" t="str">
        <f>VLOOKUP(CONCATENATE(A2828,1),'zoznam zapasov'!$A$6:$K$160,10,0)</f>
        <v>9.30</v>
      </c>
      <c r="G2833" s="508"/>
      <c r="H2833" s="319"/>
      <c r="I2833" s="487" t="str">
        <f>IF(ISERROR(VLOOKUP(B2833,vylosovanie!$N$75:$Q$191,3,0))=TRUE," ",VLOOKUP(B2833,vylosovanie!$N$75:$Q$191,3,0))</f>
        <v>PEKOVÁ Zuzana</v>
      </c>
      <c r="J2833" s="488"/>
      <c r="K2833" s="488"/>
      <c r="L2833" s="488"/>
      <c r="M2833" s="263"/>
      <c r="N2833" s="489">
        <v>11</v>
      </c>
      <c r="O2833" s="489">
        <v>12</v>
      </c>
      <c r="P2833" s="489">
        <v>9</v>
      </c>
      <c r="Q2833" s="489">
        <v>7</v>
      </c>
      <c r="R2833" s="489">
        <v>11</v>
      </c>
      <c r="S2833" s="491"/>
      <c r="T2833" s="491"/>
      <c r="U2833" s="263"/>
      <c r="V2833" s="493">
        <f>IF(SUM(AF2830:AL2831)=0,"",SUM(AF2831:AL2831))</f>
        <v>3</v>
      </c>
      <c r="W2833" s="267"/>
      <c r="X2833" s="263"/>
      <c r="AZ2833" s="269" t="s">
        <v>39</v>
      </c>
      <c r="BA2833" s="269">
        <v>4</v>
      </c>
    </row>
    <row r="2834" spans="1:53" ht="39.950000000000003" customHeight="1">
      <c r="C2834" s="223"/>
      <c r="D2834" s="223"/>
      <c r="E2834" s="271"/>
      <c r="F2834" s="272"/>
      <c r="G2834" s="509"/>
      <c r="H2834" s="319"/>
      <c r="I2834" s="487" t="str">
        <f>IF(ISERROR(VLOOKUP(B2833,vylosovanie!$N$75:$Q$191,3,0))=TRUE," ",VLOOKUP(B2833,vylosovanie!$N$75:$Q$191,4,0))</f>
        <v>DIVINSKÁ Natália</v>
      </c>
      <c r="J2834" s="488"/>
      <c r="K2834" s="488"/>
      <c r="L2834" s="488"/>
      <c r="M2834" s="263"/>
      <c r="N2834" s="490"/>
      <c r="O2834" s="490"/>
      <c r="P2834" s="490"/>
      <c r="Q2834" s="490"/>
      <c r="R2834" s="490"/>
      <c r="S2834" s="492"/>
      <c r="T2834" s="492"/>
      <c r="U2834" s="263"/>
      <c r="V2834" s="493"/>
      <c r="W2834" s="267"/>
      <c r="X2834" s="263"/>
      <c r="AZ2834" s="269" t="s">
        <v>40</v>
      </c>
      <c r="BA2834" s="269">
        <v>5</v>
      </c>
    </row>
    <row r="2835" spans="1:53" ht="39.950000000000003" customHeight="1">
      <c r="C2835" s="223"/>
      <c r="D2835" s="223"/>
      <c r="E2835" s="264" t="s">
        <v>66</v>
      </c>
      <c r="F2835" s="265" t="s">
        <v>95</v>
      </c>
      <c r="G2835" s="263"/>
      <c r="H2835" s="263"/>
      <c r="I2835" s="263"/>
      <c r="J2835" s="263"/>
      <c r="K2835" s="263"/>
      <c r="L2835" s="263"/>
      <c r="M2835" s="263"/>
      <c r="N2835" s="263"/>
      <c r="O2835" s="263"/>
      <c r="P2835" s="263"/>
      <c r="Q2835" s="263"/>
      <c r="R2835" s="263"/>
      <c r="S2835" s="263"/>
      <c r="T2835" s="263"/>
      <c r="U2835" s="263"/>
      <c r="V2835" s="263"/>
      <c r="W2835" s="267"/>
      <c r="X2835" s="263"/>
      <c r="AZ2835" s="269" t="s">
        <v>41</v>
      </c>
      <c r="BA2835" s="269">
        <v>6</v>
      </c>
    </row>
    <row r="2836" spans="1:53" ht="39.950000000000003" customHeight="1">
      <c r="C2836" s="223"/>
      <c r="D2836" s="223"/>
      <c r="E2836" s="271"/>
      <c r="F2836" s="272"/>
      <c r="G2836" s="263"/>
      <c r="H2836" s="263"/>
      <c r="I2836" s="263" t="s">
        <v>32</v>
      </c>
      <c r="J2836" s="263"/>
      <c r="K2836" s="263"/>
      <c r="L2836" s="263"/>
      <c r="M2836" s="263"/>
      <c r="N2836" s="273"/>
      <c r="O2836" s="266"/>
      <c r="P2836" s="266" t="s">
        <v>34</v>
      </c>
      <c r="Q2836" s="266"/>
      <c r="R2836" s="266"/>
      <c r="S2836" s="266"/>
      <c r="T2836" s="266"/>
      <c r="U2836" s="263"/>
      <c r="V2836" s="263"/>
      <c r="W2836" s="267"/>
      <c r="X2836" s="263"/>
      <c r="AZ2836" s="269" t="s">
        <v>42</v>
      </c>
      <c r="BA2836" s="269">
        <v>7</v>
      </c>
    </row>
    <row r="2837" spans="1:53" ht="39.950000000000003" customHeight="1">
      <c r="E2837" s="264" t="s">
        <v>26</v>
      </c>
      <c r="F2837" s="265" t="s">
        <v>128</v>
      </c>
      <c r="G2837" s="263"/>
      <c r="H2837" s="263"/>
      <c r="I2837" s="486"/>
      <c r="J2837" s="486"/>
      <c r="K2837" s="486"/>
      <c r="L2837" s="486"/>
      <c r="M2837" s="263"/>
      <c r="N2837" s="483" t="str">
        <f>IF(V2830&gt;V2833,I2830,IF(V2833&gt;V2830,I2833,""))</f>
        <v>PEKOVÁ Zuzana</v>
      </c>
      <c r="O2837" s="494"/>
      <c r="P2837" s="494"/>
      <c r="Q2837" s="494"/>
      <c r="R2837" s="494"/>
      <c r="S2837" s="495"/>
      <c r="T2837" s="263"/>
      <c r="U2837" s="263"/>
      <c r="V2837" s="263"/>
      <c r="W2837" s="267"/>
      <c r="X2837" s="263"/>
      <c r="AZ2837" s="269" t="s">
        <v>43</v>
      </c>
      <c r="BA2837" s="269">
        <v>8</v>
      </c>
    </row>
    <row r="2838" spans="1:53" ht="39.950000000000003" customHeight="1">
      <c r="E2838" s="271"/>
      <c r="F2838" s="272"/>
      <c r="G2838" s="263"/>
      <c r="H2838" s="263"/>
      <c r="I2838" s="486"/>
      <c r="J2838" s="486"/>
      <c r="K2838" s="486"/>
      <c r="L2838" s="486"/>
      <c r="M2838" s="263"/>
      <c r="N2838" s="483" t="str">
        <f>IF(V2830&gt;V2833,I2831,IF(V2833&gt;V2830,I2834,""))</f>
        <v>DIVINSKÁ Natália</v>
      </c>
      <c r="O2838" s="494"/>
      <c r="P2838" s="494"/>
      <c r="Q2838" s="494"/>
      <c r="R2838" s="494"/>
      <c r="S2838" s="495"/>
      <c r="T2838" s="263"/>
      <c r="U2838" s="263"/>
      <c r="V2838" s="263"/>
      <c r="W2838" s="267"/>
      <c r="X2838" s="263"/>
    </row>
    <row r="2839" spans="1:53" ht="39.950000000000003" customHeight="1">
      <c r="E2839" s="264" t="s">
        <v>27</v>
      </c>
      <c r="F2839" s="274" t="s">
        <v>353</v>
      </c>
      <c r="G2839" s="263"/>
      <c r="H2839" s="263"/>
      <c r="I2839" s="263"/>
      <c r="J2839" s="263"/>
      <c r="K2839" s="263"/>
      <c r="L2839" s="263"/>
      <c r="M2839" s="263"/>
      <c r="N2839" s="263"/>
      <c r="O2839" s="263"/>
      <c r="P2839" s="263"/>
      <c r="Q2839" s="263"/>
      <c r="R2839" s="263"/>
      <c r="S2839" s="263"/>
      <c r="T2839" s="263"/>
      <c r="U2839" s="263"/>
      <c r="V2839" s="263"/>
      <c r="W2839" s="267"/>
      <c r="X2839" s="263"/>
    </row>
    <row r="2840" spans="1:53" ht="39.950000000000003" customHeight="1">
      <c r="E2840" s="271"/>
      <c r="F2840" s="272"/>
      <c r="G2840" s="263"/>
      <c r="H2840" s="263" t="s">
        <v>33</v>
      </c>
      <c r="I2840" s="263"/>
      <c r="J2840" s="263"/>
      <c r="K2840" s="263"/>
      <c r="L2840" s="263"/>
      <c r="M2840" s="263"/>
      <c r="N2840" s="263"/>
      <c r="O2840" s="263"/>
      <c r="P2840" s="263"/>
      <c r="Q2840" s="263"/>
      <c r="R2840" s="263"/>
      <c r="S2840" s="263"/>
      <c r="T2840" s="263"/>
      <c r="U2840" s="263"/>
      <c r="V2840" s="263"/>
      <c r="W2840" s="267"/>
      <c r="X2840" s="263"/>
    </row>
    <row r="2841" spans="1:53" ht="39.950000000000003" customHeight="1">
      <c r="E2841" s="271"/>
      <c r="F2841" s="272"/>
      <c r="G2841" s="263"/>
      <c r="H2841" s="263"/>
      <c r="I2841" s="263"/>
      <c r="J2841" s="263"/>
      <c r="K2841" s="263"/>
      <c r="L2841" s="263"/>
      <c r="M2841" s="263"/>
      <c r="N2841" s="263"/>
      <c r="O2841" s="263"/>
      <c r="P2841" s="263"/>
      <c r="Q2841" s="263"/>
      <c r="R2841" s="263"/>
      <c r="S2841" s="263"/>
      <c r="T2841" s="263"/>
      <c r="U2841" s="263"/>
      <c r="V2841" s="263"/>
      <c r="W2841" s="267"/>
      <c r="X2841" s="263"/>
    </row>
    <row r="2842" spans="1:53" ht="39.950000000000003" customHeight="1">
      <c r="E2842" s="271"/>
      <c r="F2842" s="272"/>
      <c r="G2842" s="263"/>
      <c r="H2842" s="263"/>
      <c r="I2842" s="496" t="str">
        <f>I2830</f>
        <v>DZELINSKA Júlia</v>
      </c>
      <c r="J2842" s="496"/>
      <c r="K2842" s="496"/>
      <c r="L2842" s="496"/>
      <c r="M2842" s="263"/>
      <c r="N2842" s="263"/>
      <c r="P2842" s="496" t="str">
        <f>I2833</f>
        <v>PEKOVÁ Zuzana</v>
      </c>
      <c r="Q2842" s="496"/>
      <c r="R2842" s="496"/>
      <c r="S2842" s="496"/>
      <c r="T2842" s="497"/>
      <c r="U2842" s="497"/>
      <c r="V2842" s="263"/>
      <c r="W2842" s="267"/>
      <c r="X2842" s="263"/>
    </row>
    <row r="2843" spans="1:53" ht="39.950000000000003" customHeight="1">
      <c r="E2843" s="271"/>
      <c r="F2843" s="272"/>
      <c r="G2843" s="263"/>
      <c r="H2843" s="263"/>
      <c r="I2843" s="496" t="str">
        <f>I2831</f>
        <v>TEREZKOVÁ Jana</v>
      </c>
      <c r="J2843" s="496"/>
      <c r="K2843" s="496"/>
      <c r="L2843" s="496"/>
      <c r="M2843" s="263"/>
      <c r="N2843" s="263"/>
      <c r="O2843" s="263"/>
      <c r="P2843" s="496" t="str">
        <f>I2834</f>
        <v>DIVINSKÁ Natália</v>
      </c>
      <c r="Q2843" s="496"/>
      <c r="R2843" s="496"/>
      <c r="S2843" s="496"/>
      <c r="T2843" s="497"/>
      <c r="U2843" s="497"/>
      <c r="V2843" s="263"/>
      <c r="W2843" s="267"/>
      <c r="X2843" s="263"/>
    </row>
    <row r="2844" spans="1:53" ht="69.95" customHeight="1">
      <c r="E2844" s="264"/>
      <c r="F2844" s="265"/>
      <c r="G2844" s="263"/>
      <c r="H2844" s="275" t="s">
        <v>36</v>
      </c>
      <c r="I2844" s="483"/>
      <c r="J2844" s="484"/>
      <c r="K2844" s="484"/>
      <c r="L2844" s="485"/>
      <c r="M2844" s="263"/>
      <c r="N2844" s="263"/>
      <c r="O2844" s="275" t="s">
        <v>36</v>
      </c>
      <c r="P2844" s="486"/>
      <c r="Q2844" s="486"/>
      <c r="R2844" s="486"/>
      <c r="S2844" s="486"/>
      <c r="T2844" s="486"/>
      <c r="U2844" s="486"/>
      <c r="V2844" s="263"/>
      <c r="W2844" s="267"/>
      <c r="X2844" s="263"/>
    </row>
    <row r="2845" spans="1:53" ht="69.95" customHeight="1">
      <c r="E2845" s="264"/>
      <c r="F2845" s="265"/>
      <c r="G2845" s="263"/>
      <c r="H2845" s="275" t="s">
        <v>37</v>
      </c>
      <c r="I2845" s="486"/>
      <c r="J2845" s="486"/>
      <c r="K2845" s="486"/>
      <c r="L2845" s="486"/>
      <c r="M2845" s="263"/>
      <c r="N2845" s="263"/>
      <c r="O2845" s="275" t="s">
        <v>37</v>
      </c>
      <c r="P2845" s="486"/>
      <c r="Q2845" s="486"/>
      <c r="R2845" s="486"/>
      <c r="S2845" s="486"/>
      <c r="T2845" s="486"/>
      <c r="U2845" s="486"/>
      <c r="V2845" s="263"/>
      <c r="W2845" s="267"/>
      <c r="X2845" s="263"/>
    </row>
    <row r="2846" spans="1:53" ht="69.95" customHeight="1">
      <c r="E2846" s="264"/>
      <c r="F2846" s="265"/>
      <c r="G2846" s="263"/>
      <c r="H2846" s="275" t="s">
        <v>37</v>
      </c>
      <c r="I2846" s="486"/>
      <c r="J2846" s="486"/>
      <c r="K2846" s="486"/>
      <c r="L2846" s="486"/>
      <c r="M2846" s="263"/>
      <c r="N2846" s="263"/>
      <c r="O2846" s="275" t="s">
        <v>37</v>
      </c>
      <c r="P2846" s="486"/>
      <c r="Q2846" s="486"/>
      <c r="R2846" s="486"/>
      <c r="S2846" s="486"/>
      <c r="T2846" s="486"/>
      <c r="U2846" s="486"/>
      <c r="V2846" s="263"/>
      <c r="W2846" s="267"/>
      <c r="X2846" s="263"/>
    </row>
    <row r="2847" spans="1:53" ht="39.950000000000003" customHeight="1" thickBot="1">
      <c r="E2847" s="276"/>
      <c r="F2847" s="277"/>
      <c r="G2847" s="278"/>
      <c r="H2847" s="278"/>
      <c r="I2847" s="278"/>
      <c r="J2847" s="278"/>
      <c r="K2847" s="278"/>
      <c r="L2847" s="278"/>
      <c r="M2847" s="278"/>
      <c r="N2847" s="278"/>
      <c r="O2847" s="278"/>
      <c r="P2847" s="278"/>
      <c r="Q2847" s="278"/>
      <c r="R2847" s="278"/>
      <c r="S2847" s="278"/>
      <c r="T2847" s="279"/>
      <c r="U2847" s="279"/>
      <c r="V2847" s="279"/>
      <c r="W2847" s="280"/>
      <c r="X2847" s="263"/>
    </row>
    <row r="2848" spans="1:53" ht="62.25" thickBot="1"/>
    <row r="2849" spans="1:53" ht="39.950000000000003" customHeight="1">
      <c r="A2849" s="252" t="str">
        <f>CONCATENATE(F2856,F2858,F2860)</f>
        <v>CHP13</v>
      </c>
      <c r="E2849" s="259" t="s">
        <v>70</v>
      </c>
      <c r="F2849" s="260">
        <f>VLOOKUP(CONCATENATE(A2849,1),'zoznam zapasov'!$A$6:$K$160,3,0)</f>
        <v>141</v>
      </c>
      <c r="G2849" s="261"/>
      <c r="H2849" s="322" t="s">
        <v>501</v>
      </c>
      <c r="I2849" s="261"/>
      <c r="J2849" s="261"/>
      <c r="K2849" s="261"/>
      <c r="L2849" s="261" t="s">
        <v>537</v>
      </c>
      <c r="M2849" s="261"/>
      <c r="N2849" s="261"/>
      <c r="O2849" s="261"/>
      <c r="P2849" s="261"/>
      <c r="Q2849" s="261"/>
      <c r="R2849" s="261"/>
      <c r="S2849" s="261"/>
      <c r="T2849" s="261"/>
      <c r="U2849" s="261"/>
      <c r="V2849" s="261" t="s">
        <v>30</v>
      </c>
      <c r="W2849" s="262"/>
      <c r="X2849" s="263"/>
      <c r="Y2849" s="253" t="str">
        <f>A2851</f>
        <v>CHP131</v>
      </c>
      <c r="Z2849" s="258" t="str">
        <f>CONCATENATE(V2851,":",V2854)</f>
        <v>3:1</v>
      </c>
      <c r="AA2849" s="255" t="str">
        <f>N2858</f>
        <v>DIKO Dalibor</v>
      </c>
      <c r="AB2849" s="255" t="str">
        <f>IF(V2851&gt;V2854,AV2849,IF(V2854&gt;V2851,AV2850,""))</f>
        <v xml:space="preserve">3:1 ( 8,-8,6,10,,, ) </v>
      </c>
      <c r="AC2849" s="255" t="str">
        <f>CONCATENATE("Tbl.: ",F2851,"   H: ",F2854,"   D: ",F2853)</f>
        <v>Tbl.: 1   H: 10.00   D: Ne</v>
      </c>
      <c r="AE2849" s="253" t="s">
        <v>11</v>
      </c>
      <c r="AV2849" s="256" t="str">
        <f>CONCATENATE(V2851,":",V2854, " ( ",AN2851,",",AO2851,",",AP2851,",",AQ2851,",",AR2851,",",AS2851,",",AT2851," ) ")</f>
        <v xml:space="preserve">3:1 ( 8,-8,6,10,,, ) </v>
      </c>
    </row>
    <row r="2850" spans="1:53" ht="39.950000000000003" customHeight="1">
      <c r="E2850" s="264"/>
      <c r="F2850" s="265"/>
      <c r="G2850" s="321" t="s">
        <v>500</v>
      </c>
      <c r="H2850" s="323" t="s">
        <v>502</v>
      </c>
      <c r="I2850" s="263"/>
      <c r="J2850" s="263"/>
      <c r="K2850" s="263"/>
      <c r="L2850" s="263"/>
      <c r="M2850" s="263"/>
      <c r="N2850" s="266">
        <v>1</v>
      </c>
      <c r="O2850" s="266">
        <v>2</v>
      </c>
      <c r="P2850" s="266">
        <v>3</v>
      </c>
      <c r="Q2850" s="266">
        <v>4</v>
      </c>
      <c r="R2850" s="266">
        <v>5</v>
      </c>
      <c r="S2850" s="266">
        <v>6</v>
      </c>
      <c r="T2850" s="266">
        <v>7</v>
      </c>
      <c r="U2850" s="263"/>
      <c r="V2850" s="266" t="s">
        <v>31</v>
      </c>
      <c r="W2850" s="267"/>
      <c r="X2850" s="263"/>
      <c r="AE2850" s="253" t="s">
        <v>68</v>
      </c>
      <c r="AV2850" s="256" t="str">
        <f>CONCATENATE(V2854,":",V2851, " ( ",AN2852,",",AO2852,",",AP2852,",",AQ2852,",",AR2852,",",AS2852,",",AT2852," ) ")</f>
        <v xml:space="preserve">1:3 ( -8,8,-6,-10,,, ) </v>
      </c>
    </row>
    <row r="2851" spans="1:53" ht="39.950000000000003" customHeight="1">
      <c r="A2851" s="252" t="str">
        <f>CONCATENATE(A2849,1)</f>
        <v>CHP131</v>
      </c>
      <c r="E2851" s="264" t="s">
        <v>29</v>
      </c>
      <c r="F2851" s="265">
        <f>VLOOKUP(CONCATENATE(A2849,1),'zoznam zapasov'!$A$6:$K$160,11,0)</f>
        <v>1</v>
      </c>
      <c r="G2851" s="508"/>
      <c r="H2851" s="495"/>
      <c r="I2851" s="487" t="str">
        <f>IF(ISERROR(VLOOKUP(A2851,'KO KODY SPOLU'!$A$3:$B$189,2,0))=TRUE,"",VLOOKUP(A2851,'KO KODY SPOLU'!$A$3:$B$189,2,0))</f>
        <v>DIKO Dalibor</v>
      </c>
      <c r="J2851" s="487"/>
      <c r="K2851" s="487"/>
      <c r="L2851" s="487"/>
      <c r="M2851" s="263"/>
      <c r="N2851" s="489">
        <v>11</v>
      </c>
      <c r="O2851" s="489">
        <v>8</v>
      </c>
      <c r="P2851" s="489">
        <v>11</v>
      </c>
      <c r="Q2851" s="489">
        <v>12</v>
      </c>
      <c r="R2851" s="489"/>
      <c r="S2851" s="489"/>
      <c r="T2851" s="489"/>
      <c r="U2851" s="263"/>
      <c r="V2851" s="493">
        <f>IF(SUM(AF2851:AL2852)=0,"",SUM(AF2851:AL2851))</f>
        <v>3</v>
      </c>
      <c r="W2851" s="267"/>
      <c r="X2851" s="263"/>
      <c r="AE2851" s="253" t="str">
        <f>VLOOKUP(I2851,vylosovanie!$F$8:$L$190,7,0)</f>
        <v>CH11</v>
      </c>
      <c r="AF2851" s="268">
        <f>IF(N2851&gt;N2854,1,0)</f>
        <v>1</v>
      </c>
      <c r="AG2851" s="268">
        <f t="shared" ref="AG2851" si="2766">IF(O2851&gt;O2854,1,0)</f>
        <v>0</v>
      </c>
      <c r="AH2851" s="268">
        <f t="shared" ref="AH2851" si="2767">IF(P2851&gt;P2854,1,0)</f>
        <v>1</v>
      </c>
      <c r="AI2851" s="268">
        <f t="shared" ref="AI2851" si="2768">IF(Q2851&gt;Q2854,1,0)</f>
        <v>1</v>
      </c>
      <c r="AJ2851" s="268">
        <f t="shared" ref="AJ2851" si="2769">IF(R2851&gt;R2854,1,0)</f>
        <v>0</v>
      </c>
      <c r="AK2851" s="268">
        <f t="shared" ref="AK2851" si="2770">IF(S2851&gt;S2854,1,0)</f>
        <v>0</v>
      </c>
      <c r="AL2851" s="268">
        <f t="shared" ref="AL2851" si="2771">IF(T2851&gt;T2854,1,0)</f>
        <v>0</v>
      </c>
      <c r="AN2851" s="268">
        <f t="shared" ref="AN2851" si="2772">IF(ISBLANK(N2851)=TRUE,"",IF(AF2851=1,N2854,-N2851))</f>
        <v>8</v>
      </c>
      <c r="AO2851" s="268">
        <f t="shared" ref="AO2851" si="2773">IF(ISBLANK(O2851)=TRUE,"",IF(AG2851=1,O2854,-O2851))</f>
        <v>-8</v>
      </c>
      <c r="AP2851" s="268">
        <f t="shared" ref="AP2851" si="2774">IF(ISBLANK(P2851)=TRUE,"",IF(AH2851=1,P2854,-P2851))</f>
        <v>6</v>
      </c>
      <c r="AQ2851" s="268">
        <f t="shared" ref="AQ2851" si="2775">IF(ISBLANK(Q2851)=TRUE,"",IF(AI2851=1,Q2854,-Q2851))</f>
        <v>10</v>
      </c>
      <c r="AR2851" s="268" t="str">
        <f t="shared" ref="AR2851" si="2776">IF(ISBLANK(R2851)=TRUE,"",IF(AJ2851=1,R2854,-R2851))</f>
        <v/>
      </c>
      <c r="AS2851" s="268" t="str">
        <f t="shared" ref="AS2851" si="2777">IF(ISBLANK(S2851)=TRUE,"",IF(AK2851=1,S2854,-S2851))</f>
        <v/>
      </c>
      <c r="AT2851" s="268" t="str">
        <f t="shared" ref="AT2851" si="2778">IF(ISBLANK(T2851)=TRUE,"",IF(AL2851=1,T2854,-T2851))</f>
        <v/>
      </c>
      <c r="AZ2851" s="269" t="s">
        <v>12</v>
      </c>
      <c r="BA2851" s="269">
        <v>1</v>
      </c>
    </row>
    <row r="2852" spans="1:53" ht="39.950000000000003" customHeight="1">
      <c r="E2852" s="264"/>
      <c r="F2852" s="265"/>
      <c r="G2852" s="509"/>
      <c r="H2852" s="495"/>
      <c r="I2852" s="487"/>
      <c r="J2852" s="487"/>
      <c r="K2852" s="487"/>
      <c r="L2852" s="487"/>
      <c r="M2852" s="263"/>
      <c r="N2852" s="490"/>
      <c r="O2852" s="490"/>
      <c r="P2852" s="490"/>
      <c r="Q2852" s="490"/>
      <c r="R2852" s="490"/>
      <c r="S2852" s="490"/>
      <c r="T2852" s="490"/>
      <c r="U2852" s="263"/>
      <c r="V2852" s="493"/>
      <c r="W2852" s="267"/>
      <c r="X2852" s="263"/>
      <c r="AE2852" s="253" t="str">
        <f>VLOOKUP(I2854,vylosovanie!$F$8:$L$190,7,0)</f>
        <v>CH31</v>
      </c>
      <c r="AF2852" s="268">
        <f>IF(N2854&gt;N2851,1,0)</f>
        <v>0</v>
      </c>
      <c r="AG2852" s="268">
        <f t="shared" ref="AG2852" si="2779">IF(O2854&gt;O2851,1,0)</f>
        <v>1</v>
      </c>
      <c r="AH2852" s="268">
        <f t="shared" ref="AH2852" si="2780">IF(P2854&gt;P2851,1,0)</f>
        <v>0</v>
      </c>
      <c r="AI2852" s="268">
        <f t="shared" ref="AI2852" si="2781">IF(Q2854&gt;Q2851,1,0)</f>
        <v>0</v>
      </c>
      <c r="AJ2852" s="268">
        <f t="shared" ref="AJ2852" si="2782">IF(R2854&gt;R2851,1,0)</f>
        <v>0</v>
      </c>
      <c r="AK2852" s="268">
        <f t="shared" ref="AK2852" si="2783">IF(S2854&gt;S2851,1,0)</f>
        <v>0</v>
      </c>
      <c r="AL2852" s="268">
        <f t="shared" ref="AL2852" si="2784">IF(T2854&gt;T2851,1,0)</f>
        <v>0</v>
      </c>
      <c r="AN2852" s="268">
        <f t="shared" ref="AN2852" si="2785">IF(ISBLANK(N2854)=TRUE,"",IF(AF2852=1,N2851,-N2854))</f>
        <v>-8</v>
      </c>
      <c r="AO2852" s="268">
        <f t="shared" ref="AO2852" si="2786">IF(ISBLANK(O2854)=TRUE,"",IF(AG2852=1,O2851,-O2854))</f>
        <v>8</v>
      </c>
      <c r="AP2852" s="268">
        <f t="shared" ref="AP2852" si="2787">IF(ISBLANK(P2854)=TRUE,"",IF(AH2852=1,P2851,-P2854))</f>
        <v>-6</v>
      </c>
      <c r="AQ2852" s="268">
        <f t="shared" ref="AQ2852" si="2788">IF(ISBLANK(Q2854)=TRUE,"",IF(AI2852=1,Q2851,-Q2854))</f>
        <v>-10</v>
      </c>
      <c r="AR2852" s="268" t="str">
        <f t="shared" ref="AR2852" si="2789">IF(ISBLANK(R2854)=TRUE,"",IF(AJ2852=1,R2851,-R2854))</f>
        <v/>
      </c>
      <c r="AS2852" s="268" t="str">
        <f t="shared" ref="AS2852" si="2790">IF(ISBLANK(S2854)=TRUE,"",IF(AK2852=1,S2851,-S2854))</f>
        <v/>
      </c>
      <c r="AT2852" s="268" t="str">
        <f t="shared" ref="AT2852" si="2791">IF(ISBLANK(T2854)=TRUE,"",IF(AL2852=1,T2851,-T2854))</f>
        <v/>
      </c>
      <c r="AZ2852" s="269" t="s">
        <v>18</v>
      </c>
      <c r="BA2852" s="269">
        <v>2</v>
      </c>
    </row>
    <row r="2853" spans="1:53" ht="39.950000000000003" customHeight="1">
      <c r="E2853" s="264" t="s">
        <v>35</v>
      </c>
      <c r="F2853" s="265" t="str">
        <f>VLOOKUP(CONCATENATE(A2849,1),'zoznam zapasov'!$A$6:$K$160,9,0)</f>
        <v>Ne</v>
      </c>
      <c r="G2853" s="263"/>
      <c r="H2853" s="263"/>
      <c r="I2853" s="263"/>
      <c r="J2853" s="263"/>
      <c r="K2853" s="263"/>
      <c r="L2853" s="263"/>
      <c r="M2853" s="263"/>
      <c r="N2853" s="263"/>
      <c r="O2853" s="263"/>
      <c r="P2853" s="263"/>
      <c r="Q2853" s="263"/>
      <c r="R2853" s="263"/>
      <c r="S2853" s="263"/>
      <c r="T2853" s="263"/>
      <c r="U2853" s="263"/>
      <c r="V2853" s="263"/>
      <c r="W2853" s="267"/>
      <c r="X2853" s="263"/>
      <c r="AZ2853" s="269" t="s">
        <v>38</v>
      </c>
      <c r="BA2853" s="269">
        <v>3</v>
      </c>
    </row>
    <row r="2854" spans="1:53" ht="39.950000000000003" customHeight="1">
      <c r="A2854" s="252" t="str">
        <f>CONCATENATE(A2849,2)</f>
        <v>CHP132</v>
      </c>
      <c r="E2854" s="264" t="s">
        <v>28</v>
      </c>
      <c r="F2854" s="270" t="str">
        <f>VLOOKUP(CONCATENATE(A2849,1),'zoznam zapasov'!$A$6:$K$160,10,0)</f>
        <v>10.00</v>
      </c>
      <c r="G2854" s="508"/>
      <c r="H2854" s="486"/>
      <c r="I2854" s="487" t="str">
        <f>IF(ISERROR(VLOOKUP(A2854,'KO KODY SPOLU'!$A$3:$B$189,2,0))=TRUE,"",VLOOKUP(A2854,'KO KODY SPOLU'!$A$3:$B$189,2,0))</f>
        <v>FEČO Samuel</v>
      </c>
      <c r="J2854" s="487"/>
      <c r="K2854" s="487"/>
      <c r="L2854" s="487"/>
      <c r="M2854" s="263"/>
      <c r="N2854" s="489">
        <v>8</v>
      </c>
      <c r="O2854" s="489">
        <v>11</v>
      </c>
      <c r="P2854" s="489">
        <v>6</v>
      </c>
      <c r="Q2854" s="489">
        <v>10</v>
      </c>
      <c r="R2854" s="489"/>
      <c r="S2854" s="489"/>
      <c r="T2854" s="489"/>
      <c r="U2854" s="263"/>
      <c r="V2854" s="493">
        <f>IF(SUM(AF2851:AL2852)=0,"",SUM(AF2852:AL2852))</f>
        <v>1</v>
      </c>
      <c r="W2854" s="267"/>
      <c r="X2854" s="263"/>
      <c r="AZ2854" s="269" t="s">
        <v>39</v>
      </c>
      <c r="BA2854" s="269">
        <v>4</v>
      </c>
    </row>
    <row r="2855" spans="1:53" ht="39.950000000000003" customHeight="1">
      <c r="E2855" s="271"/>
      <c r="F2855" s="272"/>
      <c r="G2855" s="509"/>
      <c r="H2855" s="486"/>
      <c r="I2855" s="487"/>
      <c r="J2855" s="487"/>
      <c r="K2855" s="487"/>
      <c r="L2855" s="487"/>
      <c r="M2855" s="263"/>
      <c r="N2855" s="490"/>
      <c r="O2855" s="490"/>
      <c r="P2855" s="490"/>
      <c r="Q2855" s="490"/>
      <c r="R2855" s="490"/>
      <c r="S2855" s="490"/>
      <c r="T2855" s="490"/>
      <c r="U2855" s="263"/>
      <c r="V2855" s="493"/>
      <c r="W2855" s="267"/>
      <c r="X2855" s="263"/>
      <c r="AZ2855" s="269" t="s">
        <v>40</v>
      </c>
      <c r="BA2855" s="269">
        <v>5</v>
      </c>
    </row>
    <row r="2856" spans="1:53" ht="39.950000000000003" customHeight="1">
      <c r="E2856" s="264" t="s">
        <v>66</v>
      </c>
      <c r="F2856" s="265" t="s">
        <v>65</v>
      </c>
      <c r="G2856" s="263"/>
      <c r="H2856" s="263"/>
      <c r="I2856" s="263"/>
      <c r="J2856" s="263"/>
      <c r="K2856" s="263"/>
      <c r="L2856" s="263"/>
      <c r="M2856" s="263"/>
      <c r="N2856" s="263"/>
      <c r="O2856" s="263"/>
      <c r="P2856" s="263"/>
      <c r="Q2856" s="263"/>
      <c r="R2856" s="263"/>
      <c r="S2856" s="263"/>
      <c r="T2856" s="263"/>
      <c r="U2856" s="263"/>
      <c r="V2856" s="263"/>
      <c r="W2856" s="267"/>
      <c r="X2856" s="263"/>
      <c r="AZ2856" s="269" t="s">
        <v>41</v>
      </c>
      <c r="BA2856" s="269">
        <v>6</v>
      </c>
    </row>
    <row r="2857" spans="1:53" ht="39.950000000000003" customHeight="1">
      <c r="E2857" s="271"/>
      <c r="F2857" s="272"/>
      <c r="G2857" s="263"/>
      <c r="H2857" s="263"/>
      <c r="I2857" s="263" t="s">
        <v>32</v>
      </c>
      <c r="J2857" s="263"/>
      <c r="K2857" s="263"/>
      <c r="L2857" s="263"/>
      <c r="M2857" s="263"/>
      <c r="N2857" s="273"/>
      <c r="O2857" s="266"/>
      <c r="P2857" s="266" t="s">
        <v>34</v>
      </c>
      <c r="Q2857" s="266"/>
      <c r="R2857" s="266"/>
      <c r="S2857" s="266"/>
      <c r="T2857" s="266"/>
      <c r="U2857" s="263"/>
      <c r="V2857" s="263"/>
      <c r="W2857" s="267"/>
      <c r="X2857" s="263"/>
      <c r="AZ2857" s="269" t="s">
        <v>42</v>
      </c>
      <c r="BA2857" s="269">
        <v>7</v>
      </c>
    </row>
    <row r="2858" spans="1:53" ht="39.950000000000003" customHeight="1">
      <c r="E2858" s="264" t="s">
        <v>26</v>
      </c>
      <c r="F2858" s="265" t="s">
        <v>128</v>
      </c>
      <c r="G2858" s="263"/>
      <c r="H2858" s="263"/>
      <c r="I2858" s="486"/>
      <c r="J2858" s="486"/>
      <c r="K2858" s="486"/>
      <c r="L2858" s="486"/>
      <c r="M2858" s="263"/>
      <c r="N2858" s="486" t="str">
        <f>IF(V2851&gt;V2854,I2851,IF(V2854&gt;V2851,I2854,""))</f>
        <v>DIKO Dalibor</v>
      </c>
      <c r="O2858" s="486"/>
      <c r="P2858" s="486"/>
      <c r="Q2858" s="486"/>
      <c r="R2858" s="486"/>
      <c r="S2858" s="486"/>
      <c r="T2858" s="263"/>
      <c r="U2858" s="263"/>
      <c r="V2858" s="263"/>
      <c r="W2858" s="267"/>
      <c r="X2858" s="263"/>
      <c r="AZ2858" s="269" t="s">
        <v>43</v>
      </c>
      <c r="BA2858" s="269">
        <v>8</v>
      </c>
    </row>
    <row r="2859" spans="1:53" ht="39.950000000000003" customHeight="1">
      <c r="E2859" s="271"/>
      <c r="F2859" s="272"/>
      <c r="G2859" s="263"/>
      <c r="H2859" s="263"/>
      <c r="I2859" s="486"/>
      <c r="J2859" s="486"/>
      <c r="K2859" s="486"/>
      <c r="L2859" s="486"/>
      <c r="M2859" s="263"/>
      <c r="N2859" s="486"/>
      <c r="O2859" s="486"/>
      <c r="P2859" s="486"/>
      <c r="Q2859" s="486"/>
      <c r="R2859" s="486"/>
      <c r="S2859" s="486"/>
      <c r="T2859" s="263"/>
      <c r="U2859" s="263"/>
      <c r="V2859" s="263"/>
      <c r="W2859" s="267"/>
      <c r="X2859" s="263"/>
    </row>
    <row r="2860" spans="1:53" ht="39.950000000000003" customHeight="1">
      <c r="E2860" s="264" t="s">
        <v>27</v>
      </c>
      <c r="F2860" s="274" t="s">
        <v>352</v>
      </c>
      <c r="G2860" s="263"/>
      <c r="H2860" s="263"/>
      <c r="I2860" s="263"/>
      <c r="J2860" s="263"/>
      <c r="K2860" s="263"/>
      <c r="L2860" s="263"/>
      <c r="M2860" s="263"/>
      <c r="N2860" s="263"/>
      <c r="O2860" s="263"/>
      <c r="P2860" s="263"/>
      <c r="Q2860" s="263"/>
      <c r="R2860" s="263"/>
      <c r="S2860" s="263"/>
      <c r="T2860" s="263"/>
      <c r="U2860" s="263"/>
      <c r="V2860" s="263"/>
      <c r="W2860" s="267"/>
      <c r="X2860" s="263"/>
    </row>
    <row r="2861" spans="1:53" ht="39.950000000000003" customHeight="1">
      <c r="E2861" s="271"/>
      <c r="F2861" s="272"/>
      <c r="G2861" s="263"/>
      <c r="H2861" s="263" t="s">
        <v>33</v>
      </c>
      <c r="I2861" s="263"/>
      <c r="J2861" s="263"/>
      <c r="K2861" s="263"/>
      <c r="L2861" s="263"/>
      <c r="M2861" s="263"/>
      <c r="N2861" s="263"/>
      <c r="O2861" s="263"/>
      <c r="P2861" s="263"/>
      <c r="Q2861" s="263"/>
      <c r="R2861" s="263"/>
      <c r="S2861" s="263"/>
      <c r="T2861" s="263"/>
      <c r="U2861" s="263"/>
      <c r="V2861" s="263"/>
      <c r="W2861" s="267"/>
      <c r="X2861" s="263"/>
    </row>
    <row r="2862" spans="1:53" ht="39.950000000000003" customHeight="1">
      <c r="E2862" s="271"/>
      <c r="F2862" s="272"/>
      <c r="G2862" s="263"/>
      <c r="H2862" s="263"/>
      <c r="I2862" s="263"/>
      <c r="J2862" s="263"/>
      <c r="K2862" s="263"/>
      <c r="L2862" s="263"/>
      <c r="M2862" s="263"/>
      <c r="N2862" s="263"/>
      <c r="O2862" s="263"/>
      <c r="P2862" s="263"/>
      <c r="Q2862" s="263"/>
      <c r="R2862" s="263"/>
      <c r="S2862" s="263"/>
      <c r="T2862" s="263"/>
      <c r="U2862" s="263"/>
      <c r="V2862" s="263"/>
      <c r="W2862" s="267"/>
      <c r="X2862" s="263"/>
    </row>
    <row r="2863" spans="1:53" ht="39.950000000000003" customHeight="1">
      <c r="E2863" s="271"/>
      <c r="F2863" s="272"/>
      <c r="G2863" s="263"/>
      <c r="H2863" s="263"/>
      <c r="I2863" s="496" t="str">
        <f>I2851</f>
        <v>DIKO Dalibor</v>
      </c>
      <c r="J2863" s="496"/>
      <c r="K2863" s="496"/>
      <c r="L2863" s="496"/>
      <c r="M2863" s="263"/>
      <c r="N2863" s="263"/>
      <c r="O2863" s="263"/>
      <c r="P2863" s="496" t="str">
        <f>I2854</f>
        <v>FEČO Samuel</v>
      </c>
      <c r="Q2863" s="496"/>
      <c r="R2863" s="496"/>
      <c r="S2863" s="496"/>
      <c r="T2863" s="497"/>
      <c r="U2863" s="497"/>
      <c r="V2863" s="263"/>
      <c r="W2863" s="267"/>
      <c r="X2863" s="263"/>
    </row>
    <row r="2864" spans="1:53" ht="69.95" customHeight="1">
      <c r="E2864" s="264"/>
      <c r="F2864" s="265"/>
      <c r="G2864" s="263"/>
      <c r="H2864" s="275" t="s">
        <v>36</v>
      </c>
      <c r="I2864" s="483"/>
      <c r="J2864" s="494"/>
      <c r="K2864" s="494"/>
      <c r="L2864" s="495"/>
      <c r="M2864" s="263"/>
      <c r="N2864" s="263"/>
      <c r="O2864" s="275" t="s">
        <v>36</v>
      </c>
      <c r="P2864" s="486"/>
      <c r="Q2864" s="486"/>
      <c r="R2864" s="486"/>
      <c r="S2864" s="486"/>
      <c r="T2864" s="486"/>
      <c r="U2864" s="486"/>
      <c r="V2864" s="263"/>
      <c r="W2864" s="267"/>
      <c r="X2864" s="263"/>
    </row>
    <row r="2865" spans="1:53" ht="69.95" customHeight="1">
      <c r="E2865" s="264"/>
      <c r="F2865" s="265"/>
      <c r="G2865" s="263"/>
      <c r="H2865" s="275" t="s">
        <v>37</v>
      </c>
      <c r="I2865" s="486"/>
      <c r="J2865" s="486"/>
      <c r="K2865" s="486"/>
      <c r="L2865" s="486"/>
      <c r="M2865" s="263"/>
      <c r="N2865" s="263"/>
      <c r="O2865" s="275" t="s">
        <v>37</v>
      </c>
      <c r="P2865" s="486"/>
      <c r="Q2865" s="486"/>
      <c r="R2865" s="486"/>
      <c r="S2865" s="486"/>
      <c r="T2865" s="486"/>
      <c r="U2865" s="486"/>
      <c r="V2865" s="263"/>
      <c r="W2865" s="267"/>
      <c r="X2865" s="263"/>
    </row>
    <row r="2866" spans="1:53" ht="69.95" customHeight="1">
      <c r="E2866" s="264"/>
      <c r="F2866" s="265"/>
      <c r="G2866" s="263"/>
      <c r="H2866" s="275" t="s">
        <v>37</v>
      </c>
      <c r="I2866" s="486"/>
      <c r="J2866" s="486"/>
      <c r="K2866" s="486"/>
      <c r="L2866" s="486"/>
      <c r="M2866" s="263"/>
      <c r="N2866" s="263"/>
      <c r="O2866" s="275" t="s">
        <v>37</v>
      </c>
      <c r="P2866" s="486"/>
      <c r="Q2866" s="486"/>
      <c r="R2866" s="486"/>
      <c r="S2866" s="486"/>
      <c r="T2866" s="486"/>
      <c r="U2866" s="486"/>
      <c r="V2866" s="263"/>
      <c r="W2866" s="267"/>
      <c r="X2866" s="263"/>
    </row>
    <row r="2867" spans="1:53" ht="39.950000000000003" customHeight="1" thickBot="1">
      <c r="E2867" s="276"/>
      <c r="F2867" s="277"/>
      <c r="G2867" s="278"/>
      <c r="H2867" s="278"/>
      <c r="I2867" s="278"/>
      <c r="J2867" s="278"/>
      <c r="K2867" s="278"/>
      <c r="L2867" s="278"/>
      <c r="M2867" s="278"/>
      <c r="N2867" s="278"/>
      <c r="O2867" s="278"/>
      <c r="P2867" s="278"/>
      <c r="Q2867" s="278"/>
      <c r="R2867" s="278"/>
      <c r="S2867" s="278"/>
      <c r="T2867" s="279"/>
      <c r="U2867" s="279"/>
      <c r="V2867" s="279"/>
      <c r="W2867" s="280"/>
      <c r="X2867" s="263"/>
    </row>
    <row r="2868" spans="1:53" ht="62.25" thickBot="1"/>
    <row r="2869" spans="1:53" ht="39.950000000000003" customHeight="1">
      <c r="A2869" s="252" t="str">
        <f>CONCATENATE(F2876,F2878,F2880)</f>
        <v>CHP14</v>
      </c>
      <c r="E2869" s="259" t="s">
        <v>70</v>
      </c>
      <c r="F2869" s="260">
        <f>VLOOKUP(CONCATENATE(A2869,1),'zoznam zapasov'!$A$6:$K$160,3,0)</f>
        <v>142</v>
      </c>
      <c r="G2869" s="261"/>
      <c r="H2869" s="322" t="s">
        <v>501</v>
      </c>
      <c r="I2869" s="261"/>
      <c r="J2869" s="261"/>
      <c r="K2869" s="261"/>
      <c r="L2869" s="261" t="s">
        <v>538</v>
      </c>
      <c r="M2869" s="261"/>
      <c r="N2869" s="261"/>
      <c r="O2869" s="261"/>
      <c r="P2869" s="261"/>
      <c r="Q2869" s="261"/>
      <c r="R2869" s="261"/>
      <c r="S2869" s="261"/>
      <c r="T2869" s="261"/>
      <c r="U2869" s="261"/>
      <c r="V2869" s="261" t="s">
        <v>30</v>
      </c>
      <c r="W2869" s="262"/>
      <c r="X2869" s="263"/>
      <c r="Y2869" s="253" t="str">
        <f>A2871</f>
        <v>CHP141</v>
      </c>
      <c r="Z2869" s="258" t="str">
        <f>CONCATENATE(V2871,":",V2874)</f>
        <v>3:2</v>
      </c>
      <c r="AA2869" s="255" t="str">
        <f>N2878</f>
        <v>PINDURA Tobiáš</v>
      </c>
      <c r="AB2869" s="255" t="str">
        <f>IF(V2871&gt;V2874,AV2869,IF(V2874&gt;V2871,AV2870,""))</f>
        <v xml:space="preserve">3:2 ( 8,-7,3,-8,16,, ) </v>
      </c>
      <c r="AC2869" s="255" t="str">
        <f>CONCATENATE("Tbl.: ",F2871,"   H: ",F2874,"   D: ",F2873)</f>
        <v>Tbl.: 2   H: 10.00   D: Ne</v>
      </c>
      <c r="AE2869" s="253" t="s">
        <v>11</v>
      </c>
      <c r="AV2869" s="256" t="str">
        <f>CONCATENATE(V2871,":",V2874, " ( ",AN2871,",",AO2871,",",AP2871,",",AQ2871,",",AR2871,",",AS2871,",",AT2871," ) ")</f>
        <v xml:space="preserve">3:2 ( 8,-7,3,-8,16,, ) </v>
      </c>
    </row>
    <row r="2870" spans="1:53" ht="39.950000000000003" customHeight="1">
      <c r="E2870" s="264"/>
      <c r="F2870" s="265"/>
      <c r="G2870" s="321" t="s">
        <v>500</v>
      </c>
      <c r="H2870" s="323" t="s">
        <v>502</v>
      </c>
      <c r="I2870" s="263"/>
      <c r="J2870" s="263"/>
      <c r="K2870" s="263"/>
      <c r="L2870" s="263"/>
      <c r="M2870" s="263"/>
      <c r="N2870" s="266">
        <v>1</v>
      </c>
      <c r="O2870" s="266">
        <v>2</v>
      </c>
      <c r="P2870" s="266">
        <v>3</v>
      </c>
      <c r="Q2870" s="266">
        <v>4</v>
      </c>
      <c r="R2870" s="266">
        <v>5</v>
      </c>
      <c r="S2870" s="266">
        <v>6</v>
      </c>
      <c r="T2870" s="266">
        <v>7</v>
      </c>
      <c r="U2870" s="263"/>
      <c r="V2870" s="266" t="s">
        <v>31</v>
      </c>
      <c r="W2870" s="267"/>
      <c r="X2870" s="263"/>
      <c r="AE2870" s="253" t="s">
        <v>68</v>
      </c>
      <c r="AV2870" s="256" t="str">
        <f>CONCATENATE(V2874,":",V2871, " ( ",AN2872,",",AO2872,",",AP2872,",",AQ2872,",",AR2872,",",AS2872,",",AT2872," ) ")</f>
        <v xml:space="preserve">2:3 ( -8,7,-3,8,-16,, ) </v>
      </c>
    </row>
    <row r="2871" spans="1:53" ht="39.950000000000003" customHeight="1">
      <c r="A2871" s="252" t="str">
        <f>CONCATENATE(A2869,1)</f>
        <v>CHP141</v>
      </c>
      <c r="E2871" s="264" t="s">
        <v>29</v>
      </c>
      <c r="F2871" s="265">
        <f>VLOOKUP(CONCATENATE(A2869,1),'zoznam zapasov'!$A$6:$K$160,11,0)</f>
        <v>2</v>
      </c>
      <c r="G2871" s="508"/>
      <c r="H2871" s="495"/>
      <c r="I2871" s="487" t="str">
        <f>IF(ISERROR(VLOOKUP(A2871,'KO KODY SPOLU'!$A$3:$B$189,2,0))=TRUE,"",VLOOKUP(A2871,'KO KODY SPOLU'!$A$3:$B$189,2,0))</f>
        <v>PINDURA Tobiáš</v>
      </c>
      <c r="J2871" s="487"/>
      <c r="K2871" s="487"/>
      <c r="L2871" s="487"/>
      <c r="M2871" s="263"/>
      <c r="N2871" s="489">
        <v>11</v>
      </c>
      <c r="O2871" s="489">
        <v>7</v>
      </c>
      <c r="P2871" s="489">
        <v>11</v>
      </c>
      <c r="Q2871" s="489">
        <v>8</v>
      </c>
      <c r="R2871" s="489">
        <v>18</v>
      </c>
      <c r="S2871" s="489"/>
      <c r="T2871" s="489"/>
      <c r="U2871" s="263"/>
      <c r="V2871" s="493">
        <f>IF(SUM(AF2871:AL2872)=0,"",SUM(AF2871:AL2871))</f>
        <v>3</v>
      </c>
      <c r="W2871" s="267"/>
      <c r="X2871" s="263"/>
      <c r="AE2871" s="253" t="str">
        <f>VLOOKUP(I2871,vylosovanie!$F$8:$L$190,7,0)</f>
        <v>CH41</v>
      </c>
      <c r="AF2871" s="268">
        <f>IF(N2871&gt;N2874,1,0)</f>
        <v>1</v>
      </c>
      <c r="AG2871" s="268">
        <f t="shared" ref="AG2871" si="2792">IF(O2871&gt;O2874,1,0)</f>
        <v>0</v>
      </c>
      <c r="AH2871" s="268">
        <f t="shared" ref="AH2871" si="2793">IF(P2871&gt;P2874,1,0)</f>
        <v>1</v>
      </c>
      <c r="AI2871" s="268">
        <f t="shared" ref="AI2871" si="2794">IF(Q2871&gt;Q2874,1,0)</f>
        <v>0</v>
      </c>
      <c r="AJ2871" s="268">
        <f t="shared" ref="AJ2871" si="2795">IF(R2871&gt;R2874,1,0)</f>
        <v>1</v>
      </c>
      <c r="AK2871" s="268">
        <f t="shared" ref="AK2871" si="2796">IF(S2871&gt;S2874,1,0)</f>
        <v>0</v>
      </c>
      <c r="AL2871" s="268">
        <f t="shared" ref="AL2871" si="2797">IF(T2871&gt;T2874,1,0)</f>
        <v>0</v>
      </c>
      <c r="AN2871" s="268">
        <f t="shared" ref="AN2871" si="2798">IF(ISBLANK(N2871)=TRUE,"",IF(AF2871=1,N2874,-N2871))</f>
        <v>8</v>
      </c>
      <c r="AO2871" s="268">
        <f t="shared" ref="AO2871" si="2799">IF(ISBLANK(O2871)=TRUE,"",IF(AG2871=1,O2874,-O2871))</f>
        <v>-7</v>
      </c>
      <c r="AP2871" s="268">
        <f t="shared" ref="AP2871" si="2800">IF(ISBLANK(P2871)=TRUE,"",IF(AH2871=1,P2874,-P2871))</f>
        <v>3</v>
      </c>
      <c r="AQ2871" s="268">
        <f t="shared" ref="AQ2871" si="2801">IF(ISBLANK(Q2871)=TRUE,"",IF(AI2871=1,Q2874,-Q2871))</f>
        <v>-8</v>
      </c>
      <c r="AR2871" s="268">
        <f t="shared" ref="AR2871" si="2802">IF(ISBLANK(R2871)=TRUE,"",IF(AJ2871=1,R2874,-R2871))</f>
        <v>16</v>
      </c>
      <c r="AS2871" s="268" t="str">
        <f t="shared" ref="AS2871" si="2803">IF(ISBLANK(S2871)=TRUE,"",IF(AK2871=1,S2874,-S2871))</f>
        <v/>
      </c>
      <c r="AT2871" s="268" t="str">
        <f t="shared" ref="AT2871" si="2804">IF(ISBLANK(T2871)=TRUE,"",IF(AL2871=1,T2874,-T2871))</f>
        <v/>
      </c>
      <c r="AZ2871" s="269" t="s">
        <v>12</v>
      </c>
      <c r="BA2871" s="269">
        <v>1</v>
      </c>
    </row>
    <row r="2872" spans="1:53" ht="39.950000000000003" customHeight="1">
      <c r="E2872" s="264"/>
      <c r="F2872" s="265"/>
      <c r="G2872" s="509"/>
      <c r="H2872" s="495"/>
      <c r="I2872" s="487"/>
      <c r="J2872" s="487"/>
      <c r="K2872" s="487"/>
      <c r="L2872" s="487"/>
      <c r="M2872" s="263"/>
      <c r="N2872" s="490"/>
      <c r="O2872" s="490"/>
      <c r="P2872" s="490"/>
      <c r="Q2872" s="490"/>
      <c r="R2872" s="490"/>
      <c r="S2872" s="490"/>
      <c r="T2872" s="490"/>
      <c r="U2872" s="263"/>
      <c r="V2872" s="493"/>
      <c r="W2872" s="267"/>
      <c r="X2872" s="263"/>
      <c r="AE2872" s="253" t="str">
        <f>VLOOKUP(I2874,vylosovanie!$F$8:$L$190,7,0)</f>
        <v>CH21</v>
      </c>
      <c r="AF2872" s="268">
        <f>IF(N2874&gt;N2871,1,0)</f>
        <v>0</v>
      </c>
      <c r="AG2872" s="268">
        <f t="shared" ref="AG2872" si="2805">IF(O2874&gt;O2871,1,0)</f>
        <v>1</v>
      </c>
      <c r="AH2872" s="268">
        <f t="shared" ref="AH2872" si="2806">IF(P2874&gt;P2871,1,0)</f>
        <v>0</v>
      </c>
      <c r="AI2872" s="268">
        <f t="shared" ref="AI2872" si="2807">IF(Q2874&gt;Q2871,1,0)</f>
        <v>1</v>
      </c>
      <c r="AJ2872" s="268">
        <f t="shared" ref="AJ2872" si="2808">IF(R2874&gt;R2871,1,0)</f>
        <v>0</v>
      </c>
      <c r="AK2872" s="268">
        <f t="shared" ref="AK2872" si="2809">IF(S2874&gt;S2871,1,0)</f>
        <v>0</v>
      </c>
      <c r="AL2872" s="268">
        <f t="shared" ref="AL2872" si="2810">IF(T2874&gt;T2871,1,0)</f>
        <v>0</v>
      </c>
      <c r="AN2872" s="268">
        <f t="shared" ref="AN2872" si="2811">IF(ISBLANK(N2874)=TRUE,"",IF(AF2872=1,N2871,-N2874))</f>
        <v>-8</v>
      </c>
      <c r="AO2872" s="268">
        <f t="shared" ref="AO2872" si="2812">IF(ISBLANK(O2874)=TRUE,"",IF(AG2872=1,O2871,-O2874))</f>
        <v>7</v>
      </c>
      <c r="AP2872" s="268">
        <f t="shared" ref="AP2872" si="2813">IF(ISBLANK(P2874)=TRUE,"",IF(AH2872=1,P2871,-P2874))</f>
        <v>-3</v>
      </c>
      <c r="AQ2872" s="268">
        <f t="shared" ref="AQ2872" si="2814">IF(ISBLANK(Q2874)=TRUE,"",IF(AI2872=1,Q2871,-Q2874))</f>
        <v>8</v>
      </c>
      <c r="AR2872" s="268">
        <f t="shared" ref="AR2872" si="2815">IF(ISBLANK(R2874)=TRUE,"",IF(AJ2872=1,R2871,-R2874))</f>
        <v>-16</v>
      </c>
      <c r="AS2872" s="268" t="str">
        <f t="shared" ref="AS2872" si="2816">IF(ISBLANK(S2874)=TRUE,"",IF(AK2872=1,S2871,-S2874))</f>
        <v/>
      </c>
      <c r="AT2872" s="268" t="str">
        <f t="shared" ref="AT2872" si="2817">IF(ISBLANK(T2874)=TRUE,"",IF(AL2872=1,T2871,-T2874))</f>
        <v/>
      </c>
      <c r="AZ2872" s="269" t="s">
        <v>18</v>
      </c>
      <c r="BA2872" s="269">
        <v>2</v>
      </c>
    </row>
    <row r="2873" spans="1:53" ht="39.950000000000003" customHeight="1">
      <c r="E2873" s="264" t="s">
        <v>35</v>
      </c>
      <c r="F2873" s="265" t="str">
        <f>VLOOKUP(CONCATENATE(A2869,1),'zoznam zapasov'!$A$6:$K$160,9,0)</f>
        <v>Ne</v>
      </c>
      <c r="G2873" s="263"/>
      <c r="H2873" s="263"/>
      <c r="I2873" s="263"/>
      <c r="J2873" s="263"/>
      <c r="K2873" s="263"/>
      <c r="L2873" s="263"/>
      <c r="M2873" s="263"/>
      <c r="N2873" s="263"/>
      <c r="O2873" s="263"/>
      <c r="P2873" s="263"/>
      <c r="Q2873" s="263"/>
      <c r="R2873" s="263"/>
      <c r="S2873" s="263"/>
      <c r="T2873" s="263"/>
      <c r="U2873" s="263"/>
      <c r="V2873" s="263"/>
      <c r="W2873" s="267"/>
      <c r="X2873" s="263"/>
      <c r="AZ2873" s="269" t="s">
        <v>38</v>
      </c>
      <c r="BA2873" s="269">
        <v>3</v>
      </c>
    </row>
    <row r="2874" spans="1:53" ht="39.950000000000003" customHeight="1">
      <c r="A2874" s="252" t="str">
        <f>CONCATENATE(A2869,2)</f>
        <v>CHP142</v>
      </c>
      <c r="E2874" s="264" t="s">
        <v>28</v>
      </c>
      <c r="F2874" s="270" t="str">
        <f>VLOOKUP(CONCATENATE(A2869,1),'zoznam zapasov'!$A$6:$K$160,10,0)</f>
        <v>10.00</v>
      </c>
      <c r="G2874" s="508"/>
      <c r="H2874" s="486"/>
      <c r="I2874" s="487" t="str">
        <f>IF(ISERROR(VLOOKUP(A2874,'KO KODY SPOLU'!$A$3:$B$189,2,0))=TRUE,"",VLOOKUP(A2874,'KO KODY SPOLU'!$A$3:$B$189,2,0))</f>
        <v>KYSEL Martin</v>
      </c>
      <c r="J2874" s="487"/>
      <c r="K2874" s="487"/>
      <c r="L2874" s="487"/>
      <c r="M2874" s="263"/>
      <c r="N2874" s="489">
        <v>8</v>
      </c>
      <c r="O2874" s="489">
        <v>11</v>
      </c>
      <c r="P2874" s="489">
        <v>3</v>
      </c>
      <c r="Q2874" s="489">
        <v>11</v>
      </c>
      <c r="R2874" s="489">
        <v>16</v>
      </c>
      <c r="S2874" s="489"/>
      <c r="T2874" s="489"/>
      <c r="U2874" s="263"/>
      <c r="V2874" s="493">
        <f>IF(SUM(AF2871:AL2872)=0,"",SUM(AF2872:AL2872))</f>
        <v>2</v>
      </c>
      <c r="W2874" s="267"/>
      <c r="X2874" s="263"/>
      <c r="AZ2874" s="269" t="s">
        <v>39</v>
      </c>
      <c r="BA2874" s="269">
        <v>4</v>
      </c>
    </row>
    <row r="2875" spans="1:53" ht="39.950000000000003" customHeight="1">
      <c r="E2875" s="271"/>
      <c r="F2875" s="272"/>
      <c r="G2875" s="509"/>
      <c r="H2875" s="486"/>
      <c r="I2875" s="487"/>
      <c r="J2875" s="487"/>
      <c r="K2875" s="487"/>
      <c r="L2875" s="487"/>
      <c r="M2875" s="263"/>
      <c r="N2875" s="490"/>
      <c r="O2875" s="490"/>
      <c r="P2875" s="490"/>
      <c r="Q2875" s="490"/>
      <c r="R2875" s="490"/>
      <c r="S2875" s="490"/>
      <c r="T2875" s="490"/>
      <c r="U2875" s="263"/>
      <c r="V2875" s="493"/>
      <c r="W2875" s="267"/>
      <c r="X2875" s="263"/>
      <c r="AZ2875" s="269" t="s">
        <v>40</v>
      </c>
      <c r="BA2875" s="269">
        <v>5</v>
      </c>
    </row>
    <row r="2876" spans="1:53" ht="39.950000000000003" customHeight="1">
      <c r="E2876" s="264" t="s">
        <v>66</v>
      </c>
      <c r="F2876" s="265" t="s">
        <v>65</v>
      </c>
      <c r="G2876" s="263"/>
      <c r="H2876" s="263"/>
      <c r="I2876" s="263"/>
      <c r="J2876" s="263"/>
      <c r="K2876" s="263"/>
      <c r="L2876" s="263"/>
      <c r="M2876" s="263"/>
      <c r="N2876" s="263"/>
      <c r="O2876" s="263"/>
      <c r="P2876" s="263"/>
      <c r="Q2876" s="263"/>
      <c r="R2876" s="263"/>
      <c r="S2876" s="263"/>
      <c r="T2876" s="263"/>
      <c r="U2876" s="263"/>
      <c r="V2876" s="263"/>
      <c r="W2876" s="267"/>
      <c r="X2876" s="263"/>
      <c r="AZ2876" s="269" t="s">
        <v>41</v>
      </c>
      <c r="BA2876" s="269">
        <v>6</v>
      </c>
    </row>
    <row r="2877" spans="1:53" ht="39.950000000000003" customHeight="1">
      <c r="E2877" s="271"/>
      <c r="F2877" s="272"/>
      <c r="G2877" s="263"/>
      <c r="H2877" s="263"/>
      <c r="I2877" s="263" t="s">
        <v>32</v>
      </c>
      <c r="J2877" s="263"/>
      <c r="K2877" s="263"/>
      <c r="L2877" s="263"/>
      <c r="M2877" s="263"/>
      <c r="N2877" s="273"/>
      <c r="O2877" s="266"/>
      <c r="P2877" s="266" t="s">
        <v>34</v>
      </c>
      <c r="Q2877" s="266"/>
      <c r="R2877" s="266"/>
      <c r="S2877" s="266"/>
      <c r="T2877" s="266"/>
      <c r="U2877" s="263"/>
      <c r="V2877" s="263"/>
      <c r="W2877" s="267"/>
      <c r="X2877" s="263"/>
      <c r="AZ2877" s="269" t="s">
        <v>42</v>
      </c>
      <c r="BA2877" s="269">
        <v>7</v>
      </c>
    </row>
    <row r="2878" spans="1:53" ht="39.950000000000003" customHeight="1">
      <c r="E2878" s="264" t="s">
        <v>26</v>
      </c>
      <c r="F2878" s="265" t="s">
        <v>128</v>
      </c>
      <c r="G2878" s="263"/>
      <c r="H2878" s="263"/>
      <c r="I2878" s="486"/>
      <c r="J2878" s="486"/>
      <c r="K2878" s="486"/>
      <c r="L2878" s="486"/>
      <c r="M2878" s="263"/>
      <c r="N2878" s="486" t="str">
        <f>IF(V2871&gt;V2874,I2871,IF(V2874&gt;V2871,I2874,""))</f>
        <v>PINDURA Tobiáš</v>
      </c>
      <c r="O2878" s="486"/>
      <c r="P2878" s="486"/>
      <c r="Q2878" s="486"/>
      <c r="R2878" s="486"/>
      <c r="S2878" s="486"/>
      <c r="T2878" s="263"/>
      <c r="U2878" s="263"/>
      <c r="V2878" s="263"/>
      <c r="W2878" s="267"/>
      <c r="X2878" s="263"/>
      <c r="AZ2878" s="269" t="s">
        <v>43</v>
      </c>
      <c r="BA2878" s="269">
        <v>8</v>
      </c>
    </row>
    <row r="2879" spans="1:53" ht="39.950000000000003" customHeight="1">
      <c r="E2879" s="271"/>
      <c r="F2879" s="272"/>
      <c r="G2879" s="263"/>
      <c r="H2879" s="263"/>
      <c r="I2879" s="486"/>
      <c r="J2879" s="486"/>
      <c r="K2879" s="486"/>
      <c r="L2879" s="486"/>
      <c r="M2879" s="263"/>
      <c r="N2879" s="486"/>
      <c r="O2879" s="486"/>
      <c r="P2879" s="486"/>
      <c r="Q2879" s="486"/>
      <c r="R2879" s="486"/>
      <c r="S2879" s="486"/>
      <c r="T2879" s="263"/>
      <c r="U2879" s="263"/>
      <c r="V2879" s="263"/>
      <c r="W2879" s="267"/>
      <c r="X2879" s="263"/>
    </row>
    <row r="2880" spans="1:53" ht="39.950000000000003" customHeight="1">
      <c r="E2880" s="264" t="s">
        <v>27</v>
      </c>
      <c r="F2880" s="274" t="s">
        <v>353</v>
      </c>
      <c r="G2880" s="263"/>
      <c r="H2880" s="263"/>
      <c r="I2880" s="263"/>
      <c r="J2880" s="263"/>
      <c r="K2880" s="263"/>
      <c r="L2880" s="263"/>
      <c r="M2880" s="263"/>
      <c r="N2880" s="263"/>
      <c r="O2880" s="263"/>
      <c r="P2880" s="263"/>
      <c r="Q2880" s="263"/>
      <c r="R2880" s="263"/>
      <c r="S2880" s="263"/>
      <c r="T2880" s="263"/>
      <c r="U2880" s="263"/>
      <c r="V2880" s="263"/>
      <c r="W2880" s="267"/>
      <c r="X2880" s="263"/>
    </row>
    <row r="2881" spans="1:53" ht="39.950000000000003" customHeight="1">
      <c r="E2881" s="271"/>
      <c r="F2881" s="272"/>
      <c r="G2881" s="263"/>
      <c r="H2881" s="263" t="s">
        <v>33</v>
      </c>
      <c r="I2881" s="263"/>
      <c r="J2881" s="263"/>
      <c r="K2881" s="263"/>
      <c r="L2881" s="263"/>
      <c r="M2881" s="263"/>
      <c r="N2881" s="263"/>
      <c r="O2881" s="263"/>
      <c r="P2881" s="263"/>
      <c r="Q2881" s="263"/>
      <c r="R2881" s="263"/>
      <c r="S2881" s="263"/>
      <c r="T2881" s="263"/>
      <c r="U2881" s="263"/>
      <c r="V2881" s="263"/>
      <c r="W2881" s="267"/>
      <c r="X2881" s="263"/>
    </row>
    <row r="2882" spans="1:53" ht="39.950000000000003" customHeight="1">
      <c r="E2882" s="271"/>
      <c r="F2882" s="272"/>
      <c r="G2882" s="263"/>
      <c r="H2882" s="263"/>
      <c r="I2882" s="263"/>
      <c r="J2882" s="263"/>
      <c r="K2882" s="263"/>
      <c r="L2882" s="263"/>
      <c r="M2882" s="263"/>
      <c r="N2882" s="263"/>
      <c r="O2882" s="263"/>
      <c r="P2882" s="263"/>
      <c r="Q2882" s="263"/>
      <c r="R2882" s="263"/>
      <c r="S2882" s="263"/>
      <c r="T2882" s="263"/>
      <c r="U2882" s="263"/>
      <c r="V2882" s="263"/>
      <c r="W2882" s="267"/>
      <c r="X2882" s="263"/>
    </row>
    <row r="2883" spans="1:53" ht="39.950000000000003" customHeight="1">
      <c r="E2883" s="271"/>
      <c r="F2883" s="272"/>
      <c r="G2883" s="263"/>
      <c r="H2883" s="263"/>
      <c r="I2883" s="496" t="str">
        <f>I2871</f>
        <v>PINDURA Tobiáš</v>
      </c>
      <c r="J2883" s="496"/>
      <c r="K2883" s="496"/>
      <c r="L2883" s="496"/>
      <c r="M2883" s="263"/>
      <c r="N2883" s="263"/>
      <c r="O2883" s="263"/>
      <c r="P2883" s="496" t="str">
        <f>I2874</f>
        <v>KYSEL Martin</v>
      </c>
      <c r="Q2883" s="496"/>
      <c r="R2883" s="496"/>
      <c r="S2883" s="496"/>
      <c r="T2883" s="497"/>
      <c r="U2883" s="497"/>
      <c r="V2883" s="263"/>
      <c r="W2883" s="267"/>
      <c r="X2883" s="263"/>
    </row>
    <row r="2884" spans="1:53" ht="69.95" customHeight="1">
      <c r="E2884" s="264"/>
      <c r="F2884" s="265"/>
      <c r="G2884" s="263"/>
      <c r="H2884" s="275" t="s">
        <v>36</v>
      </c>
      <c r="I2884" s="483"/>
      <c r="J2884" s="494"/>
      <c r="K2884" s="494"/>
      <c r="L2884" s="495"/>
      <c r="M2884" s="263"/>
      <c r="N2884" s="263"/>
      <c r="O2884" s="275" t="s">
        <v>36</v>
      </c>
      <c r="P2884" s="486"/>
      <c r="Q2884" s="486"/>
      <c r="R2884" s="486"/>
      <c r="S2884" s="486"/>
      <c r="T2884" s="486"/>
      <c r="U2884" s="486"/>
      <c r="V2884" s="263"/>
      <c r="W2884" s="267"/>
      <c r="X2884" s="263"/>
    </row>
    <row r="2885" spans="1:53" ht="69.95" customHeight="1">
      <c r="E2885" s="264"/>
      <c r="F2885" s="265"/>
      <c r="G2885" s="263"/>
      <c r="H2885" s="275" t="s">
        <v>37</v>
      </c>
      <c r="I2885" s="486"/>
      <c r="J2885" s="486"/>
      <c r="K2885" s="486"/>
      <c r="L2885" s="486"/>
      <c r="M2885" s="263"/>
      <c r="N2885" s="263"/>
      <c r="O2885" s="275" t="s">
        <v>37</v>
      </c>
      <c r="P2885" s="486"/>
      <c r="Q2885" s="486"/>
      <c r="R2885" s="486"/>
      <c r="S2885" s="486"/>
      <c r="T2885" s="486"/>
      <c r="U2885" s="486"/>
      <c r="V2885" s="263"/>
      <c r="W2885" s="267"/>
      <c r="X2885" s="263"/>
    </row>
    <row r="2886" spans="1:53" ht="69.95" customHeight="1">
      <c r="E2886" s="264"/>
      <c r="F2886" s="265"/>
      <c r="G2886" s="263"/>
      <c r="H2886" s="275" t="s">
        <v>37</v>
      </c>
      <c r="I2886" s="486"/>
      <c r="J2886" s="486"/>
      <c r="K2886" s="486"/>
      <c r="L2886" s="486"/>
      <c r="M2886" s="263"/>
      <c r="N2886" s="263"/>
      <c r="O2886" s="275" t="s">
        <v>37</v>
      </c>
      <c r="P2886" s="486"/>
      <c r="Q2886" s="486"/>
      <c r="R2886" s="486"/>
      <c r="S2886" s="486"/>
      <c r="T2886" s="486"/>
      <c r="U2886" s="486"/>
      <c r="V2886" s="263"/>
      <c r="W2886" s="267"/>
      <c r="X2886" s="263"/>
    </row>
    <row r="2887" spans="1:53" ht="39.950000000000003" customHeight="1" thickBot="1">
      <c r="E2887" s="276"/>
      <c r="F2887" s="277"/>
      <c r="G2887" s="278"/>
      <c r="H2887" s="278"/>
      <c r="I2887" s="278"/>
      <c r="J2887" s="278"/>
      <c r="K2887" s="278"/>
      <c r="L2887" s="278"/>
      <c r="M2887" s="278"/>
      <c r="N2887" s="278"/>
      <c r="O2887" s="278"/>
      <c r="P2887" s="278"/>
      <c r="Q2887" s="278"/>
      <c r="R2887" s="278"/>
      <c r="S2887" s="278"/>
      <c r="T2887" s="279"/>
      <c r="U2887" s="279"/>
      <c r="V2887" s="279"/>
      <c r="W2887" s="280"/>
      <c r="X2887" s="263"/>
    </row>
    <row r="2888" spans="1:53" ht="62.25" thickBot="1"/>
    <row r="2889" spans="1:53" ht="39.950000000000003" customHeight="1">
      <c r="A2889" s="252" t="str">
        <f>CONCATENATE(F2896,F2898,F2900)</f>
        <v>DP13</v>
      </c>
      <c r="E2889" s="259" t="s">
        <v>70</v>
      </c>
      <c r="F2889" s="260">
        <f>VLOOKUP(CONCATENATE(A2889,1),'zoznam zapasov'!$A$6:$K$160,3,0)</f>
        <v>143</v>
      </c>
      <c r="G2889" s="261"/>
      <c r="H2889" s="322" t="s">
        <v>501</v>
      </c>
      <c r="I2889" s="261"/>
      <c r="J2889" s="261"/>
      <c r="K2889" s="261"/>
      <c r="L2889" s="261" t="s">
        <v>539</v>
      </c>
      <c r="M2889" s="261"/>
      <c r="N2889" s="261"/>
      <c r="O2889" s="261"/>
      <c r="P2889" s="261"/>
      <c r="Q2889" s="261"/>
      <c r="R2889" s="261"/>
      <c r="S2889" s="261"/>
      <c r="T2889" s="261"/>
      <c r="U2889" s="261"/>
      <c r="V2889" s="261" t="s">
        <v>30</v>
      </c>
      <c r="W2889" s="262"/>
      <c r="X2889" s="263"/>
      <c r="Y2889" s="253" t="str">
        <f>A2891</f>
        <v>DP131</v>
      </c>
      <c r="Z2889" s="258" t="str">
        <f>CONCATENATE(V2891,":",V2894)</f>
        <v>3:0</v>
      </c>
      <c r="AA2889" s="255" t="str">
        <f>N2898</f>
        <v>LABOŠOVÁ Ema</v>
      </c>
      <c r="AB2889" s="255" t="str">
        <f>IF(V2891&gt;V2894,AV2889,IF(V2894&gt;V2891,AV2890,""))</f>
        <v xml:space="preserve">3:0 ( 4,8,9,,,, ) </v>
      </c>
      <c r="AC2889" s="255" t="str">
        <f>CONCATENATE("Tbl.: ",F2891,"   H: ",F2894,"   D: ",F2893)</f>
        <v>Tbl.: 3   H: 10.00   D: Ne</v>
      </c>
      <c r="AE2889" s="253" t="s">
        <v>11</v>
      </c>
      <c r="AV2889" s="256" t="str">
        <f>CONCATENATE(V2891,":",V2894, " ( ",AN2891,",",AO2891,",",AP2891,",",AQ2891,",",AR2891,",",AS2891,",",AT2891," ) ")</f>
        <v xml:space="preserve">3:0 ( 4,8,9,,,, ) </v>
      </c>
    </row>
    <row r="2890" spans="1:53" ht="39.950000000000003" customHeight="1">
      <c r="E2890" s="264"/>
      <c r="F2890" s="265"/>
      <c r="G2890" s="321" t="s">
        <v>500</v>
      </c>
      <c r="H2890" s="323" t="s">
        <v>502</v>
      </c>
      <c r="I2890" s="263"/>
      <c r="J2890" s="263"/>
      <c r="K2890" s="263"/>
      <c r="L2890" s="263"/>
      <c r="M2890" s="263"/>
      <c r="N2890" s="266">
        <v>1</v>
      </c>
      <c r="O2890" s="266">
        <v>2</v>
      </c>
      <c r="P2890" s="266">
        <v>3</v>
      </c>
      <c r="Q2890" s="266">
        <v>4</v>
      </c>
      <c r="R2890" s="266">
        <v>5</v>
      </c>
      <c r="S2890" s="266">
        <v>6</v>
      </c>
      <c r="T2890" s="266">
        <v>7</v>
      </c>
      <c r="U2890" s="263"/>
      <c r="V2890" s="266" t="s">
        <v>31</v>
      </c>
      <c r="W2890" s="267"/>
      <c r="X2890" s="263"/>
      <c r="AE2890" s="253" t="s">
        <v>68</v>
      </c>
      <c r="AV2890" s="256" t="str">
        <f>CONCATENATE(V2894,":",V2891, " ( ",AN2892,",",AO2892,",",AP2892,",",AQ2892,",",AR2892,",",AS2892,",",AT2892," ) ")</f>
        <v xml:space="preserve">0:3 ( -4,-8,-9,,,, ) </v>
      </c>
    </row>
    <row r="2891" spans="1:53" ht="39.950000000000003" customHeight="1">
      <c r="A2891" s="252" t="str">
        <f>CONCATENATE(A2889,1)</f>
        <v>DP131</v>
      </c>
      <c r="E2891" s="264" t="s">
        <v>29</v>
      </c>
      <c r="F2891" s="265">
        <f>VLOOKUP(CONCATENATE(A2889,1),'zoznam zapasov'!$A$6:$K$160,11,0)</f>
        <v>3</v>
      </c>
      <c r="G2891" s="508"/>
      <c r="H2891" s="495"/>
      <c r="I2891" s="487" t="str">
        <f>IF(ISERROR(VLOOKUP(A2891,'KO KODY SPOLU'!$A$3:$B$189,2,0))=TRUE,"",VLOOKUP(A2891,'KO KODY SPOLU'!$A$3:$B$189,2,0))</f>
        <v>LABOŠOVÁ Ema</v>
      </c>
      <c r="J2891" s="487"/>
      <c r="K2891" s="487"/>
      <c r="L2891" s="487"/>
      <c r="M2891" s="263"/>
      <c r="N2891" s="489">
        <v>11</v>
      </c>
      <c r="O2891" s="489">
        <v>11</v>
      </c>
      <c r="P2891" s="489">
        <v>11</v>
      </c>
      <c r="Q2891" s="489"/>
      <c r="R2891" s="489"/>
      <c r="S2891" s="489"/>
      <c r="T2891" s="489"/>
      <c r="U2891" s="263"/>
      <c r="V2891" s="493">
        <f>IF(SUM(AF2891:AL2892)=0,"",SUM(AF2891:AL2891))</f>
        <v>3</v>
      </c>
      <c r="W2891" s="267"/>
      <c r="X2891" s="263"/>
      <c r="AE2891" s="253" t="str">
        <f>VLOOKUP(I2891,vylosovanie!$F$8:$L$190,7,0)</f>
        <v>D11</v>
      </c>
      <c r="AF2891" s="268">
        <f>IF(N2891&gt;N2894,1,0)</f>
        <v>1</v>
      </c>
      <c r="AG2891" s="268">
        <f t="shared" ref="AG2891" si="2818">IF(O2891&gt;O2894,1,0)</f>
        <v>1</v>
      </c>
      <c r="AH2891" s="268">
        <f t="shared" ref="AH2891" si="2819">IF(P2891&gt;P2894,1,0)</f>
        <v>1</v>
      </c>
      <c r="AI2891" s="268">
        <f t="shared" ref="AI2891" si="2820">IF(Q2891&gt;Q2894,1,0)</f>
        <v>0</v>
      </c>
      <c r="AJ2891" s="268">
        <f t="shared" ref="AJ2891" si="2821">IF(R2891&gt;R2894,1,0)</f>
        <v>0</v>
      </c>
      <c r="AK2891" s="268">
        <f t="shared" ref="AK2891" si="2822">IF(S2891&gt;S2894,1,0)</f>
        <v>0</v>
      </c>
      <c r="AL2891" s="268">
        <f t="shared" ref="AL2891" si="2823">IF(T2891&gt;T2894,1,0)</f>
        <v>0</v>
      </c>
      <c r="AN2891" s="268">
        <f t="shared" ref="AN2891" si="2824">IF(ISBLANK(N2891)=TRUE,"",IF(AF2891=1,N2894,-N2891))</f>
        <v>4</v>
      </c>
      <c r="AO2891" s="268">
        <f t="shared" ref="AO2891" si="2825">IF(ISBLANK(O2891)=TRUE,"",IF(AG2891=1,O2894,-O2891))</f>
        <v>8</v>
      </c>
      <c r="AP2891" s="268">
        <f t="shared" ref="AP2891" si="2826">IF(ISBLANK(P2891)=TRUE,"",IF(AH2891=1,P2894,-P2891))</f>
        <v>9</v>
      </c>
      <c r="AQ2891" s="268" t="str">
        <f t="shared" ref="AQ2891" si="2827">IF(ISBLANK(Q2891)=TRUE,"",IF(AI2891=1,Q2894,-Q2891))</f>
        <v/>
      </c>
      <c r="AR2891" s="268" t="str">
        <f t="shared" ref="AR2891" si="2828">IF(ISBLANK(R2891)=TRUE,"",IF(AJ2891=1,R2894,-R2891))</f>
        <v/>
      </c>
      <c r="AS2891" s="268" t="str">
        <f t="shared" ref="AS2891" si="2829">IF(ISBLANK(S2891)=TRUE,"",IF(AK2891=1,S2894,-S2891))</f>
        <v/>
      </c>
      <c r="AT2891" s="268" t="str">
        <f t="shared" ref="AT2891" si="2830">IF(ISBLANK(T2891)=TRUE,"",IF(AL2891=1,T2894,-T2891))</f>
        <v/>
      </c>
      <c r="AZ2891" s="269" t="s">
        <v>12</v>
      </c>
      <c r="BA2891" s="269">
        <v>1</v>
      </c>
    </row>
    <row r="2892" spans="1:53" ht="39.950000000000003" customHeight="1">
      <c r="E2892" s="264"/>
      <c r="F2892" s="265"/>
      <c r="G2892" s="509"/>
      <c r="H2892" s="495"/>
      <c r="I2892" s="487"/>
      <c r="J2892" s="487"/>
      <c r="K2892" s="487"/>
      <c r="L2892" s="487"/>
      <c r="M2892" s="263"/>
      <c r="N2892" s="490"/>
      <c r="O2892" s="490"/>
      <c r="P2892" s="490"/>
      <c r="Q2892" s="490"/>
      <c r="R2892" s="490"/>
      <c r="S2892" s="490"/>
      <c r="T2892" s="490"/>
      <c r="U2892" s="263"/>
      <c r="V2892" s="493"/>
      <c r="W2892" s="267"/>
      <c r="X2892" s="263"/>
      <c r="AE2892" s="253" t="str">
        <f>VLOOKUP(I2894,vylosovanie!$F$8:$L$190,7,0)</f>
        <v>D71</v>
      </c>
      <c r="AF2892" s="268">
        <f>IF(N2894&gt;N2891,1,0)</f>
        <v>0</v>
      </c>
      <c r="AG2892" s="268">
        <f t="shared" ref="AG2892" si="2831">IF(O2894&gt;O2891,1,0)</f>
        <v>0</v>
      </c>
      <c r="AH2892" s="268">
        <f t="shared" ref="AH2892" si="2832">IF(P2894&gt;P2891,1,0)</f>
        <v>0</v>
      </c>
      <c r="AI2892" s="268">
        <f t="shared" ref="AI2892" si="2833">IF(Q2894&gt;Q2891,1,0)</f>
        <v>0</v>
      </c>
      <c r="AJ2892" s="268">
        <f t="shared" ref="AJ2892" si="2834">IF(R2894&gt;R2891,1,0)</f>
        <v>0</v>
      </c>
      <c r="AK2892" s="268">
        <f t="shared" ref="AK2892" si="2835">IF(S2894&gt;S2891,1,0)</f>
        <v>0</v>
      </c>
      <c r="AL2892" s="268">
        <f t="shared" ref="AL2892" si="2836">IF(T2894&gt;T2891,1,0)</f>
        <v>0</v>
      </c>
      <c r="AN2892" s="268">
        <f t="shared" ref="AN2892" si="2837">IF(ISBLANK(N2894)=TRUE,"",IF(AF2892=1,N2891,-N2894))</f>
        <v>-4</v>
      </c>
      <c r="AO2892" s="268">
        <f t="shared" ref="AO2892" si="2838">IF(ISBLANK(O2894)=TRUE,"",IF(AG2892=1,O2891,-O2894))</f>
        <v>-8</v>
      </c>
      <c r="AP2892" s="268">
        <f t="shared" ref="AP2892" si="2839">IF(ISBLANK(P2894)=TRUE,"",IF(AH2892=1,P2891,-P2894))</f>
        <v>-9</v>
      </c>
      <c r="AQ2892" s="268" t="str">
        <f t="shared" ref="AQ2892" si="2840">IF(ISBLANK(Q2894)=TRUE,"",IF(AI2892=1,Q2891,-Q2894))</f>
        <v/>
      </c>
      <c r="AR2892" s="268" t="str">
        <f t="shared" ref="AR2892" si="2841">IF(ISBLANK(R2894)=TRUE,"",IF(AJ2892=1,R2891,-R2894))</f>
        <v/>
      </c>
      <c r="AS2892" s="268" t="str">
        <f t="shared" ref="AS2892" si="2842">IF(ISBLANK(S2894)=TRUE,"",IF(AK2892=1,S2891,-S2894))</f>
        <v/>
      </c>
      <c r="AT2892" s="268" t="str">
        <f t="shared" ref="AT2892" si="2843">IF(ISBLANK(T2894)=TRUE,"",IF(AL2892=1,T2891,-T2894))</f>
        <v/>
      </c>
      <c r="AZ2892" s="269" t="s">
        <v>18</v>
      </c>
      <c r="BA2892" s="269">
        <v>2</v>
      </c>
    </row>
    <row r="2893" spans="1:53" ht="39.950000000000003" customHeight="1">
      <c r="E2893" s="264" t="s">
        <v>35</v>
      </c>
      <c r="F2893" s="265" t="str">
        <f>VLOOKUP(CONCATENATE(A2889,1),'zoznam zapasov'!$A$6:$K$160,9,0)</f>
        <v>Ne</v>
      </c>
      <c r="G2893" s="263"/>
      <c r="H2893" s="263"/>
      <c r="I2893" s="263"/>
      <c r="J2893" s="263"/>
      <c r="K2893" s="263"/>
      <c r="L2893" s="263"/>
      <c r="M2893" s="263"/>
      <c r="N2893" s="263"/>
      <c r="O2893" s="263"/>
      <c r="P2893" s="263"/>
      <c r="Q2893" s="263"/>
      <c r="R2893" s="263"/>
      <c r="S2893" s="263"/>
      <c r="T2893" s="263"/>
      <c r="U2893" s="263"/>
      <c r="V2893" s="263"/>
      <c r="W2893" s="267"/>
      <c r="X2893" s="263"/>
      <c r="AZ2893" s="269" t="s">
        <v>38</v>
      </c>
      <c r="BA2893" s="269">
        <v>3</v>
      </c>
    </row>
    <row r="2894" spans="1:53" ht="39.950000000000003" customHeight="1">
      <c r="A2894" s="252" t="str">
        <f>CONCATENATE(A2889,2)</f>
        <v>DP132</v>
      </c>
      <c r="E2894" s="264" t="s">
        <v>28</v>
      </c>
      <c r="F2894" s="270" t="str">
        <f>VLOOKUP(CONCATENATE(A2889,1),'zoznam zapasov'!$A$6:$K$160,10,0)</f>
        <v>10.00</v>
      </c>
      <c r="G2894" s="508"/>
      <c r="H2894" s="486"/>
      <c r="I2894" s="487" t="str">
        <f>IF(ISERROR(VLOOKUP(A2894,'KO KODY SPOLU'!$A$3:$B$189,2,0))=TRUE,"",VLOOKUP(A2894,'KO KODY SPOLU'!$A$3:$B$189,2,0))</f>
        <v>MAJERSKÁ Alena</v>
      </c>
      <c r="J2894" s="487"/>
      <c r="K2894" s="487"/>
      <c r="L2894" s="487"/>
      <c r="M2894" s="263"/>
      <c r="N2894" s="489">
        <v>4</v>
      </c>
      <c r="O2894" s="489">
        <v>8</v>
      </c>
      <c r="P2894" s="489">
        <v>9</v>
      </c>
      <c r="Q2894" s="489"/>
      <c r="R2894" s="489"/>
      <c r="S2894" s="489"/>
      <c r="T2894" s="489"/>
      <c r="U2894" s="263"/>
      <c r="V2894" s="493">
        <f>IF(SUM(AF2891:AL2892)=0,"",SUM(AF2892:AL2892))</f>
        <v>0</v>
      </c>
      <c r="W2894" s="267"/>
      <c r="X2894" s="263"/>
      <c r="AZ2894" s="269" t="s">
        <v>39</v>
      </c>
      <c r="BA2894" s="269">
        <v>4</v>
      </c>
    </row>
    <row r="2895" spans="1:53" ht="39.950000000000003" customHeight="1">
      <c r="E2895" s="271"/>
      <c r="F2895" s="272"/>
      <c r="G2895" s="509"/>
      <c r="H2895" s="486"/>
      <c r="I2895" s="487"/>
      <c r="J2895" s="487"/>
      <c r="K2895" s="487"/>
      <c r="L2895" s="487"/>
      <c r="M2895" s="263"/>
      <c r="N2895" s="490"/>
      <c r="O2895" s="490"/>
      <c r="P2895" s="490"/>
      <c r="Q2895" s="490"/>
      <c r="R2895" s="490"/>
      <c r="S2895" s="490"/>
      <c r="T2895" s="490"/>
      <c r="U2895" s="263"/>
      <c r="V2895" s="493"/>
      <c r="W2895" s="267"/>
      <c r="X2895" s="263"/>
      <c r="AZ2895" s="269" t="s">
        <v>40</v>
      </c>
      <c r="BA2895" s="269">
        <v>5</v>
      </c>
    </row>
    <row r="2896" spans="1:53" ht="39.950000000000003" customHeight="1">
      <c r="E2896" s="264" t="s">
        <v>66</v>
      </c>
      <c r="F2896" s="265" t="s">
        <v>39</v>
      </c>
      <c r="G2896" s="263"/>
      <c r="H2896" s="263"/>
      <c r="I2896" s="263"/>
      <c r="J2896" s="263"/>
      <c r="K2896" s="263"/>
      <c r="L2896" s="263"/>
      <c r="M2896" s="263"/>
      <c r="N2896" s="263"/>
      <c r="O2896" s="263"/>
      <c r="P2896" s="263"/>
      <c r="Q2896" s="263"/>
      <c r="R2896" s="263"/>
      <c r="S2896" s="263"/>
      <c r="T2896" s="263"/>
      <c r="U2896" s="263"/>
      <c r="V2896" s="263"/>
      <c r="W2896" s="267"/>
      <c r="X2896" s="263"/>
      <c r="AZ2896" s="269" t="s">
        <v>41</v>
      </c>
      <c r="BA2896" s="269">
        <v>6</v>
      </c>
    </row>
    <row r="2897" spans="1:53" ht="39.950000000000003" customHeight="1">
      <c r="E2897" s="271"/>
      <c r="F2897" s="272"/>
      <c r="G2897" s="263"/>
      <c r="H2897" s="263"/>
      <c r="I2897" s="263" t="s">
        <v>32</v>
      </c>
      <c r="J2897" s="263"/>
      <c r="K2897" s="263"/>
      <c r="L2897" s="263"/>
      <c r="M2897" s="263"/>
      <c r="N2897" s="273"/>
      <c r="O2897" s="266"/>
      <c r="P2897" s="266" t="s">
        <v>34</v>
      </c>
      <c r="Q2897" s="266"/>
      <c r="R2897" s="266"/>
      <c r="S2897" s="266"/>
      <c r="T2897" s="266"/>
      <c r="U2897" s="263"/>
      <c r="V2897" s="263"/>
      <c r="W2897" s="267"/>
      <c r="X2897" s="263"/>
      <c r="AZ2897" s="269" t="s">
        <v>42</v>
      </c>
      <c r="BA2897" s="269">
        <v>7</v>
      </c>
    </row>
    <row r="2898" spans="1:53" ht="39.950000000000003" customHeight="1">
      <c r="E2898" s="264" t="s">
        <v>26</v>
      </c>
      <c r="F2898" s="265" t="s">
        <v>128</v>
      </c>
      <c r="G2898" s="263"/>
      <c r="H2898" s="263"/>
      <c r="I2898" s="486" t="s">
        <v>670</v>
      </c>
      <c r="J2898" s="486"/>
      <c r="K2898" s="486"/>
      <c r="L2898" s="486"/>
      <c r="M2898" s="263"/>
      <c r="N2898" s="486" t="str">
        <f>IF(V2891&gt;V2894,I2891,IF(V2894&gt;V2891,I2894,""))</f>
        <v>LABOŠOVÁ Ema</v>
      </c>
      <c r="O2898" s="486"/>
      <c r="P2898" s="486"/>
      <c r="Q2898" s="486"/>
      <c r="R2898" s="486"/>
      <c r="S2898" s="486"/>
      <c r="T2898" s="263"/>
      <c r="U2898" s="263"/>
      <c r="V2898" s="263"/>
      <c r="W2898" s="267"/>
      <c r="X2898" s="263"/>
      <c r="AZ2898" s="269" t="s">
        <v>43</v>
      </c>
      <c r="BA2898" s="269">
        <v>8</v>
      </c>
    </row>
    <row r="2899" spans="1:53" ht="39.950000000000003" customHeight="1">
      <c r="E2899" s="271"/>
      <c r="F2899" s="272"/>
      <c r="G2899" s="263"/>
      <c r="H2899" s="263"/>
      <c r="I2899" s="486"/>
      <c r="J2899" s="486"/>
      <c r="K2899" s="486"/>
      <c r="L2899" s="486"/>
      <c r="M2899" s="263"/>
      <c r="N2899" s="486"/>
      <c r="O2899" s="486"/>
      <c r="P2899" s="486"/>
      <c r="Q2899" s="486"/>
      <c r="R2899" s="486"/>
      <c r="S2899" s="486"/>
      <c r="T2899" s="263"/>
      <c r="U2899" s="263"/>
      <c r="V2899" s="263"/>
      <c r="W2899" s="267"/>
      <c r="X2899" s="263"/>
    </row>
    <row r="2900" spans="1:53" ht="39.950000000000003" customHeight="1">
      <c r="E2900" s="264" t="s">
        <v>27</v>
      </c>
      <c r="F2900" s="274" t="s">
        <v>352</v>
      </c>
      <c r="G2900" s="263"/>
      <c r="H2900" s="263"/>
      <c r="I2900" s="263"/>
      <c r="J2900" s="263"/>
      <c r="K2900" s="263"/>
      <c r="L2900" s="263"/>
      <c r="M2900" s="263"/>
      <c r="N2900" s="263"/>
      <c r="O2900" s="263"/>
      <c r="P2900" s="263"/>
      <c r="Q2900" s="263"/>
      <c r="R2900" s="263"/>
      <c r="S2900" s="263"/>
      <c r="T2900" s="263"/>
      <c r="U2900" s="263"/>
      <c r="V2900" s="263"/>
      <c r="W2900" s="267"/>
      <c r="X2900" s="263"/>
    </row>
    <row r="2901" spans="1:53" ht="39.950000000000003" customHeight="1">
      <c r="E2901" s="271"/>
      <c r="F2901" s="272"/>
      <c r="G2901" s="263"/>
      <c r="H2901" s="263" t="s">
        <v>33</v>
      </c>
      <c r="I2901" s="263"/>
      <c r="J2901" s="263"/>
      <c r="K2901" s="263"/>
      <c r="L2901" s="263"/>
      <c r="M2901" s="263"/>
      <c r="N2901" s="263"/>
      <c r="O2901" s="263"/>
      <c r="P2901" s="263"/>
      <c r="Q2901" s="263"/>
      <c r="R2901" s="263"/>
      <c r="S2901" s="263"/>
      <c r="T2901" s="263"/>
      <c r="U2901" s="263"/>
      <c r="V2901" s="263"/>
      <c r="W2901" s="267"/>
      <c r="X2901" s="263"/>
    </row>
    <row r="2902" spans="1:53" ht="39.950000000000003" customHeight="1">
      <c r="E2902" s="271"/>
      <c r="F2902" s="272"/>
      <c r="G2902" s="263"/>
      <c r="H2902" s="263"/>
      <c r="I2902" s="263"/>
      <c r="J2902" s="263"/>
      <c r="K2902" s="263"/>
      <c r="L2902" s="263"/>
      <c r="M2902" s="263"/>
      <c r="N2902" s="263"/>
      <c r="O2902" s="263"/>
      <c r="P2902" s="263"/>
      <c r="Q2902" s="263"/>
      <c r="R2902" s="263"/>
      <c r="S2902" s="263"/>
      <c r="T2902" s="263"/>
      <c r="U2902" s="263"/>
      <c r="V2902" s="263"/>
      <c r="W2902" s="267"/>
      <c r="X2902" s="263"/>
    </row>
    <row r="2903" spans="1:53" ht="39.950000000000003" customHeight="1">
      <c r="E2903" s="271"/>
      <c r="F2903" s="272"/>
      <c r="G2903" s="263"/>
      <c r="H2903" s="263"/>
      <c r="I2903" s="496" t="str">
        <f>I2891</f>
        <v>LABOŠOVÁ Ema</v>
      </c>
      <c r="J2903" s="496"/>
      <c r="K2903" s="496"/>
      <c r="L2903" s="496"/>
      <c r="M2903" s="263"/>
      <c r="N2903" s="263"/>
      <c r="O2903" s="263"/>
      <c r="P2903" s="496" t="str">
        <f>I2894</f>
        <v>MAJERSKÁ Alena</v>
      </c>
      <c r="Q2903" s="496"/>
      <c r="R2903" s="496"/>
      <c r="S2903" s="496"/>
      <c r="T2903" s="497"/>
      <c r="U2903" s="497"/>
      <c r="V2903" s="263"/>
      <c r="W2903" s="267"/>
      <c r="X2903" s="263"/>
    </row>
    <row r="2904" spans="1:53" ht="69.95" customHeight="1">
      <c r="E2904" s="264"/>
      <c r="F2904" s="265"/>
      <c r="G2904" s="263"/>
      <c r="H2904" s="275" t="s">
        <v>36</v>
      </c>
      <c r="I2904" s="483"/>
      <c r="J2904" s="494"/>
      <c r="K2904" s="494"/>
      <c r="L2904" s="495"/>
      <c r="M2904" s="263"/>
      <c r="N2904" s="263"/>
      <c r="O2904" s="275" t="s">
        <v>36</v>
      </c>
      <c r="P2904" s="486"/>
      <c r="Q2904" s="486"/>
      <c r="R2904" s="486"/>
      <c r="S2904" s="486"/>
      <c r="T2904" s="486"/>
      <c r="U2904" s="486"/>
      <c r="V2904" s="263"/>
      <c r="W2904" s="267"/>
      <c r="X2904" s="263"/>
    </row>
    <row r="2905" spans="1:53" ht="69.95" customHeight="1">
      <c r="E2905" s="264"/>
      <c r="F2905" s="265"/>
      <c r="G2905" s="263"/>
      <c r="H2905" s="275" t="s">
        <v>37</v>
      </c>
      <c r="I2905" s="486"/>
      <c r="J2905" s="486"/>
      <c r="K2905" s="486"/>
      <c r="L2905" s="486"/>
      <c r="M2905" s="263"/>
      <c r="N2905" s="263"/>
      <c r="O2905" s="275" t="s">
        <v>37</v>
      </c>
      <c r="P2905" s="486"/>
      <c r="Q2905" s="486"/>
      <c r="R2905" s="486"/>
      <c r="S2905" s="486"/>
      <c r="T2905" s="486"/>
      <c r="U2905" s="486"/>
      <c r="V2905" s="263"/>
      <c r="W2905" s="267"/>
      <c r="X2905" s="263"/>
    </row>
    <row r="2906" spans="1:53" ht="69.95" customHeight="1">
      <c r="E2906" s="264"/>
      <c r="F2906" s="265"/>
      <c r="G2906" s="263"/>
      <c r="H2906" s="275" t="s">
        <v>37</v>
      </c>
      <c r="I2906" s="486"/>
      <c r="J2906" s="486"/>
      <c r="K2906" s="486"/>
      <c r="L2906" s="486"/>
      <c r="M2906" s="263"/>
      <c r="N2906" s="263"/>
      <c r="O2906" s="275" t="s">
        <v>37</v>
      </c>
      <c r="P2906" s="486"/>
      <c r="Q2906" s="486"/>
      <c r="R2906" s="486"/>
      <c r="S2906" s="486"/>
      <c r="T2906" s="486"/>
      <c r="U2906" s="486"/>
      <c r="V2906" s="263"/>
      <c r="W2906" s="267"/>
      <c r="X2906" s="263"/>
    </row>
    <row r="2907" spans="1:53" ht="39.950000000000003" customHeight="1" thickBot="1">
      <c r="E2907" s="276"/>
      <c r="F2907" s="277"/>
      <c r="G2907" s="278"/>
      <c r="H2907" s="278"/>
      <c r="I2907" s="278"/>
      <c r="J2907" s="278"/>
      <c r="K2907" s="278"/>
      <c r="L2907" s="278"/>
      <c r="M2907" s="278"/>
      <c r="N2907" s="278"/>
      <c r="O2907" s="278"/>
      <c r="P2907" s="278"/>
      <c r="Q2907" s="278"/>
      <c r="R2907" s="278"/>
      <c r="S2907" s="278"/>
      <c r="T2907" s="279"/>
      <c r="U2907" s="279"/>
      <c r="V2907" s="279"/>
      <c r="W2907" s="280"/>
      <c r="X2907" s="263"/>
    </row>
    <row r="2908" spans="1:53" ht="62.25" thickBot="1"/>
    <row r="2909" spans="1:53" ht="39.950000000000003" customHeight="1">
      <c r="A2909" s="252" t="str">
        <f>CONCATENATE(F2916,F2918,F2920)</f>
        <v>DP14</v>
      </c>
      <c r="E2909" s="259" t="s">
        <v>70</v>
      </c>
      <c r="F2909" s="260">
        <f>VLOOKUP(CONCATENATE(A2909,1),'zoznam zapasov'!$A$6:$K$160,3,0)</f>
        <v>144</v>
      </c>
      <c r="G2909" s="261"/>
      <c r="H2909" s="322" t="s">
        <v>501</v>
      </c>
      <c r="I2909" s="261"/>
      <c r="J2909" s="261"/>
      <c r="K2909" s="261"/>
      <c r="L2909" s="261" t="s">
        <v>540</v>
      </c>
      <c r="M2909" s="261"/>
      <c r="N2909" s="261"/>
      <c r="O2909" s="261"/>
      <c r="P2909" s="261"/>
      <c r="Q2909" s="261"/>
      <c r="R2909" s="261"/>
      <c r="S2909" s="261"/>
      <c r="T2909" s="261"/>
      <c r="U2909" s="261"/>
      <c r="V2909" s="261" t="s">
        <v>30</v>
      </c>
      <c r="W2909" s="262"/>
      <c r="X2909" s="263"/>
      <c r="Y2909" s="253" t="str">
        <f>A2911</f>
        <v>DP141</v>
      </c>
      <c r="Z2909" s="258" t="str">
        <f>CONCATENATE(V2911,":",V2914)</f>
        <v>3:2</v>
      </c>
      <c r="AA2909" s="255" t="str">
        <f>N2918</f>
        <v>ŠINKAROVÁ Dáša</v>
      </c>
      <c r="AB2909" s="255" t="str">
        <f>IF(V2911&gt;V2914,AV2909,IF(V2914&gt;V2911,AV2910,""))</f>
        <v xml:space="preserve">3:2 ( 9,10,-10,-9,9,, ) </v>
      </c>
      <c r="AC2909" s="255" t="str">
        <f>CONCATENATE("Tbl.: ",F2911,"   H: ",F2914,"   D: ",F2913)</f>
        <v>Tbl.: 4   H: 10.00   D: Ne</v>
      </c>
      <c r="AE2909" s="253" t="s">
        <v>11</v>
      </c>
      <c r="AV2909" s="256" t="str">
        <f>CONCATENATE(V2911,":",V2914, " ( ",AN2911,",",AO2911,",",AP2911,",",AQ2911,",",AR2911,",",AS2911,",",AT2911," ) ")</f>
        <v xml:space="preserve">3:2 ( 9,10,-10,-9,9,, ) </v>
      </c>
    </row>
    <row r="2910" spans="1:53" ht="39.950000000000003" customHeight="1">
      <c r="E2910" s="264"/>
      <c r="F2910" s="265"/>
      <c r="G2910" s="321" t="s">
        <v>500</v>
      </c>
      <c r="H2910" s="323" t="s">
        <v>502</v>
      </c>
      <c r="I2910" s="263"/>
      <c r="J2910" s="263"/>
      <c r="K2910" s="263"/>
      <c r="L2910" s="263"/>
      <c r="M2910" s="263"/>
      <c r="N2910" s="266">
        <v>1</v>
      </c>
      <c r="O2910" s="266">
        <v>2</v>
      </c>
      <c r="P2910" s="266">
        <v>3</v>
      </c>
      <c r="Q2910" s="266">
        <v>4</v>
      </c>
      <c r="R2910" s="266">
        <v>5</v>
      </c>
      <c r="S2910" s="266">
        <v>6</v>
      </c>
      <c r="T2910" s="266">
        <v>7</v>
      </c>
      <c r="U2910" s="263"/>
      <c r="V2910" s="266" t="s">
        <v>31</v>
      </c>
      <c r="W2910" s="267"/>
      <c r="X2910" s="263"/>
      <c r="AE2910" s="253" t="s">
        <v>68</v>
      </c>
      <c r="AV2910" s="256" t="str">
        <f>CONCATENATE(V2914,":",V2911, " ( ",AN2912,",",AO2912,",",AP2912,",",AQ2912,",",AR2912,",",AS2912,",",AT2912," ) ")</f>
        <v xml:space="preserve">2:3 ( -9,-10,10,9,-9,, ) </v>
      </c>
    </row>
    <row r="2911" spans="1:53" ht="39.950000000000003" customHeight="1">
      <c r="A2911" s="252" t="str">
        <f>CONCATENATE(A2909,1)</f>
        <v>DP141</v>
      </c>
      <c r="E2911" s="264" t="s">
        <v>29</v>
      </c>
      <c r="F2911" s="265">
        <f>VLOOKUP(CONCATENATE(A2909,1),'zoznam zapasov'!$A$6:$K$160,11,0)</f>
        <v>4</v>
      </c>
      <c r="G2911" s="508"/>
      <c r="H2911" s="495"/>
      <c r="I2911" s="487" t="str">
        <f>IF(ISERROR(VLOOKUP(A2911,'KO KODY SPOLU'!$A$3:$B$189,2,0))=TRUE,"",VLOOKUP(A2911,'KO KODY SPOLU'!$A$3:$B$189,2,0))</f>
        <v>ŠINKAROVÁ Dáša</v>
      </c>
      <c r="J2911" s="487"/>
      <c r="K2911" s="487"/>
      <c r="L2911" s="487"/>
      <c r="M2911" s="263"/>
      <c r="N2911" s="489">
        <v>11</v>
      </c>
      <c r="O2911" s="489">
        <v>12</v>
      </c>
      <c r="P2911" s="489">
        <v>10</v>
      </c>
      <c r="Q2911" s="489">
        <v>9</v>
      </c>
      <c r="R2911" s="489">
        <v>11</v>
      </c>
      <c r="S2911" s="489"/>
      <c r="T2911" s="489"/>
      <c r="U2911" s="263"/>
      <c r="V2911" s="493">
        <f>IF(SUM(AF2911:AL2912)=0,"",SUM(AF2911:AL2911))</f>
        <v>3</v>
      </c>
      <c r="W2911" s="267"/>
      <c r="X2911" s="263"/>
      <c r="AE2911" s="253" t="str">
        <f>VLOOKUP(I2911,vylosovanie!$F$8:$L$190,7,0)</f>
        <v>D31</v>
      </c>
      <c r="AF2911" s="268">
        <f>IF(N2911&gt;N2914,1,0)</f>
        <v>1</v>
      </c>
      <c r="AG2911" s="268">
        <f t="shared" ref="AG2911" si="2844">IF(O2911&gt;O2914,1,0)</f>
        <v>1</v>
      </c>
      <c r="AH2911" s="268">
        <f t="shared" ref="AH2911" si="2845">IF(P2911&gt;P2914,1,0)</f>
        <v>0</v>
      </c>
      <c r="AI2911" s="268">
        <f t="shared" ref="AI2911" si="2846">IF(Q2911&gt;Q2914,1,0)</f>
        <v>0</v>
      </c>
      <c r="AJ2911" s="268">
        <f t="shared" ref="AJ2911" si="2847">IF(R2911&gt;R2914,1,0)</f>
        <v>1</v>
      </c>
      <c r="AK2911" s="268">
        <f t="shared" ref="AK2911" si="2848">IF(S2911&gt;S2914,1,0)</f>
        <v>0</v>
      </c>
      <c r="AL2911" s="268">
        <f t="shared" ref="AL2911" si="2849">IF(T2911&gt;T2914,1,0)</f>
        <v>0</v>
      </c>
      <c r="AN2911" s="268">
        <f t="shared" ref="AN2911" si="2850">IF(ISBLANK(N2911)=TRUE,"",IF(AF2911=1,N2914,-N2911))</f>
        <v>9</v>
      </c>
      <c r="AO2911" s="268">
        <f t="shared" ref="AO2911" si="2851">IF(ISBLANK(O2911)=TRUE,"",IF(AG2911=1,O2914,-O2911))</f>
        <v>10</v>
      </c>
      <c r="AP2911" s="268">
        <f t="shared" ref="AP2911" si="2852">IF(ISBLANK(P2911)=TRUE,"",IF(AH2911=1,P2914,-P2911))</f>
        <v>-10</v>
      </c>
      <c r="AQ2911" s="268">
        <f t="shared" ref="AQ2911" si="2853">IF(ISBLANK(Q2911)=TRUE,"",IF(AI2911=1,Q2914,-Q2911))</f>
        <v>-9</v>
      </c>
      <c r="AR2911" s="268">
        <f t="shared" ref="AR2911" si="2854">IF(ISBLANK(R2911)=TRUE,"",IF(AJ2911=1,R2914,-R2911))</f>
        <v>9</v>
      </c>
      <c r="AS2911" s="268" t="str">
        <f t="shared" ref="AS2911" si="2855">IF(ISBLANK(S2911)=TRUE,"",IF(AK2911=1,S2914,-S2911))</f>
        <v/>
      </c>
      <c r="AT2911" s="268" t="str">
        <f t="shared" ref="AT2911" si="2856">IF(ISBLANK(T2911)=TRUE,"",IF(AL2911=1,T2914,-T2911))</f>
        <v/>
      </c>
      <c r="AZ2911" s="269" t="s">
        <v>12</v>
      </c>
      <c r="BA2911" s="269">
        <v>1</v>
      </c>
    </row>
    <row r="2912" spans="1:53" ht="39.950000000000003" customHeight="1">
      <c r="E2912" s="264"/>
      <c r="F2912" s="265"/>
      <c r="G2912" s="509"/>
      <c r="H2912" s="495"/>
      <c r="I2912" s="487"/>
      <c r="J2912" s="487"/>
      <c r="K2912" s="487"/>
      <c r="L2912" s="487"/>
      <c r="M2912" s="263"/>
      <c r="N2912" s="490"/>
      <c r="O2912" s="490"/>
      <c r="P2912" s="490"/>
      <c r="Q2912" s="490"/>
      <c r="R2912" s="490"/>
      <c r="S2912" s="490"/>
      <c r="T2912" s="490"/>
      <c r="U2912" s="263"/>
      <c r="V2912" s="493"/>
      <c r="W2912" s="267"/>
      <c r="X2912" s="263"/>
      <c r="AE2912" s="253" t="str">
        <f>VLOOKUP(I2914,vylosovanie!$F$8:$L$190,7,0)</f>
        <v>D21</v>
      </c>
      <c r="AF2912" s="268">
        <f>IF(N2914&gt;N2911,1,0)</f>
        <v>0</v>
      </c>
      <c r="AG2912" s="268">
        <f t="shared" ref="AG2912" si="2857">IF(O2914&gt;O2911,1,0)</f>
        <v>0</v>
      </c>
      <c r="AH2912" s="268">
        <f t="shared" ref="AH2912" si="2858">IF(P2914&gt;P2911,1,0)</f>
        <v>1</v>
      </c>
      <c r="AI2912" s="268">
        <f t="shared" ref="AI2912" si="2859">IF(Q2914&gt;Q2911,1,0)</f>
        <v>1</v>
      </c>
      <c r="AJ2912" s="268">
        <f t="shared" ref="AJ2912" si="2860">IF(R2914&gt;R2911,1,0)</f>
        <v>0</v>
      </c>
      <c r="AK2912" s="268">
        <f t="shared" ref="AK2912" si="2861">IF(S2914&gt;S2911,1,0)</f>
        <v>0</v>
      </c>
      <c r="AL2912" s="268">
        <f t="shared" ref="AL2912" si="2862">IF(T2914&gt;T2911,1,0)</f>
        <v>0</v>
      </c>
      <c r="AN2912" s="268">
        <f t="shared" ref="AN2912" si="2863">IF(ISBLANK(N2914)=TRUE,"",IF(AF2912=1,N2911,-N2914))</f>
        <v>-9</v>
      </c>
      <c r="AO2912" s="268">
        <f t="shared" ref="AO2912" si="2864">IF(ISBLANK(O2914)=TRUE,"",IF(AG2912=1,O2911,-O2914))</f>
        <v>-10</v>
      </c>
      <c r="AP2912" s="268">
        <f t="shared" ref="AP2912" si="2865">IF(ISBLANK(P2914)=TRUE,"",IF(AH2912=1,P2911,-P2914))</f>
        <v>10</v>
      </c>
      <c r="AQ2912" s="268">
        <f t="shared" ref="AQ2912" si="2866">IF(ISBLANK(Q2914)=TRUE,"",IF(AI2912=1,Q2911,-Q2914))</f>
        <v>9</v>
      </c>
      <c r="AR2912" s="268">
        <f t="shared" ref="AR2912" si="2867">IF(ISBLANK(R2914)=TRUE,"",IF(AJ2912=1,R2911,-R2914))</f>
        <v>-9</v>
      </c>
      <c r="AS2912" s="268" t="str">
        <f t="shared" ref="AS2912" si="2868">IF(ISBLANK(S2914)=TRUE,"",IF(AK2912=1,S2911,-S2914))</f>
        <v/>
      </c>
      <c r="AT2912" s="268" t="str">
        <f t="shared" ref="AT2912" si="2869">IF(ISBLANK(T2914)=TRUE,"",IF(AL2912=1,T2911,-T2914))</f>
        <v/>
      </c>
      <c r="AZ2912" s="269" t="s">
        <v>18</v>
      </c>
      <c r="BA2912" s="269">
        <v>2</v>
      </c>
    </row>
    <row r="2913" spans="1:53" ht="39.950000000000003" customHeight="1">
      <c r="E2913" s="264" t="s">
        <v>35</v>
      </c>
      <c r="F2913" s="265" t="str">
        <f>VLOOKUP(CONCATENATE(A2909,1),'zoznam zapasov'!$A$6:$K$160,9,0)</f>
        <v>Ne</v>
      </c>
      <c r="G2913" s="263"/>
      <c r="H2913" s="263"/>
      <c r="I2913" s="263"/>
      <c r="J2913" s="263"/>
      <c r="K2913" s="263"/>
      <c r="L2913" s="263"/>
      <c r="M2913" s="263"/>
      <c r="N2913" s="263"/>
      <c r="O2913" s="263"/>
      <c r="P2913" s="263"/>
      <c r="Q2913" s="263"/>
      <c r="R2913" s="263"/>
      <c r="S2913" s="263"/>
      <c r="T2913" s="263"/>
      <c r="U2913" s="263"/>
      <c r="V2913" s="263"/>
      <c r="W2913" s="267"/>
      <c r="X2913" s="263"/>
      <c r="AZ2913" s="269" t="s">
        <v>38</v>
      </c>
      <c r="BA2913" s="269">
        <v>3</v>
      </c>
    </row>
    <row r="2914" spans="1:53" ht="39.950000000000003" customHeight="1">
      <c r="A2914" s="252" t="str">
        <f>CONCATENATE(A2909,2)</f>
        <v>DP142</v>
      </c>
      <c r="E2914" s="264" t="s">
        <v>28</v>
      </c>
      <c r="F2914" s="270" t="str">
        <f>VLOOKUP(CONCATENATE(A2909,1),'zoznam zapasov'!$A$6:$K$160,10,0)</f>
        <v>10.00</v>
      </c>
      <c r="G2914" s="508"/>
      <c r="H2914" s="486"/>
      <c r="I2914" s="487" t="str">
        <f>IF(ISERROR(VLOOKUP(A2914,'KO KODY SPOLU'!$A$3:$B$189,2,0))=TRUE,"",VLOOKUP(A2914,'KO KODY SPOLU'!$A$3:$B$189,2,0))</f>
        <v>PEKOVÁ Zuzana</v>
      </c>
      <c r="J2914" s="487"/>
      <c r="K2914" s="487"/>
      <c r="L2914" s="487"/>
      <c r="M2914" s="263"/>
      <c r="N2914" s="489">
        <v>9</v>
      </c>
      <c r="O2914" s="489">
        <v>10</v>
      </c>
      <c r="P2914" s="489">
        <v>11</v>
      </c>
      <c r="Q2914" s="489">
        <v>11</v>
      </c>
      <c r="R2914" s="489">
        <v>9</v>
      </c>
      <c r="S2914" s="489"/>
      <c r="T2914" s="489"/>
      <c r="U2914" s="263"/>
      <c r="V2914" s="493">
        <f>IF(SUM(AF2911:AL2912)=0,"",SUM(AF2912:AL2912))</f>
        <v>2</v>
      </c>
      <c r="W2914" s="267"/>
      <c r="X2914" s="263"/>
      <c r="AZ2914" s="269" t="s">
        <v>39</v>
      </c>
      <c r="BA2914" s="269">
        <v>4</v>
      </c>
    </row>
    <row r="2915" spans="1:53" ht="39.950000000000003" customHeight="1">
      <c r="E2915" s="271"/>
      <c r="F2915" s="272"/>
      <c r="G2915" s="509"/>
      <c r="H2915" s="486"/>
      <c r="I2915" s="487"/>
      <c r="J2915" s="487"/>
      <c r="K2915" s="487"/>
      <c r="L2915" s="487"/>
      <c r="M2915" s="263"/>
      <c r="N2915" s="490"/>
      <c r="O2915" s="490"/>
      <c r="P2915" s="490"/>
      <c r="Q2915" s="490"/>
      <c r="R2915" s="490"/>
      <c r="S2915" s="490"/>
      <c r="T2915" s="490"/>
      <c r="U2915" s="263"/>
      <c r="V2915" s="493"/>
      <c r="W2915" s="267"/>
      <c r="X2915" s="263"/>
      <c r="AZ2915" s="269" t="s">
        <v>40</v>
      </c>
      <c r="BA2915" s="269">
        <v>5</v>
      </c>
    </row>
    <row r="2916" spans="1:53" ht="39.950000000000003" customHeight="1">
      <c r="E2916" s="264" t="s">
        <v>66</v>
      </c>
      <c r="F2916" s="265" t="s">
        <v>39</v>
      </c>
      <c r="G2916" s="263"/>
      <c r="H2916" s="263"/>
      <c r="I2916" s="263"/>
      <c r="J2916" s="263"/>
      <c r="K2916" s="263"/>
      <c r="L2916" s="263"/>
      <c r="M2916" s="263"/>
      <c r="N2916" s="263"/>
      <c r="O2916" s="263"/>
      <c r="P2916" s="263"/>
      <c r="Q2916" s="263"/>
      <c r="R2916" s="263"/>
      <c r="S2916" s="263"/>
      <c r="T2916" s="263"/>
      <c r="U2916" s="263"/>
      <c r="V2916" s="263"/>
      <c r="W2916" s="267"/>
      <c r="X2916" s="263"/>
      <c r="AZ2916" s="269" t="s">
        <v>41</v>
      </c>
      <c r="BA2916" s="269">
        <v>6</v>
      </c>
    </row>
    <row r="2917" spans="1:53" ht="39.950000000000003" customHeight="1">
      <c r="E2917" s="271"/>
      <c r="F2917" s="272"/>
      <c r="G2917" s="263"/>
      <c r="H2917" s="263"/>
      <c r="I2917" s="263" t="s">
        <v>32</v>
      </c>
      <c r="J2917" s="263"/>
      <c r="K2917" s="263"/>
      <c r="L2917" s="263"/>
      <c r="M2917" s="263"/>
      <c r="N2917" s="273"/>
      <c r="O2917" s="266"/>
      <c r="P2917" s="266" t="s">
        <v>34</v>
      </c>
      <c r="Q2917" s="266"/>
      <c r="R2917" s="266"/>
      <c r="S2917" s="266"/>
      <c r="T2917" s="266"/>
      <c r="U2917" s="263"/>
      <c r="V2917" s="263"/>
      <c r="W2917" s="267"/>
      <c r="X2917" s="263"/>
      <c r="AZ2917" s="269" t="s">
        <v>42</v>
      </c>
      <c r="BA2917" s="269">
        <v>7</v>
      </c>
    </row>
    <row r="2918" spans="1:53" ht="39.950000000000003" customHeight="1">
      <c r="E2918" s="264" t="s">
        <v>26</v>
      </c>
      <c r="F2918" s="265" t="s">
        <v>128</v>
      </c>
      <c r="G2918" s="263"/>
      <c r="H2918" s="263"/>
      <c r="I2918" s="486"/>
      <c r="J2918" s="486"/>
      <c r="K2918" s="486"/>
      <c r="L2918" s="486"/>
      <c r="M2918" s="263"/>
      <c r="N2918" s="486" t="str">
        <f>IF(V2911&gt;V2914,I2911,IF(V2914&gt;V2911,I2914,""))</f>
        <v>ŠINKAROVÁ Dáša</v>
      </c>
      <c r="O2918" s="486"/>
      <c r="P2918" s="486"/>
      <c r="Q2918" s="486"/>
      <c r="R2918" s="486"/>
      <c r="S2918" s="486"/>
      <c r="T2918" s="263"/>
      <c r="U2918" s="263"/>
      <c r="V2918" s="263"/>
      <c r="W2918" s="267"/>
      <c r="X2918" s="263"/>
      <c r="AZ2918" s="269" t="s">
        <v>43</v>
      </c>
      <c r="BA2918" s="269">
        <v>8</v>
      </c>
    </row>
    <row r="2919" spans="1:53" ht="39.950000000000003" customHeight="1">
      <c r="E2919" s="271"/>
      <c r="F2919" s="272"/>
      <c r="G2919" s="263"/>
      <c r="H2919" s="263"/>
      <c r="I2919" s="486"/>
      <c r="J2919" s="486"/>
      <c r="K2919" s="486"/>
      <c r="L2919" s="486"/>
      <c r="M2919" s="263"/>
      <c r="N2919" s="486"/>
      <c r="O2919" s="486"/>
      <c r="P2919" s="486"/>
      <c r="Q2919" s="486"/>
      <c r="R2919" s="486"/>
      <c r="S2919" s="486"/>
      <c r="T2919" s="263"/>
      <c r="U2919" s="263"/>
      <c r="V2919" s="263"/>
      <c r="W2919" s="267"/>
      <c r="X2919" s="263"/>
    </row>
    <row r="2920" spans="1:53" ht="39.950000000000003" customHeight="1">
      <c r="E2920" s="264" t="s">
        <v>27</v>
      </c>
      <c r="F2920" s="274" t="s">
        <v>353</v>
      </c>
      <c r="G2920" s="263"/>
      <c r="H2920" s="263"/>
      <c r="I2920" s="263"/>
      <c r="J2920" s="263"/>
      <c r="K2920" s="263"/>
      <c r="L2920" s="263"/>
      <c r="M2920" s="263"/>
      <c r="N2920" s="263"/>
      <c r="O2920" s="263"/>
      <c r="P2920" s="263"/>
      <c r="Q2920" s="263"/>
      <c r="R2920" s="263"/>
      <c r="S2920" s="263"/>
      <c r="T2920" s="263"/>
      <c r="U2920" s="263"/>
      <c r="V2920" s="263"/>
      <c r="W2920" s="267"/>
      <c r="X2920" s="263"/>
    </row>
    <row r="2921" spans="1:53" ht="39.950000000000003" customHeight="1">
      <c r="E2921" s="271"/>
      <c r="F2921" s="272"/>
      <c r="G2921" s="263"/>
      <c r="H2921" s="263" t="s">
        <v>33</v>
      </c>
      <c r="I2921" s="263"/>
      <c r="J2921" s="263"/>
      <c r="K2921" s="263"/>
      <c r="L2921" s="263"/>
      <c r="M2921" s="263"/>
      <c r="N2921" s="263"/>
      <c r="O2921" s="263"/>
      <c r="P2921" s="263"/>
      <c r="Q2921" s="263"/>
      <c r="R2921" s="263"/>
      <c r="S2921" s="263"/>
      <c r="T2921" s="263"/>
      <c r="U2921" s="263"/>
      <c r="V2921" s="263"/>
      <c r="W2921" s="267"/>
      <c r="X2921" s="263"/>
    </row>
    <row r="2922" spans="1:53" ht="39.950000000000003" customHeight="1">
      <c r="E2922" s="271"/>
      <c r="F2922" s="272"/>
      <c r="G2922" s="263"/>
      <c r="H2922" s="263"/>
      <c r="I2922" s="263"/>
      <c r="J2922" s="263"/>
      <c r="K2922" s="263"/>
      <c r="L2922" s="263"/>
      <c r="M2922" s="263"/>
      <c r="N2922" s="263"/>
      <c r="O2922" s="263"/>
      <c r="P2922" s="263"/>
      <c r="Q2922" s="263"/>
      <c r="R2922" s="263"/>
      <c r="S2922" s="263"/>
      <c r="T2922" s="263"/>
      <c r="U2922" s="263"/>
      <c r="V2922" s="263"/>
      <c r="W2922" s="267"/>
      <c r="X2922" s="263"/>
    </row>
    <row r="2923" spans="1:53" ht="39.950000000000003" customHeight="1">
      <c r="E2923" s="271"/>
      <c r="F2923" s="272"/>
      <c r="G2923" s="263"/>
      <c r="H2923" s="263"/>
      <c r="I2923" s="496" t="str">
        <f>I2911</f>
        <v>ŠINKAROVÁ Dáša</v>
      </c>
      <c r="J2923" s="496"/>
      <c r="K2923" s="496"/>
      <c r="L2923" s="496"/>
      <c r="M2923" s="263"/>
      <c r="N2923" s="263"/>
      <c r="O2923" s="263"/>
      <c r="P2923" s="496" t="str">
        <f>I2914</f>
        <v>PEKOVÁ Zuzana</v>
      </c>
      <c r="Q2923" s="496"/>
      <c r="R2923" s="496"/>
      <c r="S2923" s="496"/>
      <c r="T2923" s="497"/>
      <c r="U2923" s="497"/>
      <c r="V2923" s="263"/>
      <c r="W2923" s="267"/>
      <c r="X2923" s="263"/>
    </row>
    <row r="2924" spans="1:53" ht="69.95" customHeight="1">
      <c r="E2924" s="264"/>
      <c r="F2924" s="265"/>
      <c r="G2924" s="263"/>
      <c r="H2924" s="275" t="s">
        <v>36</v>
      </c>
      <c r="I2924" s="483"/>
      <c r="J2924" s="494"/>
      <c r="K2924" s="494"/>
      <c r="L2924" s="495"/>
      <c r="M2924" s="263"/>
      <c r="N2924" s="263"/>
      <c r="O2924" s="275" t="s">
        <v>36</v>
      </c>
      <c r="P2924" s="486"/>
      <c r="Q2924" s="486"/>
      <c r="R2924" s="486"/>
      <c r="S2924" s="486"/>
      <c r="T2924" s="486"/>
      <c r="U2924" s="486"/>
      <c r="V2924" s="263"/>
      <c r="W2924" s="267"/>
      <c r="X2924" s="263"/>
    </row>
    <row r="2925" spans="1:53" ht="69.95" customHeight="1">
      <c r="E2925" s="264"/>
      <c r="F2925" s="265"/>
      <c r="G2925" s="263"/>
      <c r="H2925" s="275" t="s">
        <v>37</v>
      </c>
      <c r="I2925" s="486"/>
      <c r="J2925" s="486"/>
      <c r="K2925" s="486"/>
      <c r="L2925" s="486"/>
      <c r="M2925" s="263"/>
      <c r="N2925" s="263"/>
      <c r="O2925" s="275" t="s">
        <v>37</v>
      </c>
      <c r="P2925" s="486"/>
      <c r="Q2925" s="486"/>
      <c r="R2925" s="486"/>
      <c r="S2925" s="486"/>
      <c r="T2925" s="486"/>
      <c r="U2925" s="486"/>
      <c r="V2925" s="263"/>
      <c r="W2925" s="267"/>
      <c r="X2925" s="263"/>
    </row>
    <row r="2926" spans="1:53" ht="69.95" customHeight="1">
      <c r="E2926" s="264"/>
      <c r="F2926" s="265"/>
      <c r="G2926" s="263"/>
      <c r="H2926" s="275" t="s">
        <v>37</v>
      </c>
      <c r="I2926" s="486"/>
      <c r="J2926" s="486"/>
      <c r="K2926" s="486"/>
      <c r="L2926" s="486"/>
      <c r="M2926" s="263"/>
      <c r="N2926" s="263"/>
      <c r="O2926" s="275" t="s">
        <v>37</v>
      </c>
      <c r="P2926" s="486"/>
      <c r="Q2926" s="486"/>
      <c r="R2926" s="486"/>
      <c r="S2926" s="486"/>
      <c r="T2926" s="486"/>
      <c r="U2926" s="486"/>
      <c r="V2926" s="263"/>
      <c r="W2926" s="267"/>
      <c r="X2926" s="263"/>
    </row>
    <row r="2927" spans="1:53" ht="39.950000000000003" customHeight="1" thickBot="1">
      <c r="E2927" s="276"/>
      <c r="F2927" s="277"/>
      <c r="G2927" s="278"/>
      <c r="H2927" s="278"/>
      <c r="I2927" s="278"/>
      <c r="J2927" s="278"/>
      <c r="K2927" s="278"/>
      <c r="L2927" s="278"/>
      <c r="M2927" s="278"/>
      <c r="N2927" s="278"/>
      <c r="O2927" s="278"/>
      <c r="P2927" s="278"/>
      <c r="Q2927" s="278"/>
      <c r="R2927" s="278"/>
      <c r="S2927" s="278"/>
      <c r="T2927" s="279"/>
      <c r="U2927" s="279"/>
      <c r="V2927" s="279"/>
      <c r="W2927" s="280"/>
      <c r="X2927" s="263"/>
    </row>
    <row r="2928" spans="1:53" ht="62.25" thickBot="1"/>
    <row r="2929" spans="1:53" ht="39.950000000000003" customHeight="1">
      <c r="A2929" s="252" t="str">
        <f>CONCATENATE(F2936,F2938,F2940)</f>
        <v>MIXP29</v>
      </c>
      <c r="C2929" s="223"/>
      <c r="D2929" s="223"/>
      <c r="E2929" s="259" t="s">
        <v>70</v>
      </c>
      <c r="F2929" s="260">
        <f>VLOOKUP(CONCATENATE(A2929,1),'zoznam zapasov'!$A$6:$K$160,3,0)</f>
        <v>145</v>
      </c>
      <c r="G2929" s="261"/>
      <c r="H2929" s="322" t="s">
        <v>501</v>
      </c>
      <c r="I2929" s="261"/>
      <c r="J2929" s="261"/>
      <c r="K2929" s="261"/>
      <c r="L2929" s="261" t="s">
        <v>541</v>
      </c>
      <c r="M2929" s="261"/>
      <c r="N2929" s="261"/>
      <c r="O2929" s="261"/>
      <c r="P2929" s="261"/>
      <c r="Q2929" s="261"/>
      <c r="R2929" s="261"/>
      <c r="S2929" s="261"/>
      <c r="T2929" s="261"/>
      <c r="U2929" s="261"/>
      <c r="V2929" s="261" t="s">
        <v>30</v>
      </c>
      <c r="W2929" s="262"/>
      <c r="X2929" s="263"/>
      <c r="Y2929" s="253" t="str">
        <f>A2931</f>
        <v>MIXP291</v>
      </c>
      <c r="Z2929" s="258" t="str">
        <f>CONCATENATE(V2931,":",V2934)</f>
        <v>3:0</v>
      </c>
      <c r="AA2929" s="255" t="str">
        <f>IF(V2931&gt;V2934,B2931,IF(V2934&gt;V2931,B2934,""))</f>
        <v>KYSEL / LABOŠOVÁ</v>
      </c>
      <c r="AB2929" s="255" t="str">
        <f>IF(V2931&gt;V2934,AV2929,IF(V2934&gt;V2931,AV2930,""))</f>
        <v xml:space="preserve">3:0 ( 10,8,6,,,, ) </v>
      </c>
      <c r="AC2929" s="255" t="str">
        <f>CONCATENATE("Tbl.: ",F2931,"   H: ",F2934,"   D: ",F2933)</f>
        <v>Tbl.: 1   H: 10.30   D: Ne</v>
      </c>
      <c r="AE2929" s="253" t="s">
        <v>11</v>
      </c>
      <c r="AV2929" s="256" t="str">
        <f>CONCATENATE(V2931,":",V2934, " ( ",AN2931,",",AO2931,",",AP2931,",",AQ2931,",",AR2931,",",AS2931,",",AT2931," ) ")</f>
        <v xml:space="preserve">3:0 ( 10,8,6,,,, ) </v>
      </c>
    </row>
    <row r="2930" spans="1:53" ht="39.950000000000003" customHeight="1">
      <c r="C2930" s="223"/>
      <c r="D2930" s="223"/>
      <c r="E2930" s="264"/>
      <c r="F2930" s="265"/>
      <c r="G2930" s="321" t="s">
        <v>500</v>
      </c>
      <c r="H2930" s="323" t="s">
        <v>502</v>
      </c>
      <c r="I2930" s="263"/>
      <c r="J2930" s="263"/>
      <c r="K2930" s="263"/>
      <c r="L2930" s="263"/>
      <c r="M2930" s="263"/>
      <c r="N2930" s="266">
        <v>1</v>
      </c>
      <c r="O2930" s="266">
        <v>2</v>
      </c>
      <c r="P2930" s="266">
        <v>3</v>
      </c>
      <c r="Q2930" s="266">
        <v>4</v>
      </c>
      <c r="R2930" s="266">
        <v>5</v>
      </c>
      <c r="S2930" s="266">
        <v>6</v>
      </c>
      <c r="T2930" s="266">
        <v>7</v>
      </c>
      <c r="U2930" s="263"/>
      <c r="V2930" s="266" t="s">
        <v>31</v>
      </c>
      <c r="W2930" s="267"/>
      <c r="X2930" s="263"/>
      <c r="AE2930" s="253" t="s">
        <v>68</v>
      </c>
      <c r="AV2930" s="256" t="str">
        <f>CONCATENATE(V2934,":",V2931, " ( ",AN2932,",",AO2932,",",AP2932,",",AQ2932,",",AR2932,",",AS2932,",",AT2932," ) ")</f>
        <v xml:space="preserve">0:3 ( -10,-8,-6,,,, ) </v>
      </c>
    </row>
    <row r="2931" spans="1:53" ht="39.950000000000003" customHeight="1">
      <c r="A2931" s="252" t="str">
        <f>CONCATENATE(A2929,1)</f>
        <v>MIXP291</v>
      </c>
      <c r="B2931" s="252" t="str">
        <f>VLOOKUP(A2931,'KO KODY SPOLU'!$A$3:$B$189,2,0)</f>
        <v>KYSEL / LABOŠOVÁ</v>
      </c>
      <c r="C2931" s="223"/>
      <c r="D2931" s="223"/>
      <c r="E2931" s="264" t="s">
        <v>29</v>
      </c>
      <c r="F2931" s="265">
        <f>VLOOKUP(CONCATENATE(A2929,1),'zoznam zapasov'!$A$6:$K$160,11,0)</f>
        <v>1</v>
      </c>
      <c r="G2931" s="508"/>
      <c r="H2931" s="319"/>
      <c r="I2931" s="487" t="str">
        <f>IF(ISERROR(VLOOKUP(B2931,vylosovanie!$N$75:$Q$191,3,0))=TRUE," ",VLOOKUP(B2931,vylosovanie!$N$75:$Q$191,3,0))</f>
        <v>KYSEL Martin</v>
      </c>
      <c r="J2931" s="488"/>
      <c r="K2931" s="488"/>
      <c r="L2931" s="488"/>
      <c r="M2931" s="263"/>
      <c r="N2931" s="489">
        <v>11</v>
      </c>
      <c r="O2931" s="489">
        <v>11</v>
      </c>
      <c r="P2931" s="489">
        <v>11</v>
      </c>
      <c r="Q2931" s="489"/>
      <c r="R2931" s="489"/>
      <c r="S2931" s="491"/>
      <c r="T2931" s="491"/>
      <c r="U2931" s="263"/>
      <c r="V2931" s="493">
        <f>IF(SUM(AF2931:AL2932)=0,"",SUM(AF2931:AL2931))</f>
        <v>3</v>
      </c>
      <c r="W2931" s="267"/>
      <c r="X2931" s="263"/>
      <c r="AE2931" s="253" t="str">
        <f>VLOOKUP(I2931,vylosovanie!$F$8:$L$190,7,0)</f>
        <v>CH21</v>
      </c>
      <c r="AF2931" s="268">
        <f>IF(N2931&gt;N2934,1,0)</f>
        <v>1</v>
      </c>
      <c r="AG2931" s="268">
        <f t="shared" ref="AG2931" si="2870">IF(O2931&gt;O2934,1,0)</f>
        <v>1</v>
      </c>
      <c r="AH2931" s="268">
        <f t="shared" ref="AH2931" si="2871">IF(P2931&gt;P2934,1,0)</f>
        <v>1</v>
      </c>
      <c r="AI2931" s="268">
        <f t="shared" ref="AI2931" si="2872">IF(Q2931&gt;Q2934,1,0)</f>
        <v>0</v>
      </c>
      <c r="AJ2931" s="268">
        <f t="shared" ref="AJ2931" si="2873">IF(R2931&gt;R2934,1,0)</f>
        <v>0</v>
      </c>
      <c r="AK2931" s="268">
        <f t="shared" ref="AK2931" si="2874">IF(S2931&gt;S2934,1,0)</f>
        <v>0</v>
      </c>
      <c r="AL2931" s="268">
        <f t="shared" ref="AL2931" si="2875">IF(T2931&gt;T2934,1,0)</f>
        <v>0</v>
      </c>
      <c r="AN2931" s="268">
        <f t="shared" ref="AN2931" si="2876">IF(ISBLANK(N2931)=TRUE,"",IF(AF2931=1,N2934,-N2931))</f>
        <v>10</v>
      </c>
      <c r="AO2931" s="268">
        <f t="shared" ref="AO2931" si="2877">IF(ISBLANK(O2931)=TRUE,"",IF(AG2931=1,O2934,-O2931))</f>
        <v>8</v>
      </c>
      <c r="AP2931" s="268">
        <f t="shared" ref="AP2931" si="2878">IF(ISBLANK(P2931)=TRUE,"",IF(AH2931=1,P2934,-P2931))</f>
        <v>6</v>
      </c>
      <c r="AQ2931" s="268" t="str">
        <f t="shared" ref="AQ2931" si="2879">IF(ISBLANK(Q2931)=TRUE,"",IF(AI2931=1,Q2934,-Q2931))</f>
        <v/>
      </c>
      <c r="AR2931" s="268" t="str">
        <f t="shared" ref="AR2931" si="2880">IF(ISBLANK(R2931)=TRUE,"",IF(AJ2931=1,R2934,-R2931))</f>
        <v/>
      </c>
      <c r="AS2931" s="268" t="str">
        <f t="shared" ref="AS2931" si="2881">IF(ISBLANK(S2931)=TRUE,"",IF(AK2931=1,S2934,-S2931))</f>
        <v/>
      </c>
      <c r="AT2931" s="268" t="str">
        <f t="shared" ref="AT2931" si="2882">IF(ISBLANK(T2931)=TRUE,"",IF(AL2931=1,T2934,-T2931))</f>
        <v/>
      </c>
      <c r="AZ2931" s="269" t="s">
        <v>12</v>
      </c>
      <c r="BA2931" s="269">
        <v>1</v>
      </c>
    </row>
    <row r="2932" spans="1:53" ht="39.950000000000003" customHeight="1">
      <c r="C2932" s="223"/>
      <c r="D2932" s="223"/>
      <c r="E2932" s="264"/>
      <c r="F2932" s="265"/>
      <c r="G2932" s="509"/>
      <c r="H2932" s="319"/>
      <c r="I2932" s="487" t="str">
        <f>IF(ISERROR(VLOOKUP(B2931,vylosovanie!$N$75:$Q$191,3,0))=TRUE," ",VLOOKUP(B2931,vylosovanie!$N$75:$Q$191,4,0))</f>
        <v>LABOŠOVÁ Ema</v>
      </c>
      <c r="J2932" s="488"/>
      <c r="K2932" s="488"/>
      <c r="L2932" s="488"/>
      <c r="M2932" s="263"/>
      <c r="N2932" s="490"/>
      <c r="O2932" s="490"/>
      <c r="P2932" s="490"/>
      <c r="Q2932" s="490"/>
      <c r="R2932" s="490"/>
      <c r="S2932" s="492"/>
      <c r="T2932" s="492"/>
      <c r="U2932" s="263"/>
      <c r="V2932" s="493"/>
      <c r="W2932" s="267"/>
      <c r="X2932" s="263"/>
      <c r="AE2932" s="253" t="str">
        <f>VLOOKUP(I2934,vylosovanie!$F$8:$L$190,7,0)</f>
        <v>CH31</v>
      </c>
      <c r="AF2932" s="268">
        <f>IF(N2934&gt;N2931,1,0)</f>
        <v>0</v>
      </c>
      <c r="AG2932" s="268">
        <f t="shared" ref="AG2932" si="2883">IF(O2934&gt;O2931,1,0)</f>
        <v>0</v>
      </c>
      <c r="AH2932" s="268">
        <f t="shared" ref="AH2932" si="2884">IF(P2934&gt;P2931,1,0)</f>
        <v>0</v>
      </c>
      <c r="AI2932" s="268">
        <f t="shared" ref="AI2932" si="2885">IF(Q2934&gt;Q2931,1,0)</f>
        <v>0</v>
      </c>
      <c r="AJ2932" s="268">
        <f t="shared" ref="AJ2932" si="2886">IF(R2934&gt;R2931,1,0)</f>
        <v>0</v>
      </c>
      <c r="AK2932" s="268">
        <f t="shared" ref="AK2932" si="2887">IF(S2934&gt;S2931,1,0)</f>
        <v>0</v>
      </c>
      <c r="AL2932" s="268">
        <f t="shared" ref="AL2932" si="2888">IF(T2934&gt;T2931,1,0)</f>
        <v>0</v>
      </c>
      <c r="AN2932" s="268">
        <f t="shared" ref="AN2932" si="2889">IF(ISBLANK(N2934)=TRUE,"",IF(AF2932=1,N2931,-N2934))</f>
        <v>-10</v>
      </c>
      <c r="AO2932" s="268">
        <f t="shared" ref="AO2932" si="2890">IF(ISBLANK(O2934)=TRUE,"",IF(AG2932=1,O2931,-O2934))</f>
        <v>-8</v>
      </c>
      <c r="AP2932" s="268">
        <f t="shared" ref="AP2932" si="2891">IF(ISBLANK(P2934)=TRUE,"",IF(AH2932=1,P2931,-P2934))</f>
        <v>-6</v>
      </c>
      <c r="AQ2932" s="268" t="str">
        <f t="shared" ref="AQ2932" si="2892">IF(ISBLANK(Q2934)=TRUE,"",IF(AI2932=1,Q2931,-Q2934))</f>
        <v/>
      </c>
      <c r="AR2932" s="268" t="str">
        <f t="shared" ref="AR2932" si="2893">IF(ISBLANK(R2934)=TRUE,"",IF(AJ2932=1,R2931,-R2934))</f>
        <v/>
      </c>
      <c r="AS2932" s="268" t="str">
        <f t="shared" ref="AS2932" si="2894">IF(ISBLANK(S2934)=TRUE,"",IF(AK2932=1,S2931,-S2934))</f>
        <v/>
      </c>
      <c r="AT2932" s="268" t="str">
        <f t="shared" ref="AT2932" si="2895">IF(ISBLANK(T2934)=TRUE,"",IF(AL2932=1,T2931,-T2934))</f>
        <v/>
      </c>
      <c r="AZ2932" s="269" t="s">
        <v>18</v>
      </c>
      <c r="BA2932" s="269">
        <v>2</v>
      </c>
    </row>
    <row r="2933" spans="1:53" ht="39.950000000000003" customHeight="1">
      <c r="C2933" s="223"/>
      <c r="D2933" s="223"/>
      <c r="E2933" s="264" t="s">
        <v>35</v>
      </c>
      <c r="F2933" s="265" t="str">
        <f>VLOOKUP(CONCATENATE(A2929,1),'zoznam zapasov'!$A$6:$K$160,9,0)</f>
        <v>Ne</v>
      </c>
      <c r="G2933" s="263"/>
      <c r="H2933" s="263"/>
      <c r="I2933" s="263"/>
      <c r="J2933" s="263"/>
      <c r="K2933" s="263"/>
      <c r="L2933" s="263"/>
      <c r="M2933" s="263"/>
      <c r="N2933" s="263"/>
      <c r="O2933" s="263"/>
      <c r="P2933" s="263"/>
      <c r="Q2933" s="263"/>
      <c r="R2933" s="263"/>
      <c r="S2933" s="263"/>
      <c r="T2933" s="263"/>
      <c r="U2933" s="263"/>
      <c r="V2933" s="263"/>
      <c r="W2933" s="267"/>
      <c r="X2933" s="263"/>
      <c r="AZ2933" s="269" t="s">
        <v>38</v>
      </c>
      <c r="BA2933" s="269">
        <v>3</v>
      </c>
    </row>
    <row r="2934" spans="1:53" ht="39.950000000000003" customHeight="1">
      <c r="A2934" s="252" t="str">
        <f>CONCATENATE(A2929,2)</f>
        <v>MIXP292</v>
      </c>
      <c r="B2934" s="252" t="str">
        <f>VLOOKUP(A2934,'KO KODY SPOLU'!$A$3:$B$189,2,0)</f>
        <v>FEČO / DZELINSKA</v>
      </c>
      <c r="C2934" s="223"/>
      <c r="D2934" s="223"/>
      <c r="E2934" s="264" t="s">
        <v>28</v>
      </c>
      <c r="F2934" s="270" t="str">
        <f>VLOOKUP(CONCATENATE(A2929,1),'zoznam zapasov'!$A$6:$K$160,10,0)</f>
        <v>10.30</v>
      </c>
      <c r="G2934" s="508"/>
      <c r="H2934" s="319"/>
      <c r="I2934" s="487" t="str">
        <f>IF(ISERROR(VLOOKUP(B2934,vylosovanie!$N$75:$Q$191,3,0))=TRUE," ",VLOOKUP(B2934,vylosovanie!$N$75:$Q$191,3,0))</f>
        <v>FEČO Samuel</v>
      </c>
      <c r="J2934" s="488"/>
      <c r="K2934" s="488"/>
      <c r="L2934" s="488"/>
      <c r="M2934" s="263">
        <v>1</v>
      </c>
      <c r="N2934" s="489">
        <v>10</v>
      </c>
      <c r="O2934" s="489">
        <v>8</v>
      </c>
      <c r="P2934" s="489">
        <v>6</v>
      </c>
      <c r="Q2934" s="489"/>
      <c r="R2934" s="489"/>
      <c r="S2934" s="491"/>
      <c r="T2934" s="491"/>
      <c r="U2934" s="263"/>
      <c r="V2934" s="493">
        <f>IF(SUM(AF2931:AL2932)=0,"",SUM(AF2932:AL2932))</f>
        <v>0</v>
      </c>
      <c r="W2934" s="267"/>
      <c r="X2934" s="263"/>
      <c r="AZ2934" s="269" t="s">
        <v>39</v>
      </c>
      <c r="BA2934" s="269">
        <v>4</v>
      </c>
    </row>
    <row r="2935" spans="1:53" ht="39.950000000000003" customHeight="1">
      <c r="C2935" s="223"/>
      <c r="D2935" s="223"/>
      <c r="E2935" s="271"/>
      <c r="F2935" s="272"/>
      <c r="G2935" s="509"/>
      <c r="H2935" s="319"/>
      <c r="I2935" s="487" t="str">
        <f>IF(ISERROR(VLOOKUP(B2934,vylosovanie!$N$75:$Q$191,3,0))=TRUE," ",VLOOKUP(B2934,vylosovanie!$N$75:$Q$191,4,0))</f>
        <v>DZELINSKA Júlia</v>
      </c>
      <c r="J2935" s="488"/>
      <c r="K2935" s="488"/>
      <c r="L2935" s="488"/>
      <c r="M2935" s="263"/>
      <c r="N2935" s="490"/>
      <c r="O2935" s="490"/>
      <c r="P2935" s="490"/>
      <c r="Q2935" s="490"/>
      <c r="R2935" s="490"/>
      <c r="S2935" s="492"/>
      <c r="T2935" s="492"/>
      <c r="U2935" s="263"/>
      <c r="V2935" s="493"/>
      <c r="W2935" s="267"/>
      <c r="X2935" s="263"/>
      <c r="AZ2935" s="269" t="s">
        <v>40</v>
      </c>
      <c r="BA2935" s="269">
        <v>5</v>
      </c>
    </row>
    <row r="2936" spans="1:53" ht="39.950000000000003" customHeight="1">
      <c r="C2936" s="223"/>
      <c r="D2936" s="223"/>
      <c r="E2936" s="264" t="s">
        <v>66</v>
      </c>
      <c r="F2936" s="265" t="s">
        <v>316</v>
      </c>
      <c r="G2936" s="263"/>
      <c r="H2936" s="263"/>
      <c r="I2936" s="263"/>
      <c r="J2936" s="263"/>
      <c r="K2936" s="263"/>
      <c r="L2936" s="263"/>
      <c r="M2936" s="263"/>
      <c r="N2936" s="263"/>
      <c r="O2936" s="263"/>
      <c r="P2936" s="263"/>
      <c r="Q2936" s="263"/>
      <c r="R2936" s="263"/>
      <c r="S2936" s="263"/>
      <c r="T2936" s="263"/>
      <c r="U2936" s="263"/>
      <c r="V2936" s="263"/>
      <c r="W2936" s="267"/>
      <c r="X2936" s="263"/>
      <c r="AZ2936" s="269" t="s">
        <v>41</v>
      </c>
      <c r="BA2936" s="269">
        <v>6</v>
      </c>
    </row>
    <row r="2937" spans="1:53" ht="39.950000000000003" customHeight="1">
      <c r="C2937" s="223"/>
      <c r="D2937" s="223"/>
      <c r="E2937" s="271"/>
      <c r="F2937" s="272"/>
      <c r="G2937" s="263"/>
      <c r="H2937" s="263"/>
      <c r="I2937" s="263" t="s">
        <v>32</v>
      </c>
      <c r="J2937" s="263"/>
      <c r="K2937" s="263"/>
      <c r="L2937" s="263"/>
      <c r="M2937" s="263"/>
      <c r="N2937" s="273"/>
      <c r="O2937" s="266"/>
      <c r="P2937" s="266" t="s">
        <v>34</v>
      </c>
      <c r="Q2937" s="266"/>
      <c r="R2937" s="266"/>
      <c r="S2937" s="266"/>
      <c r="T2937" s="266"/>
      <c r="U2937" s="263"/>
      <c r="V2937" s="263"/>
      <c r="W2937" s="267"/>
      <c r="X2937" s="263"/>
      <c r="AZ2937" s="269" t="s">
        <v>42</v>
      </c>
      <c r="BA2937" s="269">
        <v>7</v>
      </c>
    </row>
    <row r="2938" spans="1:53" ht="39.950000000000003" customHeight="1">
      <c r="E2938" s="264" t="s">
        <v>26</v>
      </c>
      <c r="F2938" s="265" t="s">
        <v>128</v>
      </c>
      <c r="G2938" s="263"/>
      <c r="H2938" s="263"/>
      <c r="I2938" s="486"/>
      <c r="J2938" s="486"/>
      <c r="K2938" s="486"/>
      <c r="L2938" s="486"/>
      <c r="M2938" s="263"/>
      <c r="N2938" s="483" t="str">
        <f>IF(V2931&gt;V2934,I2931,IF(V2934&gt;V2931,I2934,""))</f>
        <v>KYSEL Martin</v>
      </c>
      <c r="O2938" s="494"/>
      <c r="P2938" s="494"/>
      <c r="Q2938" s="494"/>
      <c r="R2938" s="494"/>
      <c r="S2938" s="495"/>
      <c r="T2938" s="263"/>
      <c r="U2938" s="263"/>
      <c r="V2938" s="263"/>
      <c r="W2938" s="267"/>
      <c r="X2938" s="263"/>
      <c r="AZ2938" s="269" t="s">
        <v>43</v>
      </c>
      <c r="BA2938" s="269">
        <v>8</v>
      </c>
    </row>
    <row r="2939" spans="1:53" ht="39.950000000000003" customHeight="1">
      <c r="E2939" s="271"/>
      <c r="F2939" s="272"/>
      <c r="G2939" s="263"/>
      <c r="H2939" s="263"/>
      <c r="I2939" s="486"/>
      <c r="J2939" s="486"/>
      <c r="K2939" s="486"/>
      <c r="L2939" s="486"/>
      <c r="M2939" s="263"/>
      <c r="N2939" s="483" t="str">
        <f>IF(V2931&gt;V2934,I2932,IF(V2934&gt;V2931,I2935,""))</f>
        <v>LABOŠOVÁ Ema</v>
      </c>
      <c r="O2939" s="494"/>
      <c r="P2939" s="494"/>
      <c r="Q2939" s="494"/>
      <c r="R2939" s="494"/>
      <c r="S2939" s="495"/>
      <c r="T2939" s="263"/>
      <c r="U2939" s="263"/>
      <c r="V2939" s="263"/>
      <c r="W2939" s="267"/>
      <c r="X2939" s="263"/>
    </row>
    <row r="2940" spans="1:53" ht="39.950000000000003" customHeight="1">
      <c r="E2940" s="264" t="s">
        <v>27</v>
      </c>
      <c r="F2940" s="274" t="s">
        <v>363</v>
      </c>
      <c r="G2940" s="263"/>
      <c r="H2940" s="263"/>
      <c r="I2940" s="263"/>
      <c r="J2940" s="263"/>
      <c r="K2940" s="263"/>
      <c r="L2940" s="263"/>
      <c r="M2940" s="263"/>
      <c r="N2940" s="263"/>
      <c r="O2940" s="263"/>
      <c r="P2940" s="263"/>
      <c r="Q2940" s="263"/>
      <c r="R2940" s="263"/>
      <c r="S2940" s="263"/>
      <c r="T2940" s="263"/>
      <c r="U2940" s="263"/>
      <c r="V2940" s="263"/>
      <c r="W2940" s="267"/>
      <c r="X2940" s="263"/>
    </row>
    <row r="2941" spans="1:53" ht="39.950000000000003" customHeight="1">
      <c r="E2941" s="271"/>
      <c r="F2941" s="272"/>
      <c r="G2941" s="263"/>
      <c r="H2941" s="263" t="s">
        <v>33</v>
      </c>
      <c r="I2941" s="263"/>
      <c r="J2941" s="263"/>
      <c r="K2941" s="263"/>
      <c r="L2941" s="263"/>
      <c r="M2941" s="263"/>
      <c r="N2941" s="263"/>
      <c r="O2941" s="263"/>
      <c r="P2941" s="263"/>
      <c r="Q2941" s="263"/>
      <c r="R2941" s="263"/>
      <c r="S2941" s="263"/>
      <c r="T2941" s="263"/>
      <c r="U2941" s="263"/>
      <c r="V2941" s="263"/>
      <c r="W2941" s="267"/>
      <c r="X2941" s="263"/>
    </row>
    <row r="2942" spans="1:53" ht="39.950000000000003" customHeight="1">
      <c r="E2942" s="271"/>
      <c r="F2942" s="272"/>
      <c r="G2942" s="263"/>
      <c r="H2942" s="263"/>
      <c r="I2942" s="263"/>
      <c r="J2942" s="263"/>
      <c r="K2942" s="263"/>
      <c r="L2942" s="263"/>
      <c r="M2942" s="263"/>
      <c r="N2942" s="263"/>
      <c r="O2942" s="263"/>
      <c r="P2942" s="263"/>
      <c r="Q2942" s="263"/>
      <c r="R2942" s="263"/>
      <c r="S2942" s="263"/>
      <c r="T2942" s="263"/>
      <c r="U2942" s="263"/>
      <c r="V2942" s="263"/>
      <c r="W2942" s="267"/>
      <c r="X2942" s="263"/>
    </row>
    <row r="2943" spans="1:53" ht="39.950000000000003" customHeight="1">
      <c r="E2943" s="271"/>
      <c r="F2943" s="272"/>
      <c r="G2943" s="263"/>
      <c r="H2943" s="263"/>
      <c r="I2943" s="496" t="str">
        <f>I2931</f>
        <v>KYSEL Martin</v>
      </c>
      <c r="J2943" s="496"/>
      <c r="K2943" s="496"/>
      <c r="L2943" s="496"/>
      <c r="M2943" s="263"/>
      <c r="N2943" s="263"/>
      <c r="P2943" s="496" t="str">
        <f>I2934</f>
        <v>FEČO Samuel</v>
      </c>
      <c r="Q2943" s="496"/>
      <c r="R2943" s="496"/>
      <c r="S2943" s="496"/>
      <c r="T2943" s="497"/>
      <c r="U2943" s="497"/>
      <c r="V2943" s="263"/>
      <c r="W2943" s="267"/>
      <c r="X2943" s="263"/>
    </row>
    <row r="2944" spans="1:53" ht="39.950000000000003" customHeight="1">
      <c r="E2944" s="271"/>
      <c r="F2944" s="272"/>
      <c r="G2944" s="263"/>
      <c r="H2944" s="263"/>
      <c r="I2944" s="496" t="str">
        <f>I2932</f>
        <v>LABOŠOVÁ Ema</v>
      </c>
      <c r="J2944" s="496"/>
      <c r="K2944" s="496"/>
      <c r="L2944" s="496"/>
      <c r="M2944" s="263"/>
      <c r="N2944" s="263"/>
      <c r="O2944" s="263"/>
      <c r="P2944" s="496" t="str">
        <f>I2935</f>
        <v>DZELINSKA Júlia</v>
      </c>
      <c r="Q2944" s="496"/>
      <c r="R2944" s="496"/>
      <c r="S2944" s="496"/>
      <c r="T2944" s="497"/>
      <c r="U2944" s="497"/>
      <c r="V2944" s="263"/>
      <c r="W2944" s="267"/>
      <c r="X2944" s="263"/>
    </row>
    <row r="2945" spans="1:53" ht="69.95" customHeight="1">
      <c r="E2945" s="264"/>
      <c r="F2945" s="265"/>
      <c r="G2945" s="263"/>
      <c r="H2945" s="275" t="s">
        <v>36</v>
      </c>
      <c r="I2945" s="483"/>
      <c r="J2945" s="484"/>
      <c r="K2945" s="484"/>
      <c r="L2945" s="485"/>
      <c r="M2945" s="263"/>
      <c r="N2945" s="263"/>
      <c r="O2945" s="275" t="s">
        <v>36</v>
      </c>
      <c r="P2945" s="486"/>
      <c r="Q2945" s="486"/>
      <c r="R2945" s="486"/>
      <c r="S2945" s="486"/>
      <c r="T2945" s="486"/>
      <c r="U2945" s="486"/>
      <c r="V2945" s="263"/>
      <c r="W2945" s="267"/>
      <c r="X2945" s="263"/>
    </row>
    <row r="2946" spans="1:53" ht="69.95" customHeight="1">
      <c r="E2946" s="264"/>
      <c r="F2946" s="265"/>
      <c r="G2946" s="263"/>
      <c r="H2946" s="275" t="s">
        <v>37</v>
      </c>
      <c r="I2946" s="486"/>
      <c r="J2946" s="486"/>
      <c r="K2946" s="486"/>
      <c r="L2946" s="486"/>
      <c r="M2946" s="263"/>
      <c r="N2946" s="263"/>
      <c r="O2946" s="275" t="s">
        <v>37</v>
      </c>
      <c r="P2946" s="486"/>
      <c r="Q2946" s="486"/>
      <c r="R2946" s="486"/>
      <c r="S2946" s="486"/>
      <c r="T2946" s="486"/>
      <c r="U2946" s="486"/>
      <c r="V2946" s="263"/>
      <c r="W2946" s="267"/>
      <c r="X2946" s="263"/>
    </row>
    <row r="2947" spans="1:53" ht="69.95" customHeight="1">
      <c r="E2947" s="264"/>
      <c r="F2947" s="265"/>
      <c r="G2947" s="263"/>
      <c r="H2947" s="275" t="s">
        <v>37</v>
      </c>
      <c r="I2947" s="486"/>
      <c r="J2947" s="486"/>
      <c r="K2947" s="486"/>
      <c r="L2947" s="486"/>
      <c r="M2947" s="263"/>
      <c r="N2947" s="263"/>
      <c r="O2947" s="275" t="s">
        <v>37</v>
      </c>
      <c r="P2947" s="486"/>
      <c r="Q2947" s="486"/>
      <c r="R2947" s="486"/>
      <c r="S2947" s="486"/>
      <c r="T2947" s="486"/>
      <c r="U2947" s="486"/>
      <c r="V2947" s="263"/>
      <c r="W2947" s="267"/>
      <c r="X2947" s="263"/>
    </row>
    <row r="2948" spans="1:53" ht="39.950000000000003" customHeight="1" thickBot="1">
      <c r="E2948" s="276"/>
      <c r="F2948" s="277"/>
      <c r="G2948" s="278"/>
      <c r="H2948" s="278"/>
      <c r="I2948" s="278"/>
      <c r="J2948" s="278"/>
      <c r="K2948" s="278"/>
      <c r="L2948" s="278"/>
      <c r="M2948" s="278"/>
      <c r="N2948" s="278"/>
      <c r="O2948" s="278"/>
      <c r="P2948" s="278"/>
      <c r="Q2948" s="278"/>
      <c r="R2948" s="278"/>
      <c r="S2948" s="278"/>
      <c r="T2948" s="279"/>
      <c r="U2948" s="279"/>
      <c r="V2948" s="279"/>
      <c r="W2948" s="280"/>
      <c r="X2948" s="263"/>
    </row>
    <row r="2949" spans="1:53" ht="62.25" thickBot="1"/>
    <row r="2950" spans="1:53" ht="39.950000000000003" customHeight="1">
      <c r="A2950" s="252" t="str">
        <f>CONCATENATE(F2957,F2959,F2961)</f>
        <v>MIXP30</v>
      </c>
      <c r="C2950" s="223"/>
      <c r="D2950" s="223"/>
      <c r="E2950" s="259" t="s">
        <v>70</v>
      </c>
      <c r="F2950" s="260">
        <f>VLOOKUP(CONCATENATE(A2950,1),'zoznam zapasov'!$A$6:$K$160,3,0)</f>
        <v>146</v>
      </c>
      <c r="G2950" s="261"/>
      <c r="H2950" s="322" t="s">
        <v>501</v>
      </c>
      <c r="I2950" s="261"/>
      <c r="J2950" s="261"/>
      <c r="K2950" s="261"/>
      <c r="L2950" s="261" t="s">
        <v>542</v>
      </c>
      <c r="M2950" s="261"/>
      <c r="N2950" s="261"/>
      <c r="O2950" s="261"/>
      <c r="P2950" s="261"/>
      <c r="Q2950" s="261"/>
      <c r="R2950" s="261"/>
      <c r="S2950" s="261"/>
      <c r="T2950" s="261"/>
      <c r="U2950" s="261"/>
      <c r="V2950" s="261" t="s">
        <v>30</v>
      </c>
      <c r="W2950" s="262"/>
      <c r="X2950" s="263"/>
      <c r="Y2950" s="253" t="str">
        <f>A2952</f>
        <v>MIXP301</v>
      </c>
      <c r="Z2950" s="258" t="str">
        <f>CONCATENATE(V2952,":",V2955)</f>
        <v>3:2</v>
      </c>
      <c r="AA2950" s="255" t="str">
        <f>IF(V2952&gt;V2955,B2952,IF(V2955&gt;V2952,B2955,""))</f>
        <v>PINDURA / ŠINKAROVÁ</v>
      </c>
      <c r="AB2950" s="255" t="str">
        <f>IF(V2952&gt;V2955,AV2950,IF(V2955&gt;V2952,AV2951,""))</f>
        <v xml:space="preserve">3:2 ( -11,10,7,-6,2,, ) </v>
      </c>
      <c r="AC2950" s="255" t="str">
        <f>CONCATENATE("Tbl.: ",F2952,"   H: ",F2955,"   D: ",F2954)</f>
        <v>Tbl.: 2   H: 10.30   D: Ne</v>
      </c>
      <c r="AE2950" s="253" t="s">
        <v>11</v>
      </c>
      <c r="AV2950" s="256" t="str">
        <f>CONCATENATE(V2952,":",V2955, " ( ",AN2952,",",AO2952,",",AP2952,",",AQ2952,",",AR2952,",",AS2952,",",AT2952," ) ")</f>
        <v xml:space="preserve">3:2 ( -11,10,7,-6,2,, ) </v>
      </c>
    </row>
    <row r="2951" spans="1:53" ht="39.950000000000003" customHeight="1">
      <c r="C2951" s="223"/>
      <c r="D2951" s="223"/>
      <c r="E2951" s="264"/>
      <c r="F2951" s="265"/>
      <c r="G2951" s="321" t="s">
        <v>500</v>
      </c>
      <c r="H2951" s="323" t="s">
        <v>502</v>
      </c>
      <c r="I2951" s="263"/>
      <c r="J2951" s="263"/>
      <c r="K2951" s="263"/>
      <c r="L2951" s="263"/>
      <c r="M2951" s="263"/>
      <c r="N2951" s="266">
        <v>1</v>
      </c>
      <c r="O2951" s="266">
        <v>2</v>
      </c>
      <c r="P2951" s="266">
        <v>3</v>
      </c>
      <c r="Q2951" s="266">
        <v>4</v>
      </c>
      <c r="R2951" s="266">
        <v>5</v>
      </c>
      <c r="S2951" s="266">
        <v>6</v>
      </c>
      <c r="T2951" s="266">
        <v>7</v>
      </c>
      <c r="U2951" s="263"/>
      <c r="V2951" s="266" t="s">
        <v>31</v>
      </c>
      <c r="W2951" s="267"/>
      <c r="X2951" s="263"/>
      <c r="AE2951" s="253" t="s">
        <v>68</v>
      </c>
      <c r="AV2951" s="256" t="str">
        <f>CONCATENATE(V2955,":",V2952, " ( ",AN2953,",",AO2953,",",AP2953,",",AQ2953,",",AR2953,",",AS2953,",",AT2953," ) ")</f>
        <v xml:space="preserve">2:3 ( 11,-10,-7,6,-2,, ) </v>
      </c>
    </row>
    <row r="2952" spans="1:53" ht="39.950000000000003" customHeight="1">
      <c r="A2952" s="252" t="str">
        <f>CONCATENATE(A2950,1)</f>
        <v>MIXP301</v>
      </c>
      <c r="B2952" s="252" t="str">
        <f>VLOOKUP(A2952,'KO KODY SPOLU'!$A$3:$B$189,2,0)</f>
        <v>PINDURA / ŠINKAROVÁ</v>
      </c>
      <c r="C2952" s="223"/>
      <c r="D2952" s="223"/>
      <c r="E2952" s="264" t="s">
        <v>29</v>
      </c>
      <c r="F2952" s="265">
        <f>VLOOKUP(CONCATENATE(A2950,1),'zoznam zapasov'!$A$6:$K$160,11,0)</f>
        <v>2</v>
      </c>
      <c r="G2952" s="508"/>
      <c r="H2952" s="319"/>
      <c r="I2952" s="487" t="str">
        <f>IF(ISERROR(VLOOKUP(B2952,vylosovanie!$N$75:$Q$191,3,0))=TRUE," ",VLOOKUP(B2952,vylosovanie!$N$75:$Q$191,3,0))</f>
        <v>PINDURA Tobiáš</v>
      </c>
      <c r="J2952" s="488"/>
      <c r="K2952" s="488"/>
      <c r="L2952" s="488"/>
      <c r="M2952" s="263"/>
      <c r="N2952" s="489">
        <v>11</v>
      </c>
      <c r="O2952" s="489">
        <v>12</v>
      </c>
      <c r="P2952" s="489">
        <v>11</v>
      </c>
      <c r="Q2952" s="489">
        <v>6</v>
      </c>
      <c r="R2952" s="489">
        <v>11</v>
      </c>
      <c r="S2952" s="491"/>
      <c r="T2952" s="491"/>
      <c r="U2952" s="263"/>
      <c r="V2952" s="493">
        <f>IF(SUM(AF2952:AL2953)=0,"",SUM(AF2952:AL2952))</f>
        <v>3</v>
      </c>
      <c r="W2952" s="267"/>
      <c r="X2952" s="263"/>
      <c r="AE2952" s="253" t="str">
        <f>VLOOKUP(I2952,vylosovanie!$F$8:$L$190,7,0)</f>
        <v>CH41</v>
      </c>
      <c r="AF2952" s="268">
        <f>IF(N2952&gt;N2955,1,0)</f>
        <v>0</v>
      </c>
      <c r="AG2952" s="268">
        <f t="shared" ref="AG2952" si="2896">IF(O2952&gt;O2955,1,0)</f>
        <v>1</v>
      </c>
      <c r="AH2952" s="268">
        <f t="shared" ref="AH2952" si="2897">IF(P2952&gt;P2955,1,0)</f>
        <v>1</v>
      </c>
      <c r="AI2952" s="268">
        <f t="shared" ref="AI2952" si="2898">IF(Q2952&gt;Q2955,1,0)</f>
        <v>0</v>
      </c>
      <c r="AJ2952" s="268">
        <f t="shared" ref="AJ2952" si="2899">IF(R2952&gt;R2955,1,0)</f>
        <v>1</v>
      </c>
      <c r="AK2952" s="268">
        <f t="shared" ref="AK2952" si="2900">IF(S2952&gt;S2955,1,0)</f>
        <v>0</v>
      </c>
      <c r="AL2952" s="268">
        <f t="shared" ref="AL2952" si="2901">IF(T2952&gt;T2955,1,0)</f>
        <v>0</v>
      </c>
      <c r="AN2952" s="268">
        <f t="shared" ref="AN2952" si="2902">IF(ISBLANK(N2952)=TRUE,"",IF(AF2952=1,N2955,-N2952))</f>
        <v>-11</v>
      </c>
      <c r="AO2952" s="268">
        <f t="shared" ref="AO2952" si="2903">IF(ISBLANK(O2952)=TRUE,"",IF(AG2952=1,O2955,-O2952))</f>
        <v>10</v>
      </c>
      <c r="AP2952" s="268">
        <f t="shared" ref="AP2952" si="2904">IF(ISBLANK(P2952)=TRUE,"",IF(AH2952=1,P2955,-P2952))</f>
        <v>7</v>
      </c>
      <c r="AQ2952" s="268">
        <f t="shared" ref="AQ2952" si="2905">IF(ISBLANK(Q2952)=TRUE,"",IF(AI2952=1,Q2955,-Q2952))</f>
        <v>-6</v>
      </c>
      <c r="AR2952" s="268">
        <f t="shared" ref="AR2952" si="2906">IF(ISBLANK(R2952)=TRUE,"",IF(AJ2952=1,R2955,-R2952))</f>
        <v>2</v>
      </c>
      <c r="AS2952" s="268" t="str">
        <f t="shared" ref="AS2952" si="2907">IF(ISBLANK(S2952)=TRUE,"",IF(AK2952=1,S2955,-S2952))</f>
        <v/>
      </c>
      <c r="AT2952" s="268" t="str">
        <f t="shared" ref="AT2952" si="2908">IF(ISBLANK(T2952)=TRUE,"",IF(AL2952=1,T2955,-T2952))</f>
        <v/>
      </c>
      <c r="AZ2952" s="269" t="s">
        <v>12</v>
      </c>
      <c r="BA2952" s="269">
        <v>1</v>
      </c>
    </row>
    <row r="2953" spans="1:53" ht="39.950000000000003" customHeight="1">
      <c r="C2953" s="223"/>
      <c r="D2953" s="223"/>
      <c r="E2953" s="264"/>
      <c r="F2953" s="265"/>
      <c r="G2953" s="509"/>
      <c r="H2953" s="319"/>
      <c r="I2953" s="487" t="str">
        <f>IF(ISERROR(VLOOKUP(B2952,vylosovanie!$N$75:$Q$191,3,0))=TRUE," ",VLOOKUP(B2952,vylosovanie!$N$75:$Q$191,4,0))</f>
        <v>ŠINKAROVÁ Dáša</v>
      </c>
      <c r="J2953" s="488"/>
      <c r="K2953" s="488"/>
      <c r="L2953" s="488"/>
      <c r="M2953" s="263"/>
      <c r="N2953" s="490"/>
      <c r="O2953" s="490"/>
      <c r="P2953" s="490"/>
      <c r="Q2953" s="490"/>
      <c r="R2953" s="490"/>
      <c r="S2953" s="492"/>
      <c r="T2953" s="492"/>
      <c r="U2953" s="263"/>
      <c r="V2953" s="493"/>
      <c r="W2953" s="267"/>
      <c r="X2953" s="263"/>
      <c r="AE2953" s="253" t="str">
        <f>VLOOKUP(I2955,vylosovanie!$F$8:$L$190,7,0)</f>
        <v>CH11</v>
      </c>
      <c r="AF2953" s="268">
        <f>IF(N2955&gt;N2952,1,0)</f>
        <v>1</v>
      </c>
      <c r="AG2953" s="268">
        <f t="shared" ref="AG2953" si="2909">IF(O2955&gt;O2952,1,0)</f>
        <v>0</v>
      </c>
      <c r="AH2953" s="268">
        <f t="shared" ref="AH2953" si="2910">IF(P2955&gt;P2952,1,0)</f>
        <v>0</v>
      </c>
      <c r="AI2953" s="268">
        <f t="shared" ref="AI2953" si="2911">IF(Q2955&gt;Q2952,1,0)</f>
        <v>1</v>
      </c>
      <c r="AJ2953" s="268">
        <f t="shared" ref="AJ2953" si="2912">IF(R2955&gt;R2952,1,0)</f>
        <v>0</v>
      </c>
      <c r="AK2953" s="268">
        <f t="shared" ref="AK2953" si="2913">IF(S2955&gt;S2952,1,0)</f>
        <v>0</v>
      </c>
      <c r="AL2953" s="268">
        <f t="shared" ref="AL2953" si="2914">IF(T2955&gt;T2952,1,0)</f>
        <v>0</v>
      </c>
      <c r="AN2953" s="268">
        <f t="shared" ref="AN2953" si="2915">IF(ISBLANK(N2955)=TRUE,"",IF(AF2953=1,N2952,-N2955))</f>
        <v>11</v>
      </c>
      <c r="AO2953" s="268">
        <f t="shared" ref="AO2953" si="2916">IF(ISBLANK(O2955)=TRUE,"",IF(AG2953=1,O2952,-O2955))</f>
        <v>-10</v>
      </c>
      <c r="AP2953" s="268">
        <f t="shared" ref="AP2953" si="2917">IF(ISBLANK(P2955)=TRUE,"",IF(AH2953=1,P2952,-P2955))</f>
        <v>-7</v>
      </c>
      <c r="AQ2953" s="268">
        <f t="shared" ref="AQ2953" si="2918">IF(ISBLANK(Q2955)=TRUE,"",IF(AI2953=1,Q2952,-Q2955))</f>
        <v>6</v>
      </c>
      <c r="AR2953" s="268">
        <f t="shared" ref="AR2953" si="2919">IF(ISBLANK(R2955)=TRUE,"",IF(AJ2953=1,R2952,-R2955))</f>
        <v>-2</v>
      </c>
      <c r="AS2953" s="268" t="str">
        <f t="shared" ref="AS2953" si="2920">IF(ISBLANK(S2955)=TRUE,"",IF(AK2953=1,S2952,-S2955))</f>
        <v/>
      </c>
      <c r="AT2953" s="268" t="str">
        <f t="shared" ref="AT2953" si="2921">IF(ISBLANK(T2955)=TRUE,"",IF(AL2953=1,T2952,-T2955))</f>
        <v/>
      </c>
      <c r="AZ2953" s="269" t="s">
        <v>18</v>
      </c>
      <c r="BA2953" s="269">
        <v>2</v>
      </c>
    </row>
    <row r="2954" spans="1:53" ht="39.950000000000003" customHeight="1">
      <c r="C2954" s="223"/>
      <c r="D2954" s="223"/>
      <c r="E2954" s="264" t="s">
        <v>35</v>
      </c>
      <c r="F2954" s="265" t="str">
        <f>VLOOKUP(CONCATENATE(A2950,1),'zoznam zapasov'!$A$6:$K$160,9,0)</f>
        <v>Ne</v>
      </c>
      <c r="G2954" s="263"/>
      <c r="H2954" s="263"/>
      <c r="I2954" s="263"/>
      <c r="J2954" s="263"/>
      <c r="K2954" s="263"/>
      <c r="L2954" s="263"/>
      <c r="M2954" s="263"/>
      <c r="N2954" s="263"/>
      <c r="O2954" s="263"/>
      <c r="P2954" s="263"/>
      <c r="Q2954" s="263"/>
      <c r="R2954" s="263"/>
      <c r="S2954" s="263"/>
      <c r="T2954" s="263"/>
      <c r="U2954" s="263"/>
      <c r="V2954" s="263"/>
      <c r="W2954" s="267"/>
      <c r="X2954" s="263"/>
      <c r="AZ2954" s="269" t="s">
        <v>38</v>
      </c>
      <c r="BA2954" s="269">
        <v>3</v>
      </c>
    </row>
    <row r="2955" spans="1:53" ht="39.950000000000003" customHeight="1">
      <c r="A2955" s="252" t="str">
        <f>CONCATENATE(A2950,2)</f>
        <v>MIXP302</v>
      </c>
      <c r="B2955" s="252" t="str">
        <f>VLOOKUP(A2955,'KO KODY SPOLU'!$A$3:$B$189,2,0)</f>
        <v>DIKO / PEKOVÁ</v>
      </c>
      <c r="C2955" s="223"/>
      <c r="D2955" s="223"/>
      <c r="E2955" s="264" t="s">
        <v>28</v>
      </c>
      <c r="F2955" s="270" t="str">
        <f>VLOOKUP(CONCATENATE(A2950,1),'zoznam zapasov'!$A$6:$K$160,10,0)</f>
        <v>10.30</v>
      </c>
      <c r="G2955" s="508"/>
      <c r="H2955" s="319"/>
      <c r="I2955" s="487" t="str">
        <f>IF(ISERROR(VLOOKUP(B2955,vylosovanie!$N$75:$Q$191,3,0))=TRUE," ",VLOOKUP(B2955,vylosovanie!$N$75:$Q$191,3,0))</f>
        <v>DIKO Dalibor</v>
      </c>
      <c r="J2955" s="488"/>
      <c r="K2955" s="488"/>
      <c r="L2955" s="488"/>
      <c r="M2955" s="263"/>
      <c r="N2955" s="489">
        <v>13</v>
      </c>
      <c r="O2955" s="489">
        <v>10</v>
      </c>
      <c r="P2955" s="489">
        <v>7</v>
      </c>
      <c r="Q2955" s="489">
        <v>11</v>
      </c>
      <c r="R2955" s="489">
        <v>2</v>
      </c>
      <c r="S2955" s="491"/>
      <c r="T2955" s="491"/>
      <c r="U2955" s="263"/>
      <c r="V2955" s="493">
        <f>IF(SUM(AF2952:AL2953)=0,"",SUM(AF2953:AL2953))</f>
        <v>2</v>
      </c>
      <c r="W2955" s="267"/>
      <c r="X2955" s="263"/>
      <c r="AZ2955" s="269" t="s">
        <v>39</v>
      </c>
      <c r="BA2955" s="269">
        <v>4</v>
      </c>
    </row>
    <row r="2956" spans="1:53" ht="39.950000000000003" customHeight="1">
      <c r="C2956" s="223"/>
      <c r="D2956" s="223"/>
      <c r="E2956" s="271"/>
      <c r="F2956" s="272"/>
      <c r="G2956" s="509"/>
      <c r="H2956" s="319"/>
      <c r="I2956" s="487" t="str">
        <f>IF(ISERROR(VLOOKUP(B2955,vylosovanie!$N$75:$Q$191,3,0))=TRUE," ",VLOOKUP(B2955,vylosovanie!$N$75:$Q$191,4,0))</f>
        <v>PEKOVÁ Zuzana</v>
      </c>
      <c r="J2956" s="488"/>
      <c r="K2956" s="488"/>
      <c r="L2956" s="488"/>
      <c r="M2956" s="263"/>
      <c r="N2956" s="490"/>
      <c r="O2956" s="490"/>
      <c r="P2956" s="490"/>
      <c r="Q2956" s="490"/>
      <c r="R2956" s="490"/>
      <c r="S2956" s="492"/>
      <c r="T2956" s="492"/>
      <c r="U2956" s="263"/>
      <c r="V2956" s="493"/>
      <c r="W2956" s="267"/>
      <c r="X2956" s="263"/>
      <c r="AZ2956" s="269" t="s">
        <v>40</v>
      </c>
      <c r="BA2956" s="269">
        <v>5</v>
      </c>
    </row>
    <row r="2957" spans="1:53" ht="39.950000000000003" customHeight="1">
      <c r="C2957" s="223"/>
      <c r="D2957" s="223"/>
      <c r="E2957" s="264" t="s">
        <v>66</v>
      </c>
      <c r="F2957" s="265" t="s">
        <v>316</v>
      </c>
      <c r="G2957" s="263"/>
      <c r="H2957" s="263"/>
      <c r="I2957" s="263"/>
      <c r="J2957" s="263"/>
      <c r="K2957" s="263"/>
      <c r="L2957" s="263"/>
      <c r="M2957" s="263"/>
      <c r="N2957" s="263"/>
      <c r="O2957" s="263"/>
      <c r="P2957" s="263"/>
      <c r="Q2957" s="263"/>
      <c r="R2957" s="263"/>
      <c r="S2957" s="263"/>
      <c r="T2957" s="263"/>
      <c r="U2957" s="263"/>
      <c r="V2957" s="263"/>
      <c r="W2957" s="267"/>
      <c r="X2957" s="263"/>
      <c r="AZ2957" s="269" t="s">
        <v>41</v>
      </c>
      <c r="BA2957" s="269">
        <v>6</v>
      </c>
    </row>
    <row r="2958" spans="1:53" ht="39.950000000000003" customHeight="1">
      <c r="C2958" s="223"/>
      <c r="D2958" s="223"/>
      <c r="E2958" s="271"/>
      <c r="F2958" s="272"/>
      <c r="G2958" s="263"/>
      <c r="H2958" s="263"/>
      <c r="I2958" s="263" t="s">
        <v>32</v>
      </c>
      <c r="J2958" s="263"/>
      <c r="K2958" s="263"/>
      <c r="L2958" s="263"/>
      <c r="M2958" s="263"/>
      <c r="N2958" s="273"/>
      <c r="O2958" s="266"/>
      <c r="P2958" s="266" t="s">
        <v>34</v>
      </c>
      <c r="Q2958" s="266"/>
      <c r="R2958" s="266"/>
      <c r="S2958" s="266"/>
      <c r="T2958" s="266"/>
      <c r="U2958" s="263"/>
      <c r="V2958" s="263"/>
      <c r="W2958" s="267"/>
      <c r="X2958" s="263"/>
      <c r="AZ2958" s="269" t="s">
        <v>42</v>
      </c>
      <c r="BA2958" s="269">
        <v>7</v>
      </c>
    </row>
    <row r="2959" spans="1:53" ht="39.950000000000003" customHeight="1">
      <c r="E2959" s="264" t="s">
        <v>26</v>
      </c>
      <c r="F2959" s="265" t="s">
        <v>128</v>
      </c>
      <c r="G2959" s="263"/>
      <c r="H2959" s="263"/>
      <c r="I2959" s="486"/>
      <c r="J2959" s="486"/>
      <c r="K2959" s="486"/>
      <c r="L2959" s="486"/>
      <c r="M2959" s="263"/>
      <c r="N2959" s="483" t="str">
        <f>IF(V2952&gt;V2955,I2952,IF(V2955&gt;V2952,I2955,""))</f>
        <v>PINDURA Tobiáš</v>
      </c>
      <c r="O2959" s="494"/>
      <c r="P2959" s="494"/>
      <c r="Q2959" s="494"/>
      <c r="R2959" s="494"/>
      <c r="S2959" s="495"/>
      <c r="T2959" s="263"/>
      <c r="U2959" s="263"/>
      <c r="V2959" s="263"/>
      <c r="W2959" s="267"/>
      <c r="X2959" s="263"/>
      <c r="AZ2959" s="269" t="s">
        <v>43</v>
      </c>
      <c r="BA2959" s="269">
        <v>8</v>
      </c>
    </row>
    <row r="2960" spans="1:53" ht="39.950000000000003" customHeight="1">
      <c r="E2960" s="271"/>
      <c r="F2960" s="272"/>
      <c r="G2960" s="263"/>
      <c r="H2960" s="263"/>
      <c r="I2960" s="486"/>
      <c r="J2960" s="486"/>
      <c r="K2960" s="486"/>
      <c r="L2960" s="486"/>
      <c r="M2960" s="263"/>
      <c r="N2960" s="483" t="str">
        <f>IF(V2952&gt;V2955,I2953,IF(V2955&gt;V2952,I2956,""))</f>
        <v>ŠINKAROVÁ Dáša</v>
      </c>
      <c r="O2960" s="494"/>
      <c r="P2960" s="494"/>
      <c r="Q2960" s="494"/>
      <c r="R2960" s="494"/>
      <c r="S2960" s="495"/>
      <c r="T2960" s="263"/>
      <c r="U2960" s="263"/>
      <c r="V2960" s="263"/>
      <c r="W2960" s="267"/>
      <c r="X2960" s="263"/>
    </row>
    <row r="2961" spans="1:53" ht="39.950000000000003" customHeight="1">
      <c r="E2961" s="264" t="s">
        <v>27</v>
      </c>
      <c r="F2961" s="274" t="s">
        <v>364</v>
      </c>
      <c r="G2961" s="263"/>
      <c r="H2961" s="263"/>
      <c r="I2961" s="263"/>
      <c r="J2961" s="263"/>
      <c r="K2961" s="263"/>
      <c r="L2961" s="263"/>
      <c r="M2961" s="263"/>
      <c r="N2961" s="263"/>
      <c r="O2961" s="263"/>
      <c r="P2961" s="263"/>
      <c r="Q2961" s="263"/>
      <c r="R2961" s="263"/>
      <c r="S2961" s="263"/>
      <c r="T2961" s="263"/>
      <c r="U2961" s="263"/>
      <c r="V2961" s="263"/>
      <c r="W2961" s="267"/>
      <c r="X2961" s="263"/>
    </row>
    <row r="2962" spans="1:53" ht="39.950000000000003" customHeight="1">
      <c r="E2962" s="271"/>
      <c r="F2962" s="272"/>
      <c r="G2962" s="263"/>
      <c r="H2962" s="263" t="s">
        <v>33</v>
      </c>
      <c r="I2962" s="263"/>
      <c r="J2962" s="263"/>
      <c r="K2962" s="263"/>
      <c r="L2962" s="263"/>
      <c r="M2962" s="263"/>
      <c r="N2962" s="263"/>
      <c r="O2962" s="263"/>
      <c r="P2962" s="263"/>
      <c r="Q2962" s="263"/>
      <c r="R2962" s="263"/>
      <c r="S2962" s="263"/>
      <c r="T2962" s="263"/>
      <c r="U2962" s="263"/>
      <c r="V2962" s="263"/>
      <c r="W2962" s="267"/>
      <c r="X2962" s="263"/>
    </row>
    <row r="2963" spans="1:53" ht="39.950000000000003" customHeight="1">
      <c r="E2963" s="271"/>
      <c r="F2963" s="272"/>
      <c r="G2963" s="263"/>
      <c r="H2963" s="263"/>
      <c r="I2963" s="263"/>
      <c r="J2963" s="263"/>
      <c r="K2963" s="263"/>
      <c r="L2963" s="263"/>
      <c r="M2963" s="263"/>
      <c r="N2963" s="263"/>
      <c r="O2963" s="263"/>
      <c r="P2963" s="263"/>
      <c r="Q2963" s="263"/>
      <c r="R2963" s="263"/>
      <c r="S2963" s="263"/>
      <c r="T2963" s="263"/>
      <c r="U2963" s="263"/>
      <c r="V2963" s="263"/>
      <c r="W2963" s="267"/>
      <c r="X2963" s="263"/>
    </row>
    <row r="2964" spans="1:53" ht="39.950000000000003" customHeight="1">
      <c r="E2964" s="271"/>
      <c r="F2964" s="272"/>
      <c r="G2964" s="263"/>
      <c r="H2964" s="263"/>
      <c r="I2964" s="496" t="str">
        <f>I2952</f>
        <v>PINDURA Tobiáš</v>
      </c>
      <c r="J2964" s="496"/>
      <c r="K2964" s="496"/>
      <c r="L2964" s="496"/>
      <c r="M2964" s="263"/>
      <c r="N2964" s="263"/>
      <c r="P2964" s="496" t="str">
        <f>I2955</f>
        <v>DIKO Dalibor</v>
      </c>
      <c r="Q2964" s="496"/>
      <c r="R2964" s="496"/>
      <c r="S2964" s="496"/>
      <c r="T2964" s="497"/>
      <c r="U2964" s="497"/>
      <c r="V2964" s="263"/>
      <c r="W2964" s="267"/>
      <c r="X2964" s="263"/>
    </row>
    <row r="2965" spans="1:53" ht="39.950000000000003" customHeight="1">
      <c r="E2965" s="271"/>
      <c r="F2965" s="272"/>
      <c r="G2965" s="263"/>
      <c r="H2965" s="263"/>
      <c r="I2965" s="496" t="str">
        <f>I2953</f>
        <v>ŠINKAROVÁ Dáša</v>
      </c>
      <c r="J2965" s="496"/>
      <c r="K2965" s="496"/>
      <c r="L2965" s="496"/>
      <c r="M2965" s="263"/>
      <c r="N2965" s="263"/>
      <c r="O2965" s="263"/>
      <c r="P2965" s="496" t="str">
        <f>I2956</f>
        <v>PEKOVÁ Zuzana</v>
      </c>
      <c r="Q2965" s="496"/>
      <c r="R2965" s="496"/>
      <c r="S2965" s="496"/>
      <c r="T2965" s="497"/>
      <c r="U2965" s="497"/>
      <c r="V2965" s="263"/>
      <c r="W2965" s="267"/>
      <c r="X2965" s="263"/>
    </row>
    <row r="2966" spans="1:53" ht="69.95" customHeight="1">
      <c r="E2966" s="264"/>
      <c r="F2966" s="265"/>
      <c r="G2966" s="263"/>
      <c r="H2966" s="275" t="s">
        <v>36</v>
      </c>
      <c r="I2966" s="483"/>
      <c r="J2966" s="484"/>
      <c r="K2966" s="484"/>
      <c r="L2966" s="485"/>
      <c r="M2966" s="263"/>
      <c r="N2966" s="263"/>
      <c r="O2966" s="275" t="s">
        <v>36</v>
      </c>
      <c r="P2966" s="486"/>
      <c r="Q2966" s="486"/>
      <c r="R2966" s="486"/>
      <c r="S2966" s="486"/>
      <c r="T2966" s="486"/>
      <c r="U2966" s="486"/>
      <c r="V2966" s="263"/>
      <c r="W2966" s="267"/>
      <c r="X2966" s="263"/>
    </row>
    <row r="2967" spans="1:53" ht="69.95" customHeight="1">
      <c r="E2967" s="264"/>
      <c r="F2967" s="265"/>
      <c r="G2967" s="263"/>
      <c r="H2967" s="275" t="s">
        <v>37</v>
      </c>
      <c r="I2967" s="486"/>
      <c r="J2967" s="486"/>
      <c r="K2967" s="486"/>
      <c r="L2967" s="486"/>
      <c r="M2967" s="263"/>
      <c r="N2967" s="263"/>
      <c r="O2967" s="275" t="s">
        <v>37</v>
      </c>
      <c r="P2967" s="486"/>
      <c r="Q2967" s="486"/>
      <c r="R2967" s="486"/>
      <c r="S2967" s="486"/>
      <c r="T2967" s="486"/>
      <c r="U2967" s="486"/>
      <c r="V2967" s="263"/>
      <c r="W2967" s="267"/>
      <c r="X2967" s="263"/>
    </row>
    <row r="2968" spans="1:53" ht="69.95" customHeight="1">
      <c r="E2968" s="264"/>
      <c r="F2968" s="265"/>
      <c r="G2968" s="263"/>
      <c r="H2968" s="275" t="s">
        <v>37</v>
      </c>
      <c r="I2968" s="486"/>
      <c r="J2968" s="486"/>
      <c r="K2968" s="486"/>
      <c r="L2968" s="486"/>
      <c r="M2968" s="263"/>
      <c r="N2968" s="263"/>
      <c r="O2968" s="275" t="s">
        <v>37</v>
      </c>
      <c r="P2968" s="486"/>
      <c r="Q2968" s="486"/>
      <c r="R2968" s="486"/>
      <c r="S2968" s="486"/>
      <c r="T2968" s="486"/>
      <c r="U2968" s="486"/>
      <c r="V2968" s="263"/>
      <c r="W2968" s="267"/>
      <c r="X2968" s="263"/>
    </row>
    <row r="2969" spans="1:53" ht="39.950000000000003" customHeight="1" thickBot="1">
      <c r="E2969" s="276"/>
      <c r="F2969" s="277"/>
      <c r="G2969" s="278"/>
      <c r="H2969" s="278"/>
      <c r="I2969" s="278"/>
      <c r="J2969" s="278"/>
      <c r="K2969" s="278"/>
      <c r="L2969" s="278"/>
      <c r="M2969" s="278"/>
      <c r="N2969" s="278"/>
      <c r="O2969" s="278"/>
      <c r="P2969" s="278"/>
      <c r="Q2969" s="278"/>
      <c r="R2969" s="278"/>
      <c r="S2969" s="278"/>
      <c r="T2969" s="279"/>
      <c r="U2969" s="279"/>
      <c r="V2969" s="279"/>
      <c r="W2969" s="280"/>
      <c r="X2969" s="263"/>
    </row>
    <row r="2970" spans="1:53" ht="62.25" thickBot="1"/>
    <row r="2971" spans="1:53" ht="39.950000000000003" customHeight="1">
      <c r="A2971" s="252" t="str">
        <f>CONCATENATE(F2978,F2980,F2982)</f>
        <v>CHP15</v>
      </c>
      <c r="E2971" s="259" t="s">
        <v>70</v>
      </c>
      <c r="F2971" s="260">
        <f>VLOOKUP(CONCATENATE(A2971,1),'zoznam zapasov'!$A$6:$K$160,3,0)</f>
        <v>147</v>
      </c>
      <c r="G2971" s="261"/>
      <c r="H2971" s="322" t="s">
        <v>501</v>
      </c>
      <c r="I2971" s="261"/>
      <c r="J2971" s="261"/>
      <c r="K2971" s="261"/>
      <c r="L2971" s="261" t="s">
        <v>543</v>
      </c>
      <c r="M2971" s="261"/>
      <c r="N2971" s="261"/>
      <c r="O2971" s="261"/>
      <c r="P2971" s="261"/>
      <c r="Q2971" s="261"/>
      <c r="R2971" s="261"/>
      <c r="S2971" s="261"/>
      <c r="T2971" s="261"/>
      <c r="U2971" s="261"/>
      <c r="V2971" s="261" t="s">
        <v>30</v>
      </c>
      <c r="W2971" s="262"/>
      <c r="X2971" s="263"/>
      <c r="Y2971" s="253" t="str">
        <f>A2973</f>
        <v>CHP151</v>
      </c>
      <c r="Z2971" s="258" t="str">
        <f>CONCATENATE(V2973,":",V2976)</f>
        <v>2:3</v>
      </c>
      <c r="AA2971" s="255" t="str">
        <f>N2980</f>
        <v>PINDURA Tobiáš</v>
      </c>
      <c r="AB2971" s="255" t="str">
        <f>IF(V2973&gt;V2976,AV2971,IF(V2976&gt;V2973,AV2972,""))</f>
        <v xml:space="preserve">3:2 ( -4,-8,8,8,11,, ) </v>
      </c>
      <c r="AC2971" s="255" t="str">
        <f>CONCATENATE("Tbl.: ",F2973,"   H: ",F2976,"   D: ",F2975)</f>
        <v>Tbl.: 1   H: 11.00   D: Ne</v>
      </c>
      <c r="AE2971" s="253" t="s">
        <v>11</v>
      </c>
      <c r="AV2971" s="256" t="str">
        <f>CONCATENATE(V2973,":",V2976, " ( ",AN2973,",",AO2973,",",AP2973,",",AQ2973,",",AR2973,",",AS2973,",",AT2973," ) ")</f>
        <v xml:space="preserve">2:3 ( 4,8,-8,-8,-11,, ) </v>
      </c>
    </row>
    <row r="2972" spans="1:53" ht="39.950000000000003" customHeight="1">
      <c r="E2972" s="264"/>
      <c r="F2972" s="265"/>
      <c r="G2972" s="321" t="s">
        <v>500</v>
      </c>
      <c r="H2972" s="323" t="s">
        <v>502</v>
      </c>
      <c r="I2972" s="263"/>
      <c r="J2972" s="263"/>
      <c r="K2972" s="263"/>
      <c r="L2972" s="263"/>
      <c r="M2972" s="263"/>
      <c r="N2972" s="266">
        <v>1</v>
      </c>
      <c r="O2972" s="266">
        <v>2</v>
      </c>
      <c r="P2972" s="266">
        <v>3</v>
      </c>
      <c r="Q2972" s="266">
        <v>4</v>
      </c>
      <c r="R2972" s="266">
        <v>5</v>
      </c>
      <c r="S2972" s="266">
        <v>6</v>
      </c>
      <c r="T2972" s="266">
        <v>7</v>
      </c>
      <c r="U2972" s="263"/>
      <c r="V2972" s="266" t="s">
        <v>31</v>
      </c>
      <c r="W2972" s="267"/>
      <c r="X2972" s="263"/>
      <c r="AE2972" s="253" t="s">
        <v>68</v>
      </c>
      <c r="AV2972" s="256" t="str">
        <f>CONCATENATE(V2976,":",V2973, " ( ",AN2974,",",AO2974,",",AP2974,",",AQ2974,",",AR2974,",",AS2974,",",AT2974," ) ")</f>
        <v xml:space="preserve">3:2 ( -4,-8,8,8,11,, ) </v>
      </c>
    </row>
    <row r="2973" spans="1:53" ht="39.950000000000003" customHeight="1">
      <c r="A2973" s="252" t="str">
        <f>CONCATENATE(A2971,1)</f>
        <v>CHP151</v>
      </c>
      <c r="E2973" s="264" t="s">
        <v>29</v>
      </c>
      <c r="F2973" s="265">
        <f>VLOOKUP(CONCATENATE(A2971,1),'zoznam zapasov'!$A$6:$K$160,11,0)</f>
        <v>1</v>
      </c>
      <c r="G2973" s="508"/>
      <c r="H2973" s="495"/>
      <c r="I2973" s="487" t="str">
        <f>IF(ISERROR(VLOOKUP(A2973,'KO KODY SPOLU'!$A$3:$B$189,2,0))=TRUE,"",VLOOKUP(A2973,'KO KODY SPOLU'!$A$3:$B$189,2,0))</f>
        <v>DIKO Dalibor</v>
      </c>
      <c r="J2973" s="487"/>
      <c r="K2973" s="487"/>
      <c r="L2973" s="487"/>
      <c r="M2973" s="263"/>
      <c r="N2973" s="489">
        <v>11</v>
      </c>
      <c r="O2973" s="489">
        <v>11</v>
      </c>
      <c r="P2973" s="489">
        <v>8</v>
      </c>
      <c r="Q2973" s="489">
        <v>8</v>
      </c>
      <c r="R2973" s="489">
        <v>11</v>
      </c>
      <c r="S2973" s="489"/>
      <c r="T2973" s="489"/>
      <c r="U2973" s="263"/>
      <c r="V2973" s="493">
        <f>IF(SUM(AF2973:AL2974)=0,"",SUM(AF2973:AL2973))</f>
        <v>2</v>
      </c>
      <c r="W2973" s="267"/>
      <c r="X2973" s="263"/>
      <c r="AE2973" s="253" t="str">
        <f>VLOOKUP(I2973,vylosovanie!$F$8:$L$190,7,0)</f>
        <v>CH11</v>
      </c>
      <c r="AF2973" s="268">
        <f>IF(N2973&gt;N2976,1,0)</f>
        <v>1</v>
      </c>
      <c r="AG2973" s="268">
        <f t="shared" ref="AG2973" si="2922">IF(O2973&gt;O2976,1,0)</f>
        <v>1</v>
      </c>
      <c r="AH2973" s="268">
        <f t="shared" ref="AH2973" si="2923">IF(P2973&gt;P2976,1,0)</f>
        <v>0</v>
      </c>
      <c r="AI2973" s="268">
        <f t="shared" ref="AI2973" si="2924">IF(Q2973&gt;Q2976,1,0)</f>
        <v>0</v>
      </c>
      <c r="AJ2973" s="268">
        <f t="shared" ref="AJ2973" si="2925">IF(R2973&gt;R2976,1,0)</f>
        <v>0</v>
      </c>
      <c r="AK2973" s="268">
        <f t="shared" ref="AK2973" si="2926">IF(S2973&gt;S2976,1,0)</f>
        <v>0</v>
      </c>
      <c r="AL2973" s="268">
        <f t="shared" ref="AL2973" si="2927">IF(T2973&gt;T2976,1,0)</f>
        <v>0</v>
      </c>
      <c r="AN2973" s="268">
        <f t="shared" ref="AN2973" si="2928">IF(ISBLANK(N2973)=TRUE,"",IF(AF2973=1,N2976,-N2973))</f>
        <v>4</v>
      </c>
      <c r="AO2973" s="268">
        <f t="shared" ref="AO2973" si="2929">IF(ISBLANK(O2973)=TRUE,"",IF(AG2973=1,O2976,-O2973))</f>
        <v>8</v>
      </c>
      <c r="AP2973" s="268">
        <f t="shared" ref="AP2973" si="2930">IF(ISBLANK(P2973)=TRUE,"",IF(AH2973=1,P2976,-P2973))</f>
        <v>-8</v>
      </c>
      <c r="AQ2973" s="268">
        <f t="shared" ref="AQ2973" si="2931">IF(ISBLANK(Q2973)=TRUE,"",IF(AI2973=1,Q2976,-Q2973))</f>
        <v>-8</v>
      </c>
      <c r="AR2973" s="268">
        <f t="shared" ref="AR2973" si="2932">IF(ISBLANK(R2973)=TRUE,"",IF(AJ2973=1,R2976,-R2973))</f>
        <v>-11</v>
      </c>
      <c r="AS2973" s="268" t="str">
        <f t="shared" ref="AS2973" si="2933">IF(ISBLANK(S2973)=TRUE,"",IF(AK2973=1,S2976,-S2973))</f>
        <v/>
      </c>
      <c r="AT2973" s="268" t="str">
        <f t="shared" ref="AT2973" si="2934">IF(ISBLANK(T2973)=TRUE,"",IF(AL2973=1,T2976,-T2973))</f>
        <v/>
      </c>
      <c r="AZ2973" s="269" t="s">
        <v>12</v>
      </c>
      <c r="BA2973" s="269">
        <v>1</v>
      </c>
    </row>
    <row r="2974" spans="1:53" ht="39.950000000000003" customHeight="1">
      <c r="E2974" s="264"/>
      <c r="F2974" s="265"/>
      <c r="G2974" s="509"/>
      <c r="H2974" s="495"/>
      <c r="I2974" s="487"/>
      <c r="J2974" s="487"/>
      <c r="K2974" s="487"/>
      <c r="L2974" s="487"/>
      <c r="M2974" s="263"/>
      <c r="N2974" s="490"/>
      <c r="O2974" s="490"/>
      <c r="P2974" s="490"/>
      <c r="Q2974" s="490"/>
      <c r="R2974" s="490"/>
      <c r="S2974" s="490"/>
      <c r="T2974" s="490"/>
      <c r="U2974" s="263"/>
      <c r="V2974" s="493"/>
      <c r="W2974" s="267"/>
      <c r="X2974" s="263"/>
      <c r="AE2974" s="253" t="str">
        <f>VLOOKUP(I2976,vylosovanie!$F$8:$L$190,7,0)</f>
        <v>CH41</v>
      </c>
      <c r="AF2974" s="268">
        <f>IF(N2976&gt;N2973,1,0)</f>
        <v>0</v>
      </c>
      <c r="AG2974" s="268">
        <f t="shared" ref="AG2974" si="2935">IF(O2976&gt;O2973,1,0)</f>
        <v>0</v>
      </c>
      <c r="AH2974" s="268">
        <f t="shared" ref="AH2974" si="2936">IF(P2976&gt;P2973,1,0)</f>
        <v>1</v>
      </c>
      <c r="AI2974" s="268">
        <f t="shared" ref="AI2974" si="2937">IF(Q2976&gt;Q2973,1,0)</f>
        <v>1</v>
      </c>
      <c r="AJ2974" s="268">
        <f t="shared" ref="AJ2974" si="2938">IF(R2976&gt;R2973,1,0)</f>
        <v>1</v>
      </c>
      <c r="AK2974" s="268">
        <f t="shared" ref="AK2974" si="2939">IF(S2976&gt;S2973,1,0)</f>
        <v>0</v>
      </c>
      <c r="AL2974" s="268">
        <f t="shared" ref="AL2974" si="2940">IF(T2976&gt;T2973,1,0)</f>
        <v>0</v>
      </c>
      <c r="AN2974" s="268">
        <f t="shared" ref="AN2974" si="2941">IF(ISBLANK(N2976)=TRUE,"",IF(AF2974=1,N2973,-N2976))</f>
        <v>-4</v>
      </c>
      <c r="AO2974" s="268">
        <f t="shared" ref="AO2974" si="2942">IF(ISBLANK(O2976)=TRUE,"",IF(AG2974=1,O2973,-O2976))</f>
        <v>-8</v>
      </c>
      <c r="AP2974" s="268">
        <f t="shared" ref="AP2974" si="2943">IF(ISBLANK(P2976)=TRUE,"",IF(AH2974=1,P2973,-P2976))</f>
        <v>8</v>
      </c>
      <c r="AQ2974" s="268">
        <f t="shared" ref="AQ2974" si="2944">IF(ISBLANK(Q2976)=TRUE,"",IF(AI2974=1,Q2973,-Q2976))</f>
        <v>8</v>
      </c>
      <c r="AR2974" s="268">
        <f t="shared" ref="AR2974" si="2945">IF(ISBLANK(R2976)=TRUE,"",IF(AJ2974=1,R2973,-R2976))</f>
        <v>11</v>
      </c>
      <c r="AS2974" s="268" t="str">
        <f t="shared" ref="AS2974" si="2946">IF(ISBLANK(S2976)=TRUE,"",IF(AK2974=1,S2973,-S2976))</f>
        <v/>
      </c>
      <c r="AT2974" s="268" t="str">
        <f t="shared" ref="AT2974" si="2947">IF(ISBLANK(T2976)=TRUE,"",IF(AL2974=1,T2973,-T2976))</f>
        <v/>
      </c>
      <c r="AZ2974" s="269" t="s">
        <v>18</v>
      </c>
      <c r="BA2974" s="269">
        <v>2</v>
      </c>
    </row>
    <row r="2975" spans="1:53" ht="39.950000000000003" customHeight="1">
      <c r="E2975" s="264" t="s">
        <v>35</v>
      </c>
      <c r="F2975" s="265" t="str">
        <f>VLOOKUP(CONCATENATE(A2971,1),'zoznam zapasov'!$A$6:$K$160,9,0)</f>
        <v>Ne</v>
      </c>
      <c r="G2975" s="263"/>
      <c r="H2975" s="263"/>
      <c r="I2975" s="263"/>
      <c r="J2975" s="263"/>
      <c r="K2975" s="263"/>
      <c r="L2975" s="263"/>
      <c r="M2975" s="263"/>
      <c r="N2975" s="263"/>
      <c r="O2975" s="263"/>
      <c r="P2975" s="263"/>
      <c r="Q2975" s="263"/>
      <c r="R2975" s="263"/>
      <c r="S2975" s="263"/>
      <c r="T2975" s="263"/>
      <c r="U2975" s="263"/>
      <c r="V2975" s="263"/>
      <c r="W2975" s="267"/>
      <c r="X2975" s="263"/>
      <c r="AZ2975" s="269" t="s">
        <v>38</v>
      </c>
      <c r="BA2975" s="269">
        <v>3</v>
      </c>
    </row>
    <row r="2976" spans="1:53" ht="39.950000000000003" customHeight="1">
      <c r="A2976" s="252" t="str">
        <f>CONCATENATE(A2971,2)</f>
        <v>CHP152</v>
      </c>
      <c r="E2976" s="264" t="s">
        <v>28</v>
      </c>
      <c r="F2976" s="270" t="str">
        <f>VLOOKUP(CONCATENATE(A2971,1),'zoznam zapasov'!$A$6:$K$160,10,0)</f>
        <v>11.00</v>
      </c>
      <c r="G2976" s="508"/>
      <c r="H2976" s="486"/>
      <c r="I2976" s="487" t="str">
        <f>IF(ISERROR(VLOOKUP(A2976,'KO KODY SPOLU'!$A$3:$B$189,2,0))=TRUE,"",VLOOKUP(A2976,'KO KODY SPOLU'!$A$3:$B$189,2,0))</f>
        <v>PINDURA Tobiáš</v>
      </c>
      <c r="J2976" s="487"/>
      <c r="K2976" s="487"/>
      <c r="L2976" s="487"/>
      <c r="M2976" s="263"/>
      <c r="N2976" s="489">
        <v>4</v>
      </c>
      <c r="O2976" s="489">
        <v>8</v>
      </c>
      <c r="P2976" s="489">
        <v>11</v>
      </c>
      <c r="Q2976" s="489">
        <v>11</v>
      </c>
      <c r="R2976" s="489">
        <v>13</v>
      </c>
      <c r="S2976" s="489"/>
      <c r="T2976" s="489"/>
      <c r="U2976" s="263"/>
      <c r="V2976" s="493">
        <f>IF(SUM(AF2973:AL2974)=0,"",SUM(AF2974:AL2974))</f>
        <v>3</v>
      </c>
      <c r="W2976" s="267"/>
      <c r="X2976" s="263"/>
      <c r="AZ2976" s="269" t="s">
        <v>39</v>
      </c>
      <c r="BA2976" s="269">
        <v>4</v>
      </c>
    </row>
    <row r="2977" spans="1:53" ht="39.950000000000003" customHeight="1">
      <c r="E2977" s="271"/>
      <c r="F2977" s="272"/>
      <c r="G2977" s="509"/>
      <c r="H2977" s="486"/>
      <c r="I2977" s="487"/>
      <c r="J2977" s="487"/>
      <c r="K2977" s="487"/>
      <c r="L2977" s="487"/>
      <c r="M2977" s="263"/>
      <c r="N2977" s="490"/>
      <c r="O2977" s="490"/>
      <c r="P2977" s="490"/>
      <c r="Q2977" s="490"/>
      <c r="R2977" s="490"/>
      <c r="S2977" s="490"/>
      <c r="T2977" s="490"/>
      <c r="U2977" s="263"/>
      <c r="V2977" s="493"/>
      <c r="W2977" s="267"/>
      <c r="X2977" s="263"/>
      <c r="AZ2977" s="269" t="s">
        <v>40</v>
      </c>
      <c r="BA2977" s="269">
        <v>5</v>
      </c>
    </row>
    <row r="2978" spans="1:53" ht="39.950000000000003" customHeight="1">
      <c r="E2978" s="264" t="s">
        <v>66</v>
      </c>
      <c r="F2978" s="265" t="s">
        <v>65</v>
      </c>
      <c r="G2978" s="263"/>
      <c r="H2978" s="263"/>
      <c r="I2978" s="263"/>
      <c r="J2978" s="263"/>
      <c r="K2978" s="263"/>
      <c r="L2978" s="263"/>
      <c r="M2978" s="263"/>
      <c r="N2978" s="263"/>
      <c r="O2978" s="263"/>
      <c r="P2978" s="263"/>
      <c r="Q2978" s="263"/>
      <c r="R2978" s="263"/>
      <c r="S2978" s="263"/>
      <c r="T2978" s="263"/>
      <c r="U2978" s="263"/>
      <c r="V2978" s="263"/>
      <c r="W2978" s="267"/>
      <c r="X2978" s="263"/>
      <c r="AZ2978" s="269" t="s">
        <v>41</v>
      </c>
      <c r="BA2978" s="269">
        <v>6</v>
      </c>
    </row>
    <row r="2979" spans="1:53" ht="39.950000000000003" customHeight="1">
      <c r="E2979" s="271"/>
      <c r="F2979" s="272"/>
      <c r="G2979" s="263"/>
      <c r="H2979" s="263"/>
      <c r="I2979" s="263" t="s">
        <v>32</v>
      </c>
      <c r="J2979" s="263"/>
      <c r="K2979" s="263"/>
      <c r="L2979" s="263"/>
      <c r="M2979" s="263"/>
      <c r="N2979" s="273"/>
      <c r="O2979" s="266"/>
      <c r="P2979" s="266" t="s">
        <v>34</v>
      </c>
      <c r="Q2979" s="266"/>
      <c r="R2979" s="266"/>
      <c r="S2979" s="266"/>
      <c r="T2979" s="266"/>
      <c r="U2979" s="263"/>
      <c r="V2979" s="263"/>
      <c r="W2979" s="267"/>
      <c r="X2979" s="263"/>
      <c r="AZ2979" s="269" t="s">
        <v>42</v>
      </c>
      <c r="BA2979" s="269">
        <v>7</v>
      </c>
    </row>
    <row r="2980" spans="1:53" ht="39.950000000000003" customHeight="1">
      <c r="E2980" s="264" t="s">
        <v>26</v>
      </c>
      <c r="F2980" s="265" t="s">
        <v>128</v>
      </c>
      <c r="G2980" s="263"/>
      <c r="H2980" s="263"/>
      <c r="I2980" s="486"/>
      <c r="J2980" s="486"/>
      <c r="K2980" s="486"/>
      <c r="L2980" s="486"/>
      <c r="M2980" s="263"/>
      <c r="N2980" s="486" t="str">
        <f>IF(V2973&gt;V2976,I2973,IF(V2976&gt;V2973,I2976,""))</f>
        <v>PINDURA Tobiáš</v>
      </c>
      <c r="O2980" s="486"/>
      <c r="P2980" s="486"/>
      <c r="Q2980" s="486"/>
      <c r="R2980" s="486"/>
      <c r="S2980" s="486"/>
      <c r="T2980" s="263"/>
      <c r="U2980" s="263"/>
      <c r="V2980" s="263"/>
      <c r="W2980" s="267"/>
      <c r="X2980" s="263"/>
      <c r="AZ2980" s="269" t="s">
        <v>43</v>
      </c>
      <c r="BA2980" s="269">
        <v>8</v>
      </c>
    </row>
    <row r="2981" spans="1:53" ht="39.950000000000003" customHeight="1">
      <c r="E2981" s="271"/>
      <c r="F2981" s="272"/>
      <c r="G2981" s="263"/>
      <c r="H2981" s="263"/>
      <c r="I2981" s="486"/>
      <c r="J2981" s="486"/>
      <c r="K2981" s="486"/>
      <c r="L2981" s="486"/>
      <c r="M2981" s="263"/>
      <c r="N2981" s="486"/>
      <c r="O2981" s="486"/>
      <c r="P2981" s="486"/>
      <c r="Q2981" s="486"/>
      <c r="R2981" s="486"/>
      <c r="S2981" s="486"/>
      <c r="T2981" s="263"/>
      <c r="U2981" s="263"/>
      <c r="V2981" s="263"/>
      <c r="W2981" s="267"/>
      <c r="X2981" s="263"/>
    </row>
    <row r="2982" spans="1:53" ht="39.950000000000003" customHeight="1">
      <c r="E2982" s="264" t="s">
        <v>27</v>
      </c>
      <c r="F2982" s="274" t="s">
        <v>354</v>
      </c>
      <c r="G2982" s="263"/>
      <c r="H2982" s="263"/>
      <c r="I2982" s="263"/>
      <c r="J2982" s="263"/>
      <c r="K2982" s="263"/>
      <c r="L2982" s="263"/>
      <c r="M2982" s="263"/>
      <c r="N2982" s="263"/>
      <c r="O2982" s="263"/>
      <c r="P2982" s="263"/>
      <c r="Q2982" s="263"/>
      <c r="R2982" s="263"/>
      <c r="S2982" s="263"/>
      <c r="T2982" s="263"/>
      <c r="U2982" s="263"/>
      <c r="V2982" s="263"/>
      <c r="W2982" s="267"/>
      <c r="X2982" s="263"/>
    </row>
    <row r="2983" spans="1:53" ht="39.950000000000003" customHeight="1">
      <c r="E2983" s="271"/>
      <c r="F2983" s="272"/>
      <c r="G2983" s="263"/>
      <c r="H2983" s="263" t="s">
        <v>33</v>
      </c>
      <c r="I2983" s="263"/>
      <c r="J2983" s="263"/>
      <c r="K2983" s="263"/>
      <c r="L2983" s="263"/>
      <c r="M2983" s="263"/>
      <c r="N2983" s="263"/>
      <c r="O2983" s="263"/>
      <c r="P2983" s="263"/>
      <c r="Q2983" s="263"/>
      <c r="R2983" s="263"/>
      <c r="S2983" s="263"/>
      <c r="T2983" s="263"/>
      <c r="U2983" s="263"/>
      <c r="V2983" s="263"/>
      <c r="W2983" s="267"/>
      <c r="X2983" s="263"/>
    </row>
    <row r="2984" spans="1:53" ht="39.950000000000003" customHeight="1">
      <c r="E2984" s="271"/>
      <c r="F2984" s="272"/>
      <c r="G2984" s="263"/>
      <c r="H2984" s="263"/>
      <c r="I2984" s="263"/>
      <c r="J2984" s="263"/>
      <c r="K2984" s="263"/>
      <c r="L2984" s="263"/>
      <c r="M2984" s="263"/>
      <c r="N2984" s="263"/>
      <c r="O2984" s="263"/>
      <c r="P2984" s="263"/>
      <c r="Q2984" s="263"/>
      <c r="R2984" s="263"/>
      <c r="S2984" s="263"/>
      <c r="T2984" s="263"/>
      <c r="U2984" s="263"/>
      <c r="V2984" s="263"/>
      <c r="W2984" s="267"/>
      <c r="X2984" s="263"/>
    </row>
    <row r="2985" spans="1:53" ht="39.950000000000003" customHeight="1">
      <c r="E2985" s="271"/>
      <c r="F2985" s="272"/>
      <c r="G2985" s="263"/>
      <c r="H2985" s="263"/>
      <c r="I2985" s="496" t="str">
        <f>I2973</f>
        <v>DIKO Dalibor</v>
      </c>
      <c r="J2985" s="496"/>
      <c r="K2985" s="496"/>
      <c r="L2985" s="496"/>
      <c r="M2985" s="263"/>
      <c r="N2985" s="263"/>
      <c r="O2985" s="263"/>
      <c r="P2985" s="496" t="str">
        <f>I2976</f>
        <v>PINDURA Tobiáš</v>
      </c>
      <c r="Q2985" s="496"/>
      <c r="R2985" s="496"/>
      <c r="S2985" s="496"/>
      <c r="T2985" s="497"/>
      <c r="U2985" s="497"/>
      <c r="V2985" s="263"/>
      <c r="W2985" s="267"/>
      <c r="X2985" s="263"/>
    </row>
    <row r="2986" spans="1:53" ht="69.95" customHeight="1">
      <c r="E2986" s="264"/>
      <c r="F2986" s="265"/>
      <c r="G2986" s="263"/>
      <c r="H2986" s="275" t="s">
        <v>36</v>
      </c>
      <c r="I2986" s="483"/>
      <c r="J2986" s="494"/>
      <c r="K2986" s="494"/>
      <c r="L2986" s="495"/>
      <c r="M2986" s="263"/>
      <c r="N2986" s="263"/>
      <c r="O2986" s="275" t="s">
        <v>36</v>
      </c>
      <c r="P2986" s="486"/>
      <c r="Q2986" s="486"/>
      <c r="R2986" s="486"/>
      <c r="S2986" s="486"/>
      <c r="T2986" s="486"/>
      <c r="U2986" s="486"/>
      <c r="V2986" s="263"/>
      <c r="W2986" s="267"/>
      <c r="X2986" s="263"/>
    </row>
    <row r="2987" spans="1:53" ht="69.95" customHeight="1">
      <c r="E2987" s="264"/>
      <c r="F2987" s="265"/>
      <c r="G2987" s="263"/>
      <c r="H2987" s="275" t="s">
        <v>37</v>
      </c>
      <c r="I2987" s="486"/>
      <c r="J2987" s="486"/>
      <c r="K2987" s="486"/>
      <c r="L2987" s="486"/>
      <c r="M2987" s="263"/>
      <c r="N2987" s="263"/>
      <c r="O2987" s="275" t="s">
        <v>37</v>
      </c>
      <c r="P2987" s="486"/>
      <c r="Q2987" s="486"/>
      <c r="R2987" s="486"/>
      <c r="S2987" s="486"/>
      <c r="T2987" s="486"/>
      <c r="U2987" s="486"/>
      <c r="V2987" s="263"/>
      <c r="W2987" s="267"/>
      <c r="X2987" s="263"/>
    </row>
    <row r="2988" spans="1:53" ht="69.95" customHeight="1">
      <c r="E2988" s="264"/>
      <c r="F2988" s="265"/>
      <c r="G2988" s="263"/>
      <c r="H2988" s="275" t="s">
        <v>37</v>
      </c>
      <c r="I2988" s="486"/>
      <c r="J2988" s="486"/>
      <c r="K2988" s="486"/>
      <c r="L2988" s="486"/>
      <c r="M2988" s="263"/>
      <c r="N2988" s="263"/>
      <c r="O2988" s="275" t="s">
        <v>37</v>
      </c>
      <c r="P2988" s="486"/>
      <c r="Q2988" s="486"/>
      <c r="R2988" s="486"/>
      <c r="S2988" s="486"/>
      <c r="T2988" s="486"/>
      <c r="U2988" s="486"/>
      <c r="V2988" s="263"/>
      <c r="W2988" s="267"/>
      <c r="X2988" s="263"/>
    </row>
    <row r="2989" spans="1:53" ht="39.950000000000003" customHeight="1" thickBot="1">
      <c r="E2989" s="276"/>
      <c r="F2989" s="277"/>
      <c r="G2989" s="278"/>
      <c r="H2989" s="278"/>
      <c r="I2989" s="278"/>
      <c r="J2989" s="278"/>
      <c r="K2989" s="278"/>
      <c r="L2989" s="278"/>
      <c r="M2989" s="278"/>
      <c r="N2989" s="278"/>
      <c r="O2989" s="278"/>
      <c r="P2989" s="278"/>
      <c r="Q2989" s="278"/>
      <c r="R2989" s="278"/>
      <c r="S2989" s="278"/>
      <c r="T2989" s="279"/>
      <c r="U2989" s="279"/>
      <c r="V2989" s="279"/>
      <c r="W2989" s="280"/>
      <c r="X2989" s="263"/>
    </row>
    <row r="2990" spans="1:53" ht="62.25" thickBot="1"/>
    <row r="2991" spans="1:53" ht="39.950000000000003" customHeight="1">
      <c r="A2991" s="252" t="str">
        <f>CONCATENATE(F2998,F3000,F3002)</f>
        <v>DP15</v>
      </c>
      <c r="E2991" s="259" t="s">
        <v>70</v>
      </c>
      <c r="F2991" s="260">
        <f>VLOOKUP(CONCATENATE(A2991,1),'zoznam zapasov'!$A$6:$K$160,3,0)</f>
        <v>148</v>
      </c>
      <c r="G2991" s="261"/>
      <c r="H2991" s="322" t="s">
        <v>501</v>
      </c>
      <c r="I2991" s="261"/>
      <c r="J2991" s="261"/>
      <c r="K2991" s="261"/>
      <c r="L2991" s="261" t="s">
        <v>544</v>
      </c>
      <c r="M2991" s="261"/>
      <c r="N2991" s="261"/>
      <c r="O2991" s="261"/>
      <c r="P2991" s="261"/>
      <c r="Q2991" s="261"/>
      <c r="R2991" s="261"/>
      <c r="S2991" s="261"/>
      <c r="T2991" s="261"/>
      <c r="U2991" s="261"/>
      <c r="V2991" s="261" t="s">
        <v>30</v>
      </c>
      <c r="W2991" s="262"/>
      <c r="X2991" s="263"/>
      <c r="Y2991" s="253" t="str">
        <f>A2993</f>
        <v>DP151</v>
      </c>
      <c r="Z2991" s="258" t="str">
        <f>CONCATENATE(V2993,":",V2996)</f>
        <v>3:0</v>
      </c>
      <c r="AA2991" s="255" t="str">
        <f>N3000</f>
        <v>LABOŠOVÁ Ema</v>
      </c>
      <c r="AB2991" s="255" t="str">
        <f>IF(V2993&gt;V2996,AV2991,IF(V2996&gt;V2993,AV2992,""))</f>
        <v xml:space="preserve">3:0 ( 8,7,10,,,, ) </v>
      </c>
      <c r="AC2991" s="255" t="str">
        <f>CONCATENATE("Tbl.: ",F2993,"   H: ",F2996,"   D: ",F2995)</f>
        <v>Tbl.: 2   H: 11.00   D: Ne</v>
      </c>
      <c r="AE2991" s="253" t="s">
        <v>11</v>
      </c>
      <c r="AV2991" s="256" t="str">
        <f>CONCATENATE(V2993,":",V2996, " ( ",AN2993,",",AO2993,",",AP2993,",",AQ2993,",",AR2993,",",AS2993,",",AT2993," ) ")</f>
        <v xml:space="preserve">3:0 ( 8,7,10,,,, ) </v>
      </c>
    </row>
    <row r="2992" spans="1:53" ht="39.950000000000003" customHeight="1">
      <c r="E2992" s="264"/>
      <c r="F2992" s="265"/>
      <c r="G2992" s="321" t="s">
        <v>500</v>
      </c>
      <c r="H2992" s="323" t="s">
        <v>502</v>
      </c>
      <c r="I2992" s="263"/>
      <c r="J2992" s="263"/>
      <c r="K2992" s="263"/>
      <c r="L2992" s="263"/>
      <c r="M2992" s="263"/>
      <c r="N2992" s="266">
        <v>1</v>
      </c>
      <c r="O2992" s="266">
        <v>2</v>
      </c>
      <c r="P2992" s="266">
        <v>3</v>
      </c>
      <c r="Q2992" s="266">
        <v>4</v>
      </c>
      <c r="R2992" s="266">
        <v>5</v>
      </c>
      <c r="S2992" s="266">
        <v>6</v>
      </c>
      <c r="T2992" s="266">
        <v>7</v>
      </c>
      <c r="U2992" s="263"/>
      <c r="V2992" s="266" t="s">
        <v>31</v>
      </c>
      <c r="W2992" s="267"/>
      <c r="X2992" s="263"/>
      <c r="AE2992" s="253" t="s">
        <v>68</v>
      </c>
      <c r="AV2992" s="256" t="str">
        <f>CONCATENATE(V2996,":",V2993, " ( ",AN2994,",",AO2994,",",AP2994,",",AQ2994,",",AR2994,",",AS2994,",",AT2994," ) ")</f>
        <v xml:space="preserve">0:3 ( -8,-7,-10,,,, ) </v>
      </c>
    </row>
    <row r="2993" spans="1:53" ht="39.950000000000003" customHeight="1">
      <c r="A2993" s="252" t="str">
        <f>CONCATENATE(A2991,1)</f>
        <v>DP151</v>
      </c>
      <c r="E2993" s="264" t="s">
        <v>29</v>
      </c>
      <c r="F2993" s="265">
        <f>VLOOKUP(CONCATENATE(A2991,1),'zoznam zapasov'!$A$6:$K$160,11,0)</f>
        <v>2</v>
      </c>
      <c r="G2993" s="508"/>
      <c r="H2993" s="495"/>
      <c r="I2993" s="498" t="str">
        <f>IF(ISERROR(VLOOKUP(A2993,'KO KODY SPOLU'!$A$3:$B$189,2,0))=TRUE,"",VLOOKUP(A2993,'KO KODY SPOLU'!$A$3:$B$189,2,0))</f>
        <v>LABOŠOVÁ Ema</v>
      </c>
      <c r="J2993" s="499"/>
      <c r="K2993" s="499"/>
      <c r="L2993" s="500"/>
      <c r="M2993" s="263"/>
      <c r="N2993" s="489">
        <v>11</v>
      </c>
      <c r="O2993" s="489">
        <v>11</v>
      </c>
      <c r="P2993" s="489">
        <v>12</v>
      </c>
      <c r="Q2993" s="489"/>
      <c r="R2993" s="489"/>
      <c r="S2993" s="489"/>
      <c r="T2993" s="489"/>
      <c r="U2993" s="263"/>
      <c r="V2993" s="493">
        <f>IF(SUM(AF2993:AL2994)=0,"",SUM(AF2993:AL2993))</f>
        <v>3</v>
      </c>
      <c r="W2993" s="267"/>
      <c r="X2993" s="263"/>
      <c r="AE2993" s="253" t="str">
        <f>VLOOKUP(I2993,vylosovanie!$F$8:$L$190,7,0)</f>
        <v>D11</v>
      </c>
      <c r="AF2993" s="268">
        <f>IF(N2993&gt;N2996,1,0)</f>
        <v>1</v>
      </c>
      <c r="AG2993" s="268">
        <f t="shared" ref="AG2993" si="2948">IF(O2993&gt;O2996,1,0)</f>
        <v>1</v>
      </c>
      <c r="AH2993" s="268">
        <f t="shared" ref="AH2993" si="2949">IF(P2993&gt;P2996,1,0)</f>
        <v>1</v>
      </c>
      <c r="AI2993" s="268">
        <f t="shared" ref="AI2993" si="2950">IF(Q2993&gt;Q2996,1,0)</f>
        <v>0</v>
      </c>
      <c r="AJ2993" s="268">
        <f t="shared" ref="AJ2993" si="2951">IF(R2993&gt;R2996,1,0)</f>
        <v>0</v>
      </c>
      <c r="AK2993" s="268">
        <f t="shared" ref="AK2993" si="2952">IF(S2993&gt;S2996,1,0)</f>
        <v>0</v>
      </c>
      <c r="AL2993" s="268">
        <f t="shared" ref="AL2993" si="2953">IF(T2993&gt;T2996,1,0)</f>
        <v>0</v>
      </c>
      <c r="AN2993" s="268">
        <f t="shared" ref="AN2993" si="2954">IF(ISBLANK(N2993)=TRUE,"",IF(AF2993=1,N2996,-N2993))</f>
        <v>8</v>
      </c>
      <c r="AO2993" s="268">
        <f t="shared" ref="AO2993" si="2955">IF(ISBLANK(O2993)=TRUE,"",IF(AG2993=1,O2996,-O2993))</f>
        <v>7</v>
      </c>
      <c r="AP2993" s="268">
        <f t="shared" ref="AP2993" si="2956">IF(ISBLANK(P2993)=TRUE,"",IF(AH2993=1,P2996,-P2993))</f>
        <v>10</v>
      </c>
      <c r="AQ2993" s="268" t="str">
        <f t="shared" ref="AQ2993" si="2957">IF(ISBLANK(Q2993)=TRUE,"",IF(AI2993=1,Q2996,-Q2993))</f>
        <v/>
      </c>
      <c r="AR2993" s="268" t="str">
        <f t="shared" ref="AR2993" si="2958">IF(ISBLANK(R2993)=TRUE,"",IF(AJ2993=1,R2996,-R2993))</f>
        <v/>
      </c>
      <c r="AS2993" s="268" t="str">
        <f t="shared" ref="AS2993" si="2959">IF(ISBLANK(S2993)=TRUE,"",IF(AK2993=1,S2996,-S2993))</f>
        <v/>
      </c>
      <c r="AT2993" s="268" t="str">
        <f t="shared" ref="AT2993" si="2960">IF(ISBLANK(T2993)=TRUE,"",IF(AL2993=1,T2996,-T2993))</f>
        <v/>
      </c>
      <c r="AZ2993" s="269" t="s">
        <v>12</v>
      </c>
      <c r="BA2993" s="269">
        <v>1</v>
      </c>
    </row>
    <row r="2994" spans="1:53" ht="39.950000000000003" customHeight="1">
      <c r="E2994" s="264"/>
      <c r="F2994" s="265"/>
      <c r="G2994" s="509"/>
      <c r="H2994" s="495"/>
      <c r="I2994" s="501"/>
      <c r="J2994" s="502"/>
      <c r="K2994" s="502"/>
      <c r="L2994" s="503"/>
      <c r="M2994" s="263"/>
      <c r="N2994" s="490"/>
      <c r="O2994" s="490"/>
      <c r="P2994" s="490"/>
      <c r="Q2994" s="490"/>
      <c r="R2994" s="490"/>
      <c r="S2994" s="490"/>
      <c r="T2994" s="490"/>
      <c r="U2994" s="263"/>
      <c r="V2994" s="493"/>
      <c r="W2994" s="267"/>
      <c r="X2994" s="263"/>
      <c r="AE2994" s="253" t="str">
        <f>VLOOKUP(I2996,vylosovanie!$F$8:$L$190,7,0)</f>
        <v>D31</v>
      </c>
      <c r="AF2994" s="268">
        <f>IF(N2996&gt;N2993,1,0)</f>
        <v>0</v>
      </c>
      <c r="AG2994" s="268">
        <f t="shared" ref="AG2994" si="2961">IF(O2996&gt;O2993,1,0)</f>
        <v>0</v>
      </c>
      <c r="AH2994" s="268">
        <f t="shared" ref="AH2994" si="2962">IF(P2996&gt;P2993,1,0)</f>
        <v>0</v>
      </c>
      <c r="AI2994" s="268">
        <f t="shared" ref="AI2994" si="2963">IF(Q2996&gt;Q2993,1,0)</f>
        <v>0</v>
      </c>
      <c r="AJ2994" s="268">
        <f t="shared" ref="AJ2994" si="2964">IF(R2996&gt;R2993,1,0)</f>
        <v>0</v>
      </c>
      <c r="AK2994" s="268">
        <f t="shared" ref="AK2994" si="2965">IF(S2996&gt;S2993,1,0)</f>
        <v>0</v>
      </c>
      <c r="AL2994" s="268">
        <f t="shared" ref="AL2994" si="2966">IF(T2996&gt;T2993,1,0)</f>
        <v>0</v>
      </c>
      <c r="AN2994" s="268">
        <f t="shared" ref="AN2994" si="2967">IF(ISBLANK(N2996)=TRUE,"",IF(AF2994=1,N2993,-N2996))</f>
        <v>-8</v>
      </c>
      <c r="AO2994" s="268">
        <f t="shared" ref="AO2994" si="2968">IF(ISBLANK(O2996)=TRUE,"",IF(AG2994=1,O2993,-O2996))</f>
        <v>-7</v>
      </c>
      <c r="AP2994" s="268">
        <f t="shared" ref="AP2994" si="2969">IF(ISBLANK(P2996)=TRUE,"",IF(AH2994=1,P2993,-P2996))</f>
        <v>-10</v>
      </c>
      <c r="AQ2994" s="268" t="str">
        <f t="shared" ref="AQ2994" si="2970">IF(ISBLANK(Q2996)=TRUE,"",IF(AI2994=1,Q2993,-Q2996))</f>
        <v/>
      </c>
      <c r="AR2994" s="268" t="str">
        <f t="shared" ref="AR2994" si="2971">IF(ISBLANK(R2996)=TRUE,"",IF(AJ2994=1,R2993,-R2996))</f>
        <v/>
      </c>
      <c r="AS2994" s="268" t="str">
        <f t="shared" ref="AS2994" si="2972">IF(ISBLANK(S2996)=TRUE,"",IF(AK2994=1,S2993,-S2996))</f>
        <v/>
      </c>
      <c r="AT2994" s="268" t="str">
        <f t="shared" ref="AT2994" si="2973">IF(ISBLANK(T2996)=TRUE,"",IF(AL2994=1,T2993,-T2996))</f>
        <v/>
      </c>
      <c r="AZ2994" s="269" t="s">
        <v>18</v>
      </c>
      <c r="BA2994" s="269">
        <v>2</v>
      </c>
    </row>
    <row r="2995" spans="1:53" ht="39.950000000000003" customHeight="1">
      <c r="E2995" s="264" t="s">
        <v>35</v>
      </c>
      <c r="F2995" s="265" t="str">
        <f>VLOOKUP(CONCATENATE(A2991,1),'zoznam zapasov'!$A$6:$K$160,9,0)</f>
        <v>Ne</v>
      </c>
      <c r="G2995" s="263"/>
      <c r="H2995" s="263"/>
      <c r="I2995" s="263"/>
      <c r="J2995" s="263"/>
      <c r="K2995" s="263"/>
      <c r="L2995" s="263"/>
      <c r="M2995" s="263"/>
      <c r="N2995" s="263"/>
      <c r="O2995" s="263"/>
      <c r="P2995" s="263"/>
      <c r="Q2995" s="263"/>
      <c r="R2995" s="263"/>
      <c r="S2995" s="263"/>
      <c r="T2995" s="263"/>
      <c r="U2995" s="263"/>
      <c r="V2995" s="263"/>
      <c r="W2995" s="267"/>
      <c r="X2995" s="263"/>
      <c r="AZ2995" s="269" t="s">
        <v>38</v>
      </c>
      <c r="BA2995" s="269">
        <v>3</v>
      </c>
    </row>
    <row r="2996" spans="1:53" ht="39.950000000000003" customHeight="1">
      <c r="A2996" s="252" t="str">
        <f>CONCATENATE(A2991,2)</f>
        <v>DP152</v>
      </c>
      <c r="E2996" s="264" t="s">
        <v>28</v>
      </c>
      <c r="F2996" s="270" t="str">
        <f>VLOOKUP(CONCATENATE(A2991,1),'zoznam zapasov'!$A$6:$K$160,10,0)</f>
        <v>11.00</v>
      </c>
      <c r="G2996" s="508"/>
      <c r="H2996" s="486"/>
      <c r="I2996" s="498" t="str">
        <f>IF(ISERROR(VLOOKUP(A2996,'KO KODY SPOLU'!$A$3:$B$189,2,0))=TRUE,"",VLOOKUP(A2996,'KO KODY SPOLU'!$A$3:$B$189,2,0))</f>
        <v>ŠINKAROVÁ Dáša</v>
      </c>
      <c r="J2996" s="499"/>
      <c r="K2996" s="499"/>
      <c r="L2996" s="500"/>
      <c r="M2996" s="263"/>
      <c r="N2996" s="489">
        <v>8</v>
      </c>
      <c r="O2996" s="489">
        <v>7</v>
      </c>
      <c r="P2996" s="489">
        <v>10</v>
      </c>
      <c r="Q2996" s="489"/>
      <c r="R2996" s="489"/>
      <c r="S2996" s="489"/>
      <c r="T2996" s="489"/>
      <c r="U2996" s="263"/>
      <c r="V2996" s="493">
        <f>IF(SUM(AF2993:AL2994)=0,"",SUM(AF2994:AL2994))</f>
        <v>0</v>
      </c>
      <c r="W2996" s="267"/>
      <c r="X2996" s="263"/>
      <c r="AZ2996" s="269" t="s">
        <v>39</v>
      </c>
      <c r="BA2996" s="269">
        <v>4</v>
      </c>
    </row>
    <row r="2997" spans="1:53" ht="39.950000000000003" customHeight="1">
      <c r="E2997" s="271"/>
      <c r="F2997" s="272"/>
      <c r="G2997" s="509"/>
      <c r="H2997" s="486"/>
      <c r="I2997" s="501"/>
      <c r="J2997" s="502"/>
      <c r="K2997" s="502"/>
      <c r="L2997" s="503"/>
      <c r="M2997" s="263"/>
      <c r="N2997" s="490"/>
      <c r="O2997" s="490"/>
      <c r="P2997" s="490"/>
      <c r="Q2997" s="490"/>
      <c r="R2997" s="490"/>
      <c r="S2997" s="490"/>
      <c r="T2997" s="490"/>
      <c r="U2997" s="263"/>
      <c r="V2997" s="493"/>
      <c r="W2997" s="267"/>
      <c r="X2997" s="263"/>
      <c r="AZ2997" s="269" t="s">
        <v>40</v>
      </c>
      <c r="BA2997" s="269">
        <v>5</v>
      </c>
    </row>
    <row r="2998" spans="1:53" ht="39.950000000000003" customHeight="1">
      <c r="E2998" s="264" t="s">
        <v>66</v>
      </c>
      <c r="F2998" s="265" t="s">
        <v>39</v>
      </c>
      <c r="G2998" s="263"/>
      <c r="H2998" s="263"/>
      <c r="I2998" s="263"/>
      <c r="J2998" s="263"/>
      <c r="K2998" s="263"/>
      <c r="L2998" s="263"/>
      <c r="M2998" s="263"/>
      <c r="N2998" s="263"/>
      <c r="O2998" s="263"/>
      <c r="P2998" s="263"/>
      <c r="Q2998" s="263"/>
      <c r="R2998" s="263"/>
      <c r="S2998" s="263"/>
      <c r="T2998" s="263"/>
      <c r="U2998" s="263"/>
      <c r="V2998" s="263"/>
      <c r="W2998" s="267"/>
      <c r="X2998" s="263"/>
      <c r="AZ2998" s="269" t="s">
        <v>41</v>
      </c>
      <c r="BA2998" s="269">
        <v>6</v>
      </c>
    </row>
    <row r="2999" spans="1:53" ht="39.950000000000003" customHeight="1">
      <c r="E2999" s="271"/>
      <c r="F2999" s="272"/>
      <c r="G2999" s="263"/>
      <c r="H2999" s="263"/>
      <c r="I2999" s="263" t="s">
        <v>32</v>
      </c>
      <c r="J2999" s="263"/>
      <c r="K2999" s="263"/>
      <c r="L2999" s="263"/>
      <c r="M2999" s="263"/>
      <c r="N2999" s="273"/>
      <c r="O2999" s="266"/>
      <c r="P2999" s="266" t="s">
        <v>34</v>
      </c>
      <c r="Q2999" s="266"/>
      <c r="R2999" s="266"/>
      <c r="S2999" s="266"/>
      <c r="T2999" s="266"/>
      <c r="U2999" s="263"/>
      <c r="V2999" s="263"/>
      <c r="W2999" s="267"/>
      <c r="X2999" s="263"/>
      <c r="AZ2999" s="269" t="s">
        <v>42</v>
      </c>
      <c r="BA2999" s="269">
        <v>7</v>
      </c>
    </row>
    <row r="3000" spans="1:53" ht="39.950000000000003" customHeight="1">
      <c r="E3000" s="264" t="s">
        <v>26</v>
      </c>
      <c r="F3000" s="265" t="s">
        <v>128</v>
      </c>
      <c r="G3000" s="263"/>
      <c r="H3000" s="263"/>
      <c r="I3000" s="486"/>
      <c r="J3000" s="486"/>
      <c r="K3000" s="486"/>
      <c r="L3000" s="486"/>
      <c r="M3000" s="263"/>
      <c r="N3000" s="486" t="str">
        <f>IF(V2993&gt;V2996,I2993,IF(V2996&gt;V2993,I2996,""))</f>
        <v>LABOŠOVÁ Ema</v>
      </c>
      <c r="O3000" s="486"/>
      <c r="P3000" s="486"/>
      <c r="Q3000" s="486"/>
      <c r="R3000" s="486"/>
      <c r="S3000" s="486"/>
      <c r="T3000" s="263"/>
      <c r="U3000" s="263"/>
      <c r="V3000" s="263"/>
      <c r="W3000" s="267"/>
      <c r="X3000" s="263"/>
      <c r="AZ3000" s="269" t="s">
        <v>43</v>
      </c>
      <c r="BA3000" s="269">
        <v>8</v>
      </c>
    </row>
    <row r="3001" spans="1:53" ht="39.950000000000003" customHeight="1">
      <c r="E3001" s="271"/>
      <c r="F3001" s="272"/>
      <c r="G3001" s="263"/>
      <c r="H3001" s="263"/>
      <c r="I3001" s="486"/>
      <c r="J3001" s="486"/>
      <c r="K3001" s="486"/>
      <c r="L3001" s="486"/>
      <c r="M3001" s="263"/>
      <c r="N3001" s="486"/>
      <c r="O3001" s="486"/>
      <c r="P3001" s="486"/>
      <c r="Q3001" s="486"/>
      <c r="R3001" s="486"/>
      <c r="S3001" s="486"/>
      <c r="T3001" s="263"/>
      <c r="U3001" s="263"/>
      <c r="V3001" s="263"/>
      <c r="W3001" s="267"/>
      <c r="X3001" s="263"/>
    </row>
    <row r="3002" spans="1:53" ht="39.950000000000003" customHeight="1">
      <c r="E3002" s="264" t="s">
        <v>27</v>
      </c>
      <c r="F3002" s="274" t="s">
        <v>354</v>
      </c>
      <c r="G3002" s="263"/>
      <c r="H3002" s="263"/>
      <c r="I3002" s="263"/>
      <c r="J3002" s="263"/>
      <c r="K3002" s="263"/>
      <c r="L3002" s="263"/>
      <c r="M3002" s="263"/>
      <c r="N3002" s="263"/>
      <c r="O3002" s="263"/>
      <c r="P3002" s="263"/>
      <c r="Q3002" s="263"/>
      <c r="R3002" s="263"/>
      <c r="S3002" s="263"/>
      <c r="T3002" s="263"/>
      <c r="U3002" s="263"/>
      <c r="V3002" s="263"/>
      <c r="W3002" s="267"/>
      <c r="X3002" s="263"/>
    </row>
    <row r="3003" spans="1:53" ht="39.950000000000003" customHeight="1">
      <c r="E3003" s="271"/>
      <c r="F3003" s="272"/>
      <c r="G3003" s="263"/>
      <c r="H3003" s="263" t="s">
        <v>33</v>
      </c>
      <c r="I3003" s="263"/>
      <c r="J3003" s="263"/>
      <c r="K3003" s="263"/>
      <c r="L3003" s="263"/>
      <c r="M3003" s="263"/>
      <c r="N3003" s="263"/>
      <c r="O3003" s="263"/>
      <c r="P3003" s="263"/>
      <c r="Q3003" s="263"/>
      <c r="R3003" s="263"/>
      <c r="S3003" s="263"/>
      <c r="T3003" s="263"/>
      <c r="U3003" s="263"/>
      <c r="V3003" s="263"/>
      <c r="W3003" s="267"/>
      <c r="X3003" s="263"/>
    </row>
    <row r="3004" spans="1:53" ht="39.950000000000003" customHeight="1">
      <c r="E3004" s="271"/>
      <c r="F3004" s="272"/>
      <c r="G3004" s="263"/>
      <c r="H3004" s="263"/>
      <c r="I3004" s="263"/>
      <c r="J3004" s="263"/>
      <c r="K3004" s="263"/>
      <c r="L3004" s="263"/>
      <c r="M3004" s="263"/>
      <c r="N3004" s="263"/>
      <c r="O3004" s="263"/>
      <c r="P3004" s="263"/>
      <c r="Q3004" s="263"/>
      <c r="R3004" s="263"/>
      <c r="S3004" s="263"/>
      <c r="T3004" s="263"/>
      <c r="U3004" s="263"/>
      <c r="V3004" s="263"/>
      <c r="W3004" s="267"/>
      <c r="X3004" s="263"/>
    </row>
    <row r="3005" spans="1:53" ht="39.950000000000003" customHeight="1">
      <c r="E3005" s="271"/>
      <c r="F3005" s="272"/>
      <c r="G3005" s="263"/>
      <c r="H3005" s="263"/>
      <c r="I3005" s="496" t="str">
        <f>I2993</f>
        <v>LABOŠOVÁ Ema</v>
      </c>
      <c r="J3005" s="496"/>
      <c r="K3005" s="496"/>
      <c r="L3005" s="496"/>
      <c r="M3005" s="263"/>
      <c r="N3005" s="263"/>
      <c r="O3005" s="263"/>
      <c r="P3005" s="496" t="str">
        <f>I2996</f>
        <v>ŠINKAROVÁ Dáša</v>
      </c>
      <c r="Q3005" s="496"/>
      <c r="R3005" s="496"/>
      <c r="S3005" s="496"/>
      <c r="T3005" s="497"/>
      <c r="U3005" s="497"/>
      <c r="V3005" s="263"/>
      <c r="W3005" s="267"/>
      <c r="X3005" s="263"/>
    </row>
    <row r="3006" spans="1:53" ht="69.95" customHeight="1">
      <c r="E3006" s="264"/>
      <c r="F3006" s="265"/>
      <c r="G3006" s="263"/>
      <c r="H3006" s="275" t="s">
        <v>36</v>
      </c>
      <c r="I3006" s="483"/>
      <c r="J3006" s="494"/>
      <c r="K3006" s="494"/>
      <c r="L3006" s="495"/>
      <c r="M3006" s="263"/>
      <c r="N3006" s="263"/>
      <c r="O3006" s="275" t="s">
        <v>36</v>
      </c>
      <c r="P3006" s="486"/>
      <c r="Q3006" s="486"/>
      <c r="R3006" s="486"/>
      <c r="S3006" s="486"/>
      <c r="T3006" s="486"/>
      <c r="U3006" s="486"/>
      <c r="V3006" s="263"/>
      <c r="W3006" s="267"/>
      <c r="X3006" s="263"/>
    </row>
    <row r="3007" spans="1:53" ht="69.95" customHeight="1">
      <c r="E3007" s="264"/>
      <c r="F3007" s="265"/>
      <c r="G3007" s="263"/>
      <c r="H3007" s="275" t="s">
        <v>37</v>
      </c>
      <c r="I3007" s="486"/>
      <c r="J3007" s="486"/>
      <c r="K3007" s="486"/>
      <c r="L3007" s="486"/>
      <c r="M3007" s="263"/>
      <c r="N3007" s="263"/>
      <c r="O3007" s="275" t="s">
        <v>37</v>
      </c>
      <c r="P3007" s="486"/>
      <c r="Q3007" s="486"/>
      <c r="R3007" s="486"/>
      <c r="S3007" s="486"/>
      <c r="T3007" s="486"/>
      <c r="U3007" s="486"/>
      <c r="V3007" s="263"/>
      <c r="W3007" s="267"/>
      <c r="X3007" s="263"/>
    </row>
    <row r="3008" spans="1:53" ht="69.95" customHeight="1">
      <c r="E3008" s="264"/>
      <c r="F3008" s="265"/>
      <c r="G3008" s="263"/>
      <c r="H3008" s="275" t="s">
        <v>37</v>
      </c>
      <c r="I3008" s="486"/>
      <c r="J3008" s="486"/>
      <c r="K3008" s="486"/>
      <c r="L3008" s="486"/>
      <c r="M3008" s="263"/>
      <c r="N3008" s="263"/>
      <c r="O3008" s="275" t="s">
        <v>37</v>
      </c>
      <c r="P3008" s="486"/>
      <c r="Q3008" s="486"/>
      <c r="R3008" s="486"/>
      <c r="S3008" s="486"/>
      <c r="T3008" s="486"/>
      <c r="U3008" s="486"/>
      <c r="V3008" s="263"/>
      <c r="W3008" s="267"/>
      <c r="X3008" s="263"/>
    </row>
    <row r="3009" spans="1:53" ht="39.950000000000003" customHeight="1" thickBot="1">
      <c r="E3009" s="276"/>
      <c r="F3009" s="277"/>
      <c r="G3009" s="278"/>
      <c r="H3009" s="278"/>
      <c r="I3009" s="278"/>
      <c r="J3009" s="278"/>
      <c r="K3009" s="278"/>
      <c r="L3009" s="278"/>
      <c r="M3009" s="278"/>
      <c r="N3009" s="278"/>
      <c r="O3009" s="278"/>
      <c r="P3009" s="278"/>
      <c r="Q3009" s="278"/>
      <c r="R3009" s="278"/>
      <c r="S3009" s="278"/>
      <c r="T3009" s="279"/>
      <c r="U3009" s="279"/>
      <c r="V3009" s="279"/>
      <c r="W3009" s="280"/>
      <c r="X3009" s="263"/>
    </row>
    <row r="3010" spans="1:53" ht="62.25" thickBot="1"/>
    <row r="3011" spans="1:53" ht="39.950000000000003" customHeight="1">
      <c r="A3011" s="252" t="str">
        <f>CONCATENATE(F3018,F3020,F3022)</f>
        <v>CH4P15</v>
      </c>
      <c r="C3011" s="223"/>
      <c r="D3011" s="223"/>
      <c r="E3011" s="259" t="s">
        <v>70</v>
      </c>
      <c r="F3011" s="260">
        <f>VLOOKUP(CONCATENATE(A3011,1),'zoznam zapasov'!$A$6:$K$160,3,0)</f>
        <v>149</v>
      </c>
      <c r="G3011" s="261"/>
      <c r="H3011" s="322" t="s">
        <v>501</v>
      </c>
      <c r="I3011" s="261"/>
      <c r="J3011" s="261"/>
      <c r="K3011" s="261"/>
      <c r="L3011" s="261" t="s">
        <v>545</v>
      </c>
      <c r="M3011" s="261"/>
      <c r="N3011" s="261"/>
      <c r="O3011" s="261"/>
      <c r="P3011" s="261"/>
      <c r="Q3011" s="261"/>
      <c r="R3011" s="261"/>
      <c r="S3011" s="261"/>
      <c r="T3011" s="261"/>
      <c r="U3011" s="261"/>
      <c r="V3011" s="261" t="s">
        <v>30</v>
      </c>
      <c r="W3011" s="262"/>
      <c r="X3011" s="263"/>
      <c r="Y3011" s="253" t="str">
        <f>A3013</f>
        <v>CH4P151</v>
      </c>
      <c r="Z3011" s="258" t="str">
        <f>CONCATENATE(V3013,":",V3016)</f>
        <v>0:3</v>
      </c>
      <c r="AA3011" s="255" t="str">
        <f>IF(V3013&gt;V3016,B3013,IF(V3016&gt;V3013,B3016,""))</f>
        <v>ĎANOVSKÝ / MILAN</v>
      </c>
      <c r="AB3011" s="255" t="str">
        <f>IF(V3013&gt;V3016,AV3011,IF(V3016&gt;V3013,AV3012,""))</f>
        <v xml:space="preserve">3:0 ( 7,4,10,,,, ) </v>
      </c>
      <c r="AC3011" s="255" t="str">
        <f>CONCATENATE("Tbl.: ",F3013,"   H: ",F3016,"   D: ",F3015)</f>
        <v>Tbl.: 1   H: 11.30   D: Ne</v>
      </c>
      <c r="AE3011" s="253" t="s">
        <v>11</v>
      </c>
      <c r="AV3011" s="256" t="str">
        <f>CONCATENATE(V3013,":",V3016, " ( ",AN3013,",",AO3013,",",AP3013,",",AQ3013,",",AR3013,",",AS3013,",",AT3013," ) ")</f>
        <v xml:space="preserve">0:3 ( -7,-4,-10,,,, ) </v>
      </c>
    </row>
    <row r="3012" spans="1:53" ht="39.950000000000003" customHeight="1">
      <c r="C3012" s="223"/>
      <c r="D3012" s="223"/>
      <c r="E3012" s="264"/>
      <c r="F3012" s="265"/>
      <c r="G3012" s="321" t="s">
        <v>500</v>
      </c>
      <c r="H3012" s="323" t="s">
        <v>502</v>
      </c>
      <c r="I3012" s="263"/>
      <c r="J3012" s="263"/>
      <c r="K3012" s="263"/>
      <c r="L3012" s="263"/>
      <c r="M3012" s="263"/>
      <c r="N3012" s="266">
        <v>1</v>
      </c>
      <c r="O3012" s="266">
        <v>2</v>
      </c>
      <c r="P3012" s="266">
        <v>3</v>
      </c>
      <c r="Q3012" s="266">
        <v>4</v>
      </c>
      <c r="R3012" s="266">
        <v>5</v>
      </c>
      <c r="S3012" s="266">
        <v>6</v>
      </c>
      <c r="T3012" s="266">
        <v>7</v>
      </c>
      <c r="U3012" s="263"/>
      <c r="V3012" s="266" t="s">
        <v>31</v>
      </c>
      <c r="W3012" s="267"/>
      <c r="X3012" s="263"/>
      <c r="AE3012" s="253" t="s">
        <v>68</v>
      </c>
      <c r="AV3012" s="256" t="str">
        <f>CONCATENATE(V3016,":",V3013, " ( ",AN3014,",",AO3014,",",AP3014,",",AQ3014,",",AR3014,",",AS3014,",",AT3014," ) ")</f>
        <v xml:space="preserve">3:0 ( 7,4,10,,,, ) </v>
      </c>
    </row>
    <row r="3013" spans="1:53" ht="39.950000000000003" customHeight="1">
      <c r="A3013" s="252" t="str">
        <f>CONCATENATE(A3011,1)</f>
        <v>CH4P151</v>
      </c>
      <c r="B3013" s="252" t="str">
        <f>VLOOKUP(A3013,'KO KODY SPOLU'!$A$3:$B$189,2,0)</f>
        <v>DIKO / KYSEL</v>
      </c>
      <c r="C3013" s="223"/>
      <c r="D3013" s="223"/>
      <c r="E3013" s="264" t="s">
        <v>29</v>
      </c>
      <c r="F3013" s="265">
        <f>VLOOKUP(CONCATENATE(A3011,1),'zoznam zapasov'!$A$6:$K$160,11,0)</f>
        <v>1</v>
      </c>
      <c r="G3013" s="508"/>
      <c r="H3013" s="319"/>
      <c r="I3013" s="487" t="str">
        <f>IF(ISERROR(VLOOKUP(B3013,vylosovanie!$N$75:$Q$191,3,0))=TRUE," ",VLOOKUP(B3013,vylosovanie!$N$75:$Q$191,3,0))</f>
        <v>DIKO Dalibor</v>
      </c>
      <c r="J3013" s="488"/>
      <c r="K3013" s="488"/>
      <c r="L3013" s="488"/>
      <c r="M3013" s="263"/>
      <c r="N3013" s="489">
        <v>7</v>
      </c>
      <c r="O3013" s="489">
        <v>4</v>
      </c>
      <c r="P3013" s="489">
        <v>10</v>
      </c>
      <c r="Q3013" s="489"/>
      <c r="R3013" s="489"/>
      <c r="S3013" s="491"/>
      <c r="T3013" s="491"/>
      <c r="U3013" s="263"/>
      <c r="V3013" s="493">
        <f>IF(SUM(AF3013:AL3014)=0,"",SUM(AF3013:AL3013))</f>
        <v>0</v>
      </c>
      <c r="W3013" s="267"/>
      <c r="X3013" s="263"/>
      <c r="AE3013" s="253" t="str">
        <f>VLOOKUP(I3013,vylosovanie!$F$8:$L$190,7,0)</f>
        <v>CH11</v>
      </c>
      <c r="AF3013" s="268">
        <f>IF(N3013&gt;N3016,1,0)</f>
        <v>0</v>
      </c>
      <c r="AG3013" s="268">
        <f t="shared" ref="AG3013" si="2974">IF(O3013&gt;O3016,1,0)</f>
        <v>0</v>
      </c>
      <c r="AH3013" s="268">
        <f t="shared" ref="AH3013" si="2975">IF(P3013&gt;P3016,1,0)</f>
        <v>0</v>
      </c>
      <c r="AI3013" s="268">
        <f t="shared" ref="AI3013" si="2976">IF(Q3013&gt;Q3016,1,0)</f>
        <v>0</v>
      </c>
      <c r="AJ3013" s="268">
        <f t="shared" ref="AJ3013" si="2977">IF(R3013&gt;R3016,1,0)</f>
        <v>0</v>
      </c>
      <c r="AK3013" s="268">
        <f t="shared" ref="AK3013" si="2978">IF(S3013&gt;S3016,1,0)</f>
        <v>0</v>
      </c>
      <c r="AL3013" s="268">
        <f t="shared" ref="AL3013" si="2979">IF(T3013&gt;T3016,1,0)</f>
        <v>0</v>
      </c>
      <c r="AN3013" s="268">
        <f t="shared" ref="AN3013" si="2980">IF(ISBLANK(N3013)=TRUE,"",IF(AF3013=1,N3016,-N3013))</f>
        <v>-7</v>
      </c>
      <c r="AO3013" s="268">
        <f t="shared" ref="AO3013" si="2981">IF(ISBLANK(O3013)=TRUE,"",IF(AG3013=1,O3016,-O3013))</f>
        <v>-4</v>
      </c>
      <c r="AP3013" s="268">
        <f t="shared" ref="AP3013" si="2982">IF(ISBLANK(P3013)=TRUE,"",IF(AH3013=1,P3016,-P3013))</f>
        <v>-10</v>
      </c>
      <c r="AQ3013" s="268" t="str">
        <f t="shared" ref="AQ3013" si="2983">IF(ISBLANK(Q3013)=TRUE,"",IF(AI3013=1,Q3016,-Q3013))</f>
        <v/>
      </c>
      <c r="AR3013" s="268" t="str">
        <f t="shared" ref="AR3013" si="2984">IF(ISBLANK(R3013)=TRUE,"",IF(AJ3013=1,R3016,-R3013))</f>
        <v/>
      </c>
      <c r="AS3013" s="268" t="str">
        <f t="shared" ref="AS3013" si="2985">IF(ISBLANK(S3013)=TRUE,"",IF(AK3013=1,S3016,-S3013))</f>
        <v/>
      </c>
      <c r="AT3013" s="268" t="str">
        <f t="shared" ref="AT3013" si="2986">IF(ISBLANK(T3013)=TRUE,"",IF(AL3013=1,T3016,-T3013))</f>
        <v/>
      </c>
      <c r="AZ3013" s="269" t="s">
        <v>12</v>
      </c>
      <c r="BA3013" s="269">
        <v>1</v>
      </c>
    </row>
    <row r="3014" spans="1:53" ht="39.950000000000003" customHeight="1">
      <c r="C3014" s="223"/>
      <c r="D3014" s="223"/>
      <c r="E3014" s="264"/>
      <c r="F3014" s="265"/>
      <c r="G3014" s="509"/>
      <c r="H3014" s="319"/>
      <c r="I3014" s="487" t="str">
        <f>IF(ISERROR(VLOOKUP(B3013,vylosovanie!$N$75:$Q$191,3,0))=TRUE," ",VLOOKUP(B3013,vylosovanie!$N$75:$Q$191,4,0))</f>
        <v>KYSEL Martin</v>
      </c>
      <c r="J3014" s="488"/>
      <c r="K3014" s="488"/>
      <c r="L3014" s="488"/>
      <c r="M3014" s="263"/>
      <c r="N3014" s="490"/>
      <c r="O3014" s="490"/>
      <c r="P3014" s="490"/>
      <c r="Q3014" s="490"/>
      <c r="R3014" s="490"/>
      <c r="S3014" s="492"/>
      <c r="T3014" s="492"/>
      <c r="U3014" s="263"/>
      <c r="V3014" s="493"/>
      <c r="W3014" s="267"/>
      <c r="X3014" s="263"/>
      <c r="AE3014" s="253" t="str">
        <f>VLOOKUP(I3016,vylosovanie!$F$8:$L$190,7,0)</f>
        <v>CH52</v>
      </c>
      <c r="AF3014" s="268">
        <f>IF(N3016&gt;N3013,1,0)</f>
        <v>1</v>
      </c>
      <c r="AG3014" s="268">
        <f t="shared" ref="AG3014" si="2987">IF(O3016&gt;O3013,1,0)</f>
        <v>1</v>
      </c>
      <c r="AH3014" s="268">
        <f t="shared" ref="AH3014" si="2988">IF(P3016&gt;P3013,1,0)</f>
        <v>1</v>
      </c>
      <c r="AI3014" s="268">
        <f t="shared" ref="AI3014" si="2989">IF(Q3016&gt;Q3013,1,0)</f>
        <v>0</v>
      </c>
      <c r="AJ3014" s="268">
        <f t="shared" ref="AJ3014" si="2990">IF(R3016&gt;R3013,1,0)</f>
        <v>0</v>
      </c>
      <c r="AK3014" s="268">
        <f t="shared" ref="AK3014" si="2991">IF(S3016&gt;S3013,1,0)</f>
        <v>0</v>
      </c>
      <c r="AL3014" s="268">
        <f t="shared" ref="AL3014" si="2992">IF(T3016&gt;T3013,1,0)</f>
        <v>0</v>
      </c>
      <c r="AN3014" s="268">
        <f t="shared" ref="AN3014" si="2993">IF(ISBLANK(N3016)=TRUE,"",IF(AF3014=1,N3013,-N3016))</f>
        <v>7</v>
      </c>
      <c r="AO3014" s="268">
        <f t="shared" ref="AO3014" si="2994">IF(ISBLANK(O3016)=TRUE,"",IF(AG3014=1,O3013,-O3016))</f>
        <v>4</v>
      </c>
      <c r="AP3014" s="268">
        <f t="shared" ref="AP3014" si="2995">IF(ISBLANK(P3016)=TRUE,"",IF(AH3014=1,P3013,-P3016))</f>
        <v>10</v>
      </c>
      <c r="AQ3014" s="268" t="str">
        <f t="shared" ref="AQ3014" si="2996">IF(ISBLANK(Q3016)=TRUE,"",IF(AI3014=1,Q3013,-Q3016))</f>
        <v/>
      </c>
      <c r="AR3014" s="268" t="str">
        <f t="shared" ref="AR3014" si="2997">IF(ISBLANK(R3016)=TRUE,"",IF(AJ3014=1,R3013,-R3016))</f>
        <v/>
      </c>
      <c r="AS3014" s="268" t="str">
        <f t="shared" ref="AS3014" si="2998">IF(ISBLANK(S3016)=TRUE,"",IF(AK3014=1,S3013,-S3016))</f>
        <v/>
      </c>
      <c r="AT3014" s="268" t="str">
        <f t="shared" ref="AT3014" si="2999">IF(ISBLANK(T3016)=TRUE,"",IF(AL3014=1,T3013,-T3016))</f>
        <v/>
      </c>
      <c r="AZ3014" s="269" t="s">
        <v>18</v>
      </c>
      <c r="BA3014" s="269">
        <v>2</v>
      </c>
    </row>
    <row r="3015" spans="1:53" ht="39.950000000000003" customHeight="1">
      <c r="C3015" s="223"/>
      <c r="D3015" s="223"/>
      <c r="E3015" s="264" t="s">
        <v>35</v>
      </c>
      <c r="F3015" s="265" t="str">
        <f>VLOOKUP(CONCATENATE(A3011,1),'zoznam zapasov'!$A$6:$K$160,9,0)</f>
        <v>Ne</v>
      </c>
      <c r="G3015" s="263"/>
      <c r="H3015" s="263"/>
      <c r="I3015" s="263"/>
      <c r="J3015" s="263"/>
      <c r="K3015" s="263"/>
      <c r="L3015" s="263"/>
      <c r="M3015" s="263"/>
      <c r="N3015" s="263"/>
      <c r="O3015" s="263"/>
      <c r="P3015" s="263"/>
      <c r="Q3015" s="263"/>
      <c r="R3015" s="263"/>
      <c r="S3015" s="263"/>
      <c r="T3015" s="263"/>
      <c r="U3015" s="263"/>
      <c r="V3015" s="263"/>
      <c r="W3015" s="267"/>
      <c r="X3015" s="263"/>
      <c r="AZ3015" s="269" t="s">
        <v>38</v>
      </c>
      <c r="BA3015" s="269">
        <v>3</v>
      </c>
    </row>
    <row r="3016" spans="1:53" ht="39.950000000000003" customHeight="1">
      <c r="A3016" s="252" t="str">
        <f>CONCATENATE(A3011,2)</f>
        <v>CH4P152</v>
      </c>
      <c r="B3016" s="252" t="str">
        <f>VLOOKUP(A3016,'KO KODY SPOLU'!$A$3:$B$189,2,0)</f>
        <v>ĎANOVSKÝ / MILAN</v>
      </c>
      <c r="C3016" s="223"/>
      <c r="D3016" s="223"/>
      <c r="E3016" s="264" t="s">
        <v>28</v>
      </c>
      <c r="F3016" s="270" t="str">
        <f>VLOOKUP(CONCATENATE(A3011,1),'zoznam zapasov'!$A$6:$K$160,10,0)</f>
        <v>11.30</v>
      </c>
      <c r="G3016" s="508"/>
      <c r="H3016" s="319"/>
      <c r="I3016" s="487" t="str">
        <f>IF(ISERROR(VLOOKUP(B3016,vylosovanie!$N$75:$Q$191,3,0))=TRUE," ",VLOOKUP(B3016,vylosovanie!$N$75:$Q$191,3,0))</f>
        <v>ĎANOVSKÝ Martin</v>
      </c>
      <c r="J3016" s="488"/>
      <c r="K3016" s="488"/>
      <c r="L3016" s="488"/>
      <c r="M3016" s="263"/>
      <c r="N3016" s="489">
        <v>11</v>
      </c>
      <c r="O3016" s="489">
        <v>11</v>
      </c>
      <c r="P3016" s="489">
        <v>12</v>
      </c>
      <c r="Q3016" s="489"/>
      <c r="R3016" s="489"/>
      <c r="S3016" s="491"/>
      <c r="T3016" s="491"/>
      <c r="U3016" s="263"/>
      <c r="V3016" s="493">
        <f>IF(SUM(AF3013:AL3014)=0,"",SUM(AF3014:AL3014))</f>
        <v>3</v>
      </c>
      <c r="W3016" s="267"/>
      <c r="X3016" s="263"/>
      <c r="AZ3016" s="269" t="s">
        <v>39</v>
      </c>
      <c r="BA3016" s="269">
        <v>4</v>
      </c>
    </row>
    <row r="3017" spans="1:53" ht="39.950000000000003" customHeight="1">
      <c r="C3017" s="223"/>
      <c r="D3017" s="223"/>
      <c r="E3017" s="271"/>
      <c r="F3017" s="272"/>
      <c r="G3017" s="509"/>
      <c r="H3017" s="319"/>
      <c r="I3017" s="487" t="str">
        <f>IF(ISERROR(VLOOKUP(B3016,vylosovanie!$N$75:$Q$191,3,0))=TRUE," ",VLOOKUP(B3016,vylosovanie!$N$75:$Q$191,4,0))</f>
        <v>MILAN Martin</v>
      </c>
      <c r="J3017" s="488"/>
      <c r="K3017" s="488"/>
      <c r="L3017" s="488"/>
      <c r="M3017" s="263"/>
      <c r="N3017" s="490"/>
      <c r="O3017" s="490"/>
      <c r="P3017" s="490"/>
      <c r="Q3017" s="490"/>
      <c r="R3017" s="490"/>
      <c r="S3017" s="492"/>
      <c r="T3017" s="492"/>
      <c r="U3017" s="263"/>
      <c r="V3017" s="493"/>
      <c r="W3017" s="267"/>
      <c r="X3017" s="263"/>
      <c r="AZ3017" s="269" t="s">
        <v>40</v>
      </c>
      <c r="BA3017" s="269">
        <v>5</v>
      </c>
    </row>
    <row r="3018" spans="1:53" ht="39.950000000000003" customHeight="1">
      <c r="C3018" s="223"/>
      <c r="D3018" s="223"/>
      <c r="E3018" s="264" t="s">
        <v>66</v>
      </c>
      <c r="F3018" s="265" t="s">
        <v>309</v>
      </c>
      <c r="G3018" s="263"/>
      <c r="H3018" s="263"/>
      <c r="I3018" s="263"/>
      <c r="J3018" s="263"/>
      <c r="K3018" s="263"/>
      <c r="L3018" s="263"/>
      <c r="M3018" s="263"/>
      <c r="N3018" s="263"/>
      <c r="O3018" s="263"/>
      <c r="P3018" s="263"/>
      <c r="Q3018" s="263"/>
      <c r="R3018" s="263"/>
      <c r="S3018" s="263"/>
      <c r="T3018" s="263"/>
      <c r="U3018" s="263"/>
      <c r="V3018" s="263"/>
      <c r="W3018" s="267"/>
      <c r="X3018" s="263"/>
      <c r="AZ3018" s="269" t="s">
        <v>41</v>
      </c>
      <c r="BA3018" s="269">
        <v>6</v>
      </c>
    </row>
    <row r="3019" spans="1:53" ht="39.950000000000003" customHeight="1">
      <c r="C3019" s="223"/>
      <c r="D3019" s="223"/>
      <c r="E3019" s="271"/>
      <c r="F3019" s="272"/>
      <c r="G3019" s="263"/>
      <c r="H3019" s="263"/>
      <c r="I3019" s="263" t="s">
        <v>32</v>
      </c>
      <c r="J3019" s="263"/>
      <c r="K3019" s="263"/>
      <c r="L3019" s="263"/>
      <c r="M3019" s="263"/>
      <c r="N3019" s="273"/>
      <c r="O3019" s="266"/>
      <c r="P3019" s="266" t="s">
        <v>34</v>
      </c>
      <c r="Q3019" s="266"/>
      <c r="R3019" s="266"/>
      <c r="S3019" s="266"/>
      <c r="T3019" s="266"/>
      <c r="U3019" s="263"/>
      <c r="V3019" s="263"/>
      <c r="W3019" s="267"/>
      <c r="X3019" s="263"/>
      <c r="AZ3019" s="269" t="s">
        <v>42</v>
      </c>
      <c r="BA3019" s="269">
        <v>7</v>
      </c>
    </row>
    <row r="3020" spans="1:53" ht="39.950000000000003" customHeight="1">
      <c r="E3020" s="264" t="s">
        <v>26</v>
      </c>
      <c r="F3020" s="265" t="s">
        <v>128</v>
      </c>
      <c r="G3020" s="263"/>
      <c r="H3020" s="263"/>
      <c r="I3020" s="486"/>
      <c r="J3020" s="486"/>
      <c r="K3020" s="486"/>
      <c r="L3020" s="486"/>
      <c r="M3020" s="263"/>
      <c r="N3020" s="483" t="str">
        <f>IF(V3013&gt;V3016,I3013,IF(V3016&gt;V3013,I3016,""))</f>
        <v>ĎANOVSKÝ Martin</v>
      </c>
      <c r="O3020" s="494"/>
      <c r="P3020" s="494"/>
      <c r="Q3020" s="494"/>
      <c r="R3020" s="494"/>
      <c r="S3020" s="495"/>
      <c r="T3020" s="263"/>
      <c r="U3020" s="263"/>
      <c r="V3020" s="263"/>
      <c r="W3020" s="267"/>
      <c r="X3020" s="263"/>
      <c r="AZ3020" s="269" t="s">
        <v>43</v>
      </c>
      <c r="BA3020" s="269">
        <v>8</v>
      </c>
    </row>
    <row r="3021" spans="1:53" ht="39.950000000000003" customHeight="1">
      <c r="E3021" s="271"/>
      <c r="F3021" s="272"/>
      <c r="G3021" s="263"/>
      <c r="H3021" s="263"/>
      <c r="I3021" s="486"/>
      <c r="J3021" s="486"/>
      <c r="K3021" s="486"/>
      <c r="L3021" s="486"/>
      <c r="M3021" s="263"/>
      <c r="N3021" s="483" t="str">
        <f>IF(V3013&gt;V3016,I3014,IF(V3016&gt;V3013,I3017,""))</f>
        <v>MILAN Martin</v>
      </c>
      <c r="O3021" s="494"/>
      <c r="P3021" s="494"/>
      <c r="Q3021" s="494"/>
      <c r="R3021" s="494"/>
      <c r="S3021" s="495"/>
      <c r="T3021" s="263"/>
      <c r="U3021" s="263"/>
      <c r="V3021" s="263"/>
      <c r="W3021" s="267"/>
      <c r="X3021" s="263"/>
    </row>
    <row r="3022" spans="1:53" ht="39.950000000000003" customHeight="1">
      <c r="E3022" s="264" t="s">
        <v>27</v>
      </c>
      <c r="F3022" s="274" t="s">
        <v>354</v>
      </c>
      <c r="G3022" s="263"/>
      <c r="H3022" s="263"/>
      <c r="I3022" s="263"/>
      <c r="J3022" s="263"/>
      <c r="K3022" s="263"/>
      <c r="L3022" s="263"/>
      <c r="M3022" s="263"/>
      <c r="N3022" s="263"/>
      <c r="O3022" s="263"/>
      <c r="P3022" s="263"/>
      <c r="Q3022" s="263"/>
      <c r="R3022" s="263"/>
      <c r="S3022" s="263"/>
      <c r="T3022" s="263"/>
      <c r="U3022" s="263"/>
      <c r="V3022" s="263"/>
      <c r="W3022" s="267"/>
      <c r="X3022" s="263"/>
    </row>
    <row r="3023" spans="1:53" ht="39.950000000000003" customHeight="1">
      <c r="E3023" s="271"/>
      <c r="F3023" s="272"/>
      <c r="G3023" s="263"/>
      <c r="H3023" s="263" t="s">
        <v>33</v>
      </c>
      <c r="I3023" s="263"/>
      <c r="J3023" s="263"/>
      <c r="K3023" s="263"/>
      <c r="L3023" s="263"/>
      <c r="M3023" s="263"/>
      <c r="N3023" s="263"/>
      <c r="O3023" s="263"/>
      <c r="P3023" s="263"/>
      <c r="Q3023" s="263"/>
      <c r="R3023" s="263"/>
      <c r="S3023" s="263"/>
      <c r="T3023" s="263"/>
      <c r="U3023" s="263"/>
      <c r="V3023" s="263"/>
      <c r="W3023" s="267"/>
      <c r="X3023" s="263"/>
    </row>
    <row r="3024" spans="1:53" ht="39.950000000000003" customHeight="1">
      <c r="E3024" s="271"/>
      <c r="F3024" s="272"/>
      <c r="G3024" s="263"/>
      <c r="H3024" s="263"/>
      <c r="I3024" s="263"/>
      <c r="J3024" s="263"/>
      <c r="K3024" s="263"/>
      <c r="L3024" s="263"/>
      <c r="M3024" s="263"/>
      <c r="N3024" s="263"/>
      <c r="O3024" s="263"/>
      <c r="P3024" s="263"/>
      <c r="Q3024" s="263"/>
      <c r="R3024" s="263"/>
      <c r="S3024" s="263"/>
      <c r="T3024" s="263"/>
      <c r="U3024" s="263"/>
      <c r="V3024" s="263"/>
      <c r="W3024" s="267"/>
      <c r="X3024" s="263"/>
    </row>
    <row r="3025" spans="1:53" ht="39.950000000000003" customHeight="1">
      <c r="E3025" s="271"/>
      <c r="F3025" s="272"/>
      <c r="G3025" s="263"/>
      <c r="H3025" s="263"/>
      <c r="I3025" s="496" t="str">
        <f>I3013</f>
        <v>DIKO Dalibor</v>
      </c>
      <c r="J3025" s="496"/>
      <c r="K3025" s="496"/>
      <c r="L3025" s="496"/>
      <c r="M3025" s="263"/>
      <c r="N3025" s="263"/>
      <c r="P3025" s="496" t="str">
        <f>I3016</f>
        <v>ĎANOVSKÝ Martin</v>
      </c>
      <c r="Q3025" s="496"/>
      <c r="R3025" s="496"/>
      <c r="S3025" s="496"/>
      <c r="T3025" s="497"/>
      <c r="U3025" s="497"/>
      <c r="V3025" s="263"/>
      <c r="W3025" s="267"/>
      <c r="X3025" s="263"/>
    </row>
    <row r="3026" spans="1:53" ht="39.950000000000003" customHeight="1">
      <c r="E3026" s="271"/>
      <c r="F3026" s="272"/>
      <c r="G3026" s="263"/>
      <c r="H3026" s="263"/>
      <c r="I3026" s="496" t="str">
        <f>I3014</f>
        <v>KYSEL Martin</v>
      </c>
      <c r="J3026" s="496"/>
      <c r="K3026" s="496"/>
      <c r="L3026" s="496"/>
      <c r="M3026" s="263"/>
      <c r="N3026" s="263"/>
      <c r="O3026" s="263"/>
      <c r="P3026" s="496" t="str">
        <f>I3017</f>
        <v>MILAN Martin</v>
      </c>
      <c r="Q3026" s="496"/>
      <c r="R3026" s="496"/>
      <c r="S3026" s="496"/>
      <c r="T3026" s="497"/>
      <c r="U3026" s="497"/>
      <c r="V3026" s="263"/>
      <c r="W3026" s="267"/>
      <c r="X3026" s="263"/>
    </row>
    <row r="3027" spans="1:53" ht="69.95" customHeight="1">
      <c r="E3027" s="264"/>
      <c r="F3027" s="265"/>
      <c r="G3027" s="263"/>
      <c r="H3027" s="275" t="s">
        <v>36</v>
      </c>
      <c r="I3027" s="483"/>
      <c r="J3027" s="484"/>
      <c r="K3027" s="484"/>
      <c r="L3027" s="485"/>
      <c r="M3027" s="263"/>
      <c r="N3027" s="263"/>
      <c r="O3027" s="275" t="s">
        <v>36</v>
      </c>
      <c r="P3027" s="486"/>
      <c r="Q3027" s="486"/>
      <c r="R3027" s="486"/>
      <c r="S3027" s="486"/>
      <c r="T3027" s="486"/>
      <c r="U3027" s="486"/>
      <c r="V3027" s="263"/>
      <c r="W3027" s="267"/>
      <c r="X3027" s="263"/>
    </row>
    <row r="3028" spans="1:53" ht="69.95" customHeight="1">
      <c r="E3028" s="264"/>
      <c r="F3028" s="265"/>
      <c r="G3028" s="263"/>
      <c r="H3028" s="275" t="s">
        <v>37</v>
      </c>
      <c r="I3028" s="486"/>
      <c r="J3028" s="486"/>
      <c r="K3028" s="486"/>
      <c r="L3028" s="486"/>
      <c r="M3028" s="263"/>
      <c r="N3028" s="263"/>
      <c r="O3028" s="275" t="s">
        <v>37</v>
      </c>
      <c r="P3028" s="486"/>
      <c r="Q3028" s="486"/>
      <c r="R3028" s="486"/>
      <c r="S3028" s="486"/>
      <c r="T3028" s="486"/>
      <c r="U3028" s="486"/>
      <c r="V3028" s="263"/>
      <c r="W3028" s="267"/>
      <c r="X3028" s="263"/>
    </row>
    <row r="3029" spans="1:53" ht="69.95" customHeight="1">
      <c r="E3029" s="264"/>
      <c r="F3029" s="265"/>
      <c r="G3029" s="263"/>
      <c r="H3029" s="275" t="s">
        <v>37</v>
      </c>
      <c r="I3029" s="486"/>
      <c r="J3029" s="486"/>
      <c r="K3029" s="486"/>
      <c r="L3029" s="486"/>
      <c r="M3029" s="263"/>
      <c r="N3029" s="263"/>
      <c r="O3029" s="275" t="s">
        <v>37</v>
      </c>
      <c r="P3029" s="486"/>
      <c r="Q3029" s="486"/>
      <c r="R3029" s="486"/>
      <c r="S3029" s="486"/>
      <c r="T3029" s="486"/>
      <c r="U3029" s="486"/>
      <c r="V3029" s="263"/>
      <c r="W3029" s="267"/>
      <c r="X3029" s="263"/>
    </row>
    <row r="3030" spans="1:53" ht="39.950000000000003" customHeight="1" thickBot="1">
      <c r="E3030" s="276"/>
      <c r="F3030" s="277"/>
      <c r="G3030" s="278"/>
      <c r="H3030" s="278"/>
      <c r="I3030" s="278"/>
      <c r="J3030" s="278"/>
      <c r="K3030" s="278"/>
      <c r="L3030" s="278"/>
      <c r="M3030" s="278"/>
      <c r="N3030" s="278"/>
      <c r="O3030" s="278"/>
      <c r="P3030" s="278"/>
      <c r="Q3030" s="278"/>
      <c r="R3030" s="278"/>
      <c r="S3030" s="278"/>
      <c r="T3030" s="279"/>
      <c r="U3030" s="279"/>
      <c r="V3030" s="279"/>
      <c r="W3030" s="280"/>
      <c r="X3030" s="263"/>
    </row>
    <row r="3031" spans="1:53" ht="62.25" thickBot="1"/>
    <row r="3032" spans="1:53" ht="39.950000000000003" customHeight="1">
      <c r="A3032" s="252" t="str">
        <f>CONCATENATE(F3039,F3041,F3043)</f>
        <v>D4P15</v>
      </c>
      <c r="C3032" s="223"/>
      <c r="D3032" s="223"/>
      <c r="E3032" s="259" t="s">
        <v>70</v>
      </c>
      <c r="F3032" s="260">
        <f>VLOOKUP(CONCATENATE(A3032,1),'zoznam zapasov'!$A$6:$K$160,3,0)</f>
        <v>150</v>
      </c>
      <c r="G3032" s="261"/>
      <c r="H3032" s="322" t="s">
        <v>501</v>
      </c>
      <c r="I3032" s="261"/>
      <c r="J3032" s="261"/>
      <c r="K3032" s="261"/>
      <c r="L3032" s="261" t="s">
        <v>546</v>
      </c>
      <c r="M3032" s="261"/>
      <c r="N3032" s="261"/>
      <c r="O3032" s="261"/>
      <c r="P3032" s="261"/>
      <c r="Q3032" s="261"/>
      <c r="R3032" s="261"/>
      <c r="S3032" s="261"/>
      <c r="T3032" s="261"/>
      <c r="U3032" s="261"/>
      <c r="V3032" s="261" t="s">
        <v>30</v>
      </c>
      <c r="W3032" s="262"/>
      <c r="X3032" s="263"/>
      <c r="Y3032" s="253" t="str">
        <f>A3034</f>
        <v>D4P151</v>
      </c>
      <c r="Z3032" s="258" t="str">
        <f>CONCATENATE(V3034,":",V3037)</f>
        <v>0:3</v>
      </c>
      <c r="AA3032" s="255" t="str">
        <f>IF(V3034&gt;V3037,B3034,IF(V3037&gt;V3034,B3037,""))</f>
        <v>PEKOVÁ / DIVINSKÁ</v>
      </c>
      <c r="AB3032" s="255" t="str">
        <f>IF(V3034&gt;V3037,AV3032,IF(V3037&gt;V3034,AV3033,""))</f>
        <v xml:space="preserve">3:0 ( 7,12,9,,,, ) </v>
      </c>
      <c r="AC3032" s="255" t="str">
        <f>CONCATENATE("Tbl.: ",F3034,"   H: ",F3037,"   D: ",F3036)</f>
        <v>Tbl.: 2   H: 11.30   D: Ne</v>
      </c>
      <c r="AE3032" s="253" t="s">
        <v>11</v>
      </c>
      <c r="AV3032" s="256" t="str">
        <f>CONCATENATE(V3034,":",V3037, " ( ",AN3034,",",AO3034,",",AP3034,",",AQ3034,",",AR3034,",",AS3034,",",AT3034," ) ")</f>
        <v xml:space="preserve">0:3 ( -7,-12,-9,,,, ) </v>
      </c>
    </row>
    <row r="3033" spans="1:53" ht="39.950000000000003" customHeight="1">
      <c r="C3033" s="223"/>
      <c r="D3033" s="223"/>
      <c r="E3033" s="264"/>
      <c r="F3033" s="265"/>
      <c r="G3033" s="321" t="s">
        <v>500</v>
      </c>
      <c r="H3033" s="323" t="s">
        <v>502</v>
      </c>
      <c r="I3033" s="263"/>
      <c r="J3033" s="263"/>
      <c r="K3033" s="263"/>
      <c r="L3033" s="263"/>
      <c r="M3033" s="263"/>
      <c r="N3033" s="266">
        <v>1</v>
      </c>
      <c r="O3033" s="266">
        <v>2</v>
      </c>
      <c r="P3033" s="266">
        <v>3</v>
      </c>
      <c r="Q3033" s="266">
        <v>4</v>
      </c>
      <c r="R3033" s="266">
        <v>5</v>
      </c>
      <c r="S3033" s="266">
        <v>6</v>
      </c>
      <c r="T3033" s="266">
        <v>7</v>
      </c>
      <c r="U3033" s="263"/>
      <c r="V3033" s="266" t="s">
        <v>31</v>
      </c>
      <c r="W3033" s="267"/>
      <c r="X3033" s="263"/>
      <c r="AE3033" s="253" t="s">
        <v>68</v>
      </c>
      <c r="AV3033" s="256" t="str">
        <f>CONCATENATE(V3037,":",V3034, " ( ",AN3035,",",AO3035,",",AP3035,",",AQ3035,",",AR3035,",",AS3035,",",AT3035," ) ")</f>
        <v xml:space="preserve">3:0 ( 7,12,9,,,, ) </v>
      </c>
    </row>
    <row r="3034" spans="1:53" ht="39.950000000000003" customHeight="1">
      <c r="A3034" s="252" t="str">
        <f>CONCATENATE(A3032,1)</f>
        <v>D4P151</v>
      </c>
      <c r="B3034" s="252" t="str">
        <f>VLOOKUP(A3034,'KO KODY SPOLU'!$A$3:$B$189,2,0)</f>
        <v>LABOŠOVÁ / ŠINKAROVÁ</v>
      </c>
      <c r="C3034" s="223"/>
      <c r="D3034" s="223"/>
      <c r="E3034" s="264" t="s">
        <v>29</v>
      </c>
      <c r="F3034" s="265">
        <f>VLOOKUP(CONCATENATE(A3032,1),'zoznam zapasov'!$A$6:$K$160,11,0)</f>
        <v>2</v>
      </c>
      <c r="G3034" s="508"/>
      <c r="H3034" s="319"/>
      <c r="I3034" s="487" t="str">
        <f>IF(ISERROR(VLOOKUP(B3034,vylosovanie!$N$75:$Q$191,3,0))=TRUE," ",VLOOKUP(B3034,vylosovanie!$N$75:$Q$191,3,0))</f>
        <v>LABOŠOVÁ Ema</v>
      </c>
      <c r="J3034" s="488"/>
      <c r="K3034" s="488"/>
      <c r="L3034" s="488"/>
      <c r="M3034" s="263"/>
      <c r="N3034" s="489">
        <v>7</v>
      </c>
      <c r="O3034" s="489">
        <v>12</v>
      </c>
      <c r="P3034" s="489">
        <v>9</v>
      </c>
      <c r="Q3034" s="489"/>
      <c r="R3034" s="489"/>
      <c r="S3034" s="491"/>
      <c r="T3034" s="491"/>
      <c r="U3034" s="263"/>
      <c r="V3034" s="493">
        <f>IF(SUM(AF3034:AL3035)=0,"",SUM(AF3034:AL3034))</f>
        <v>0</v>
      </c>
      <c r="W3034" s="267"/>
      <c r="X3034" s="263"/>
      <c r="AE3034" s="253" t="str">
        <f>VLOOKUP(I3034,vylosovanie!$F$8:$L$190,7,0)</f>
        <v>D11</v>
      </c>
      <c r="AF3034" s="268">
        <f>IF(N3034&gt;N3037,1,0)</f>
        <v>0</v>
      </c>
      <c r="AG3034" s="268">
        <f t="shared" ref="AG3034" si="3000">IF(O3034&gt;O3037,1,0)</f>
        <v>0</v>
      </c>
      <c r="AH3034" s="268">
        <f t="shared" ref="AH3034" si="3001">IF(P3034&gt;P3037,1,0)</f>
        <v>0</v>
      </c>
      <c r="AI3034" s="268">
        <f t="shared" ref="AI3034" si="3002">IF(Q3034&gt;Q3037,1,0)</f>
        <v>0</v>
      </c>
      <c r="AJ3034" s="268">
        <f t="shared" ref="AJ3034" si="3003">IF(R3034&gt;R3037,1,0)</f>
        <v>0</v>
      </c>
      <c r="AK3034" s="268">
        <f t="shared" ref="AK3034" si="3004">IF(S3034&gt;S3037,1,0)</f>
        <v>0</v>
      </c>
      <c r="AL3034" s="268">
        <f t="shared" ref="AL3034" si="3005">IF(T3034&gt;T3037,1,0)</f>
        <v>0</v>
      </c>
      <c r="AN3034" s="268">
        <f t="shared" ref="AN3034" si="3006">IF(ISBLANK(N3034)=TRUE,"",IF(AF3034=1,N3037,-N3034))</f>
        <v>-7</v>
      </c>
      <c r="AO3034" s="268">
        <f t="shared" ref="AO3034" si="3007">IF(ISBLANK(O3034)=TRUE,"",IF(AG3034=1,O3037,-O3034))</f>
        <v>-12</v>
      </c>
      <c r="AP3034" s="268">
        <f t="shared" ref="AP3034" si="3008">IF(ISBLANK(P3034)=TRUE,"",IF(AH3034=1,P3037,-P3034))</f>
        <v>-9</v>
      </c>
      <c r="AQ3034" s="268" t="str">
        <f t="shared" ref="AQ3034" si="3009">IF(ISBLANK(Q3034)=TRUE,"",IF(AI3034=1,Q3037,-Q3034))</f>
        <v/>
      </c>
      <c r="AR3034" s="268" t="str">
        <f t="shared" ref="AR3034" si="3010">IF(ISBLANK(R3034)=TRUE,"",IF(AJ3034=1,R3037,-R3034))</f>
        <v/>
      </c>
      <c r="AS3034" s="268" t="str">
        <f t="shared" ref="AS3034" si="3011">IF(ISBLANK(S3034)=TRUE,"",IF(AK3034=1,S3037,-S3034))</f>
        <v/>
      </c>
      <c r="AT3034" s="268" t="str">
        <f t="shared" ref="AT3034" si="3012">IF(ISBLANK(T3034)=TRUE,"",IF(AL3034=1,T3037,-T3034))</f>
        <v/>
      </c>
      <c r="AZ3034" s="269" t="s">
        <v>12</v>
      </c>
      <c r="BA3034" s="269">
        <v>1</v>
      </c>
    </row>
    <row r="3035" spans="1:53" ht="39.950000000000003" customHeight="1">
      <c r="C3035" s="223"/>
      <c r="D3035" s="223"/>
      <c r="E3035" s="264"/>
      <c r="F3035" s="265"/>
      <c r="G3035" s="509"/>
      <c r="H3035" s="319"/>
      <c r="I3035" s="487" t="str">
        <f>IF(ISERROR(VLOOKUP(B3034,vylosovanie!$N$75:$Q$191,3,0))=TRUE," ",VLOOKUP(B3034,vylosovanie!$N$75:$Q$191,4,0))</f>
        <v>ŠINKAROVÁ Dáša</v>
      </c>
      <c r="J3035" s="488"/>
      <c r="K3035" s="488"/>
      <c r="L3035" s="488"/>
      <c r="M3035" s="263"/>
      <c r="N3035" s="490"/>
      <c r="O3035" s="490"/>
      <c r="P3035" s="490"/>
      <c r="Q3035" s="490"/>
      <c r="R3035" s="490"/>
      <c r="S3035" s="492"/>
      <c r="T3035" s="492"/>
      <c r="U3035" s="263"/>
      <c r="V3035" s="493"/>
      <c r="W3035" s="267"/>
      <c r="X3035" s="263"/>
      <c r="AE3035" s="253" t="str">
        <f>VLOOKUP(I3037,vylosovanie!$F$8:$L$190,7,0)</f>
        <v>D21</v>
      </c>
      <c r="AF3035" s="268">
        <f>IF(N3037&gt;N3034,1,0)</f>
        <v>1</v>
      </c>
      <c r="AG3035" s="268">
        <f t="shared" ref="AG3035" si="3013">IF(O3037&gt;O3034,1,0)</f>
        <v>1</v>
      </c>
      <c r="AH3035" s="268">
        <f t="shared" ref="AH3035" si="3014">IF(P3037&gt;P3034,1,0)</f>
        <v>1</v>
      </c>
      <c r="AI3035" s="268">
        <f t="shared" ref="AI3035" si="3015">IF(Q3037&gt;Q3034,1,0)</f>
        <v>0</v>
      </c>
      <c r="AJ3035" s="268">
        <f t="shared" ref="AJ3035" si="3016">IF(R3037&gt;R3034,1,0)</f>
        <v>0</v>
      </c>
      <c r="AK3035" s="268">
        <f t="shared" ref="AK3035" si="3017">IF(S3037&gt;S3034,1,0)</f>
        <v>0</v>
      </c>
      <c r="AL3035" s="268">
        <f t="shared" ref="AL3035" si="3018">IF(T3037&gt;T3034,1,0)</f>
        <v>0</v>
      </c>
      <c r="AN3035" s="268">
        <f t="shared" ref="AN3035" si="3019">IF(ISBLANK(N3037)=TRUE,"",IF(AF3035=1,N3034,-N3037))</f>
        <v>7</v>
      </c>
      <c r="AO3035" s="268">
        <f t="shared" ref="AO3035" si="3020">IF(ISBLANK(O3037)=TRUE,"",IF(AG3035=1,O3034,-O3037))</f>
        <v>12</v>
      </c>
      <c r="AP3035" s="268">
        <f t="shared" ref="AP3035" si="3021">IF(ISBLANK(P3037)=TRUE,"",IF(AH3035=1,P3034,-P3037))</f>
        <v>9</v>
      </c>
      <c r="AQ3035" s="268" t="str">
        <f t="shared" ref="AQ3035" si="3022">IF(ISBLANK(Q3037)=TRUE,"",IF(AI3035=1,Q3034,-Q3037))</f>
        <v/>
      </c>
      <c r="AR3035" s="268" t="str">
        <f t="shared" ref="AR3035" si="3023">IF(ISBLANK(R3037)=TRUE,"",IF(AJ3035=1,R3034,-R3037))</f>
        <v/>
      </c>
      <c r="AS3035" s="268" t="str">
        <f t="shared" ref="AS3035" si="3024">IF(ISBLANK(S3037)=TRUE,"",IF(AK3035=1,S3034,-S3037))</f>
        <v/>
      </c>
      <c r="AT3035" s="268" t="str">
        <f t="shared" ref="AT3035" si="3025">IF(ISBLANK(T3037)=TRUE,"",IF(AL3035=1,T3034,-T3037))</f>
        <v/>
      </c>
      <c r="AZ3035" s="269" t="s">
        <v>18</v>
      </c>
      <c r="BA3035" s="269">
        <v>2</v>
      </c>
    </row>
    <row r="3036" spans="1:53" ht="39.950000000000003" customHeight="1">
      <c r="C3036" s="223"/>
      <c r="D3036" s="223"/>
      <c r="E3036" s="264" t="s">
        <v>35</v>
      </c>
      <c r="F3036" s="265" t="str">
        <f>VLOOKUP(CONCATENATE(A3032,1),'zoznam zapasov'!$A$6:$K$160,9,0)</f>
        <v>Ne</v>
      </c>
      <c r="G3036" s="263"/>
      <c r="H3036" s="263"/>
      <c r="I3036" s="263"/>
      <c r="J3036" s="263"/>
      <c r="K3036" s="263"/>
      <c r="L3036" s="263"/>
      <c r="M3036" s="263"/>
      <c r="N3036" s="263"/>
      <c r="O3036" s="263"/>
      <c r="P3036" s="263"/>
      <c r="Q3036" s="263"/>
      <c r="R3036" s="263"/>
      <c r="S3036" s="263"/>
      <c r="T3036" s="263"/>
      <c r="U3036" s="263"/>
      <c r="V3036" s="263"/>
      <c r="W3036" s="267"/>
      <c r="X3036" s="263"/>
      <c r="AZ3036" s="269" t="s">
        <v>38</v>
      </c>
      <c r="BA3036" s="269">
        <v>3</v>
      </c>
    </row>
    <row r="3037" spans="1:53" ht="39.950000000000003" customHeight="1">
      <c r="A3037" s="252" t="str">
        <f>CONCATENATE(A3032,2)</f>
        <v>D4P152</v>
      </c>
      <c r="B3037" s="252" t="str">
        <f>VLOOKUP(A3037,'KO KODY SPOLU'!$A$3:$B$189,2,0)</f>
        <v>PEKOVÁ / DIVINSKÁ</v>
      </c>
      <c r="C3037" s="223"/>
      <c r="D3037" s="223"/>
      <c r="E3037" s="264" t="s">
        <v>28</v>
      </c>
      <c r="F3037" s="270" t="str">
        <f>VLOOKUP(CONCATENATE(A3032,1),'zoznam zapasov'!$A$6:$K$160,10,0)</f>
        <v>11.30</v>
      </c>
      <c r="G3037" s="508"/>
      <c r="H3037" s="319"/>
      <c r="I3037" s="487" t="str">
        <f>IF(ISERROR(VLOOKUP(B3037,vylosovanie!$N$75:$Q$191,3,0))=TRUE," ",VLOOKUP(B3037,vylosovanie!$N$75:$Q$191,3,0))</f>
        <v>PEKOVÁ Zuzana</v>
      </c>
      <c r="J3037" s="488"/>
      <c r="K3037" s="488"/>
      <c r="L3037" s="488"/>
      <c r="M3037" s="263"/>
      <c r="N3037" s="489">
        <v>11</v>
      </c>
      <c r="O3037" s="489">
        <v>14</v>
      </c>
      <c r="P3037" s="489">
        <v>11</v>
      </c>
      <c r="Q3037" s="489"/>
      <c r="R3037" s="489"/>
      <c r="S3037" s="491"/>
      <c r="T3037" s="491"/>
      <c r="U3037" s="263"/>
      <c r="V3037" s="493">
        <f>IF(SUM(AF3034:AL3035)=0,"",SUM(AF3035:AL3035))</f>
        <v>3</v>
      </c>
      <c r="W3037" s="267"/>
      <c r="X3037" s="263"/>
      <c r="AZ3037" s="269" t="s">
        <v>39</v>
      </c>
      <c r="BA3037" s="269">
        <v>4</v>
      </c>
    </row>
    <row r="3038" spans="1:53" ht="39.950000000000003" customHeight="1">
      <c r="C3038" s="223"/>
      <c r="D3038" s="223"/>
      <c r="E3038" s="271"/>
      <c r="F3038" s="272"/>
      <c r="G3038" s="509"/>
      <c r="H3038" s="319"/>
      <c r="I3038" s="487" t="str">
        <f>IF(ISERROR(VLOOKUP(B3037,vylosovanie!$N$75:$Q$191,3,0))=TRUE," ",VLOOKUP(B3037,vylosovanie!$N$75:$Q$191,4,0))</f>
        <v>DIVINSKÁ Natália</v>
      </c>
      <c r="J3038" s="488"/>
      <c r="K3038" s="488"/>
      <c r="L3038" s="488"/>
      <c r="M3038" s="263"/>
      <c r="N3038" s="490"/>
      <c r="O3038" s="490"/>
      <c r="P3038" s="490"/>
      <c r="Q3038" s="490"/>
      <c r="R3038" s="490"/>
      <c r="S3038" s="492"/>
      <c r="T3038" s="492"/>
      <c r="U3038" s="263"/>
      <c r="V3038" s="493"/>
      <c r="W3038" s="267"/>
      <c r="X3038" s="263"/>
      <c r="AZ3038" s="269" t="s">
        <v>40</v>
      </c>
      <c r="BA3038" s="269">
        <v>5</v>
      </c>
    </row>
    <row r="3039" spans="1:53" ht="39.950000000000003" customHeight="1">
      <c r="C3039" s="223"/>
      <c r="D3039" s="223"/>
      <c r="E3039" s="264" t="s">
        <v>66</v>
      </c>
      <c r="F3039" s="265" t="s">
        <v>95</v>
      </c>
      <c r="G3039" s="263"/>
      <c r="H3039" s="263"/>
      <c r="I3039" s="263"/>
      <c r="J3039" s="263"/>
      <c r="K3039" s="263"/>
      <c r="L3039" s="263"/>
      <c r="M3039" s="263"/>
      <c r="N3039" s="263"/>
      <c r="O3039" s="263"/>
      <c r="P3039" s="263"/>
      <c r="Q3039" s="263"/>
      <c r="R3039" s="263"/>
      <c r="S3039" s="263"/>
      <c r="T3039" s="263"/>
      <c r="U3039" s="263"/>
      <c r="V3039" s="263"/>
      <c r="W3039" s="267"/>
      <c r="X3039" s="263"/>
      <c r="AZ3039" s="269" t="s">
        <v>41</v>
      </c>
      <c r="BA3039" s="269">
        <v>6</v>
      </c>
    </row>
    <row r="3040" spans="1:53" ht="39.950000000000003" customHeight="1">
      <c r="C3040" s="223"/>
      <c r="D3040" s="223"/>
      <c r="E3040" s="271"/>
      <c r="F3040" s="272"/>
      <c r="G3040" s="263"/>
      <c r="H3040" s="263"/>
      <c r="I3040" s="263" t="s">
        <v>32</v>
      </c>
      <c r="J3040" s="263"/>
      <c r="K3040" s="263"/>
      <c r="L3040" s="263"/>
      <c r="M3040" s="263"/>
      <c r="N3040" s="273"/>
      <c r="O3040" s="266"/>
      <c r="P3040" s="266" t="s">
        <v>34</v>
      </c>
      <c r="Q3040" s="266"/>
      <c r="R3040" s="266"/>
      <c r="S3040" s="266"/>
      <c r="T3040" s="266"/>
      <c r="U3040" s="263"/>
      <c r="V3040" s="263"/>
      <c r="W3040" s="267"/>
      <c r="X3040" s="263"/>
      <c r="AZ3040" s="269" t="s">
        <v>42</v>
      </c>
      <c r="BA3040" s="269">
        <v>7</v>
      </c>
    </row>
    <row r="3041" spans="1:53" ht="39.950000000000003" customHeight="1">
      <c r="E3041" s="264" t="s">
        <v>26</v>
      </c>
      <c r="F3041" s="265" t="s">
        <v>128</v>
      </c>
      <c r="G3041" s="263"/>
      <c r="H3041" s="263"/>
      <c r="I3041" s="486"/>
      <c r="J3041" s="486"/>
      <c r="K3041" s="486"/>
      <c r="L3041" s="486"/>
      <c r="M3041" s="263"/>
      <c r="N3041" s="483" t="str">
        <f>IF(V3034&gt;V3037,I3034,IF(V3037&gt;V3034,I3037,""))</f>
        <v>PEKOVÁ Zuzana</v>
      </c>
      <c r="O3041" s="494"/>
      <c r="P3041" s="494"/>
      <c r="Q3041" s="494"/>
      <c r="R3041" s="494"/>
      <c r="S3041" s="495"/>
      <c r="T3041" s="263"/>
      <c r="U3041" s="263"/>
      <c r="V3041" s="263"/>
      <c r="W3041" s="267"/>
      <c r="X3041" s="263"/>
      <c r="AZ3041" s="269" t="s">
        <v>43</v>
      </c>
      <c r="BA3041" s="269">
        <v>8</v>
      </c>
    </row>
    <row r="3042" spans="1:53" ht="39.950000000000003" customHeight="1">
      <c r="E3042" s="271"/>
      <c r="F3042" s="272"/>
      <c r="G3042" s="263"/>
      <c r="H3042" s="263"/>
      <c r="I3042" s="486"/>
      <c r="J3042" s="486"/>
      <c r="K3042" s="486"/>
      <c r="L3042" s="486"/>
      <c r="M3042" s="263"/>
      <c r="N3042" s="483" t="str">
        <f>IF(V3034&gt;V3037,I3035,IF(V3037&gt;V3034,I3038,""))</f>
        <v>DIVINSKÁ Natália</v>
      </c>
      <c r="O3042" s="494"/>
      <c r="P3042" s="494"/>
      <c r="Q3042" s="494"/>
      <c r="R3042" s="494"/>
      <c r="S3042" s="495"/>
      <c r="T3042" s="263"/>
      <c r="U3042" s="263"/>
      <c r="V3042" s="263"/>
      <c r="W3042" s="267"/>
      <c r="X3042" s="263"/>
    </row>
    <row r="3043" spans="1:53" ht="39.950000000000003" customHeight="1">
      <c r="E3043" s="264" t="s">
        <v>27</v>
      </c>
      <c r="F3043" s="274" t="s">
        <v>354</v>
      </c>
      <c r="G3043" s="263"/>
      <c r="H3043" s="263"/>
      <c r="I3043" s="263"/>
      <c r="J3043" s="263"/>
      <c r="K3043" s="263"/>
      <c r="L3043" s="263"/>
      <c r="M3043" s="263"/>
      <c r="N3043" s="263"/>
      <c r="O3043" s="263"/>
      <c r="P3043" s="263"/>
      <c r="Q3043" s="263"/>
      <c r="R3043" s="263"/>
      <c r="S3043" s="263"/>
      <c r="T3043" s="263"/>
      <c r="U3043" s="263"/>
      <c r="V3043" s="263"/>
      <c r="W3043" s="267"/>
      <c r="X3043" s="263"/>
    </row>
    <row r="3044" spans="1:53" ht="39.950000000000003" customHeight="1">
      <c r="E3044" s="271"/>
      <c r="F3044" s="272"/>
      <c r="G3044" s="263"/>
      <c r="H3044" s="263" t="s">
        <v>33</v>
      </c>
      <c r="I3044" s="263"/>
      <c r="J3044" s="263"/>
      <c r="K3044" s="263"/>
      <c r="L3044" s="263"/>
      <c r="M3044" s="263"/>
      <c r="N3044" s="263"/>
      <c r="O3044" s="263"/>
      <c r="P3044" s="263"/>
      <c r="Q3044" s="263"/>
      <c r="R3044" s="263"/>
      <c r="S3044" s="263"/>
      <c r="T3044" s="263"/>
      <c r="U3044" s="263"/>
      <c r="V3044" s="263"/>
      <c r="W3044" s="267"/>
      <c r="X3044" s="263"/>
    </row>
    <row r="3045" spans="1:53" ht="39.950000000000003" customHeight="1">
      <c r="E3045" s="271"/>
      <c r="F3045" s="272"/>
      <c r="G3045" s="263"/>
      <c r="H3045" s="263"/>
      <c r="I3045" s="263"/>
      <c r="J3045" s="263"/>
      <c r="K3045" s="263"/>
      <c r="L3045" s="263"/>
      <c r="M3045" s="263"/>
      <c r="N3045" s="263"/>
      <c r="O3045" s="263"/>
      <c r="P3045" s="263"/>
      <c r="Q3045" s="263"/>
      <c r="R3045" s="263"/>
      <c r="S3045" s="263"/>
      <c r="T3045" s="263"/>
      <c r="U3045" s="263"/>
      <c r="V3045" s="263"/>
      <c r="W3045" s="267"/>
      <c r="X3045" s="263"/>
    </row>
    <row r="3046" spans="1:53" ht="39.950000000000003" customHeight="1">
      <c r="E3046" s="271"/>
      <c r="F3046" s="272"/>
      <c r="G3046" s="263"/>
      <c r="H3046" s="263"/>
      <c r="I3046" s="496" t="str">
        <f>I3034</f>
        <v>LABOŠOVÁ Ema</v>
      </c>
      <c r="J3046" s="496"/>
      <c r="K3046" s="496"/>
      <c r="L3046" s="496"/>
      <c r="M3046" s="263"/>
      <c r="N3046" s="263"/>
      <c r="P3046" s="496" t="str">
        <f>I3037</f>
        <v>PEKOVÁ Zuzana</v>
      </c>
      <c r="Q3046" s="496"/>
      <c r="R3046" s="496"/>
      <c r="S3046" s="496"/>
      <c r="T3046" s="497"/>
      <c r="U3046" s="497"/>
      <c r="V3046" s="263"/>
      <c r="W3046" s="267"/>
      <c r="X3046" s="263"/>
    </row>
    <row r="3047" spans="1:53" ht="39.950000000000003" customHeight="1">
      <c r="E3047" s="271"/>
      <c r="F3047" s="272"/>
      <c r="G3047" s="263"/>
      <c r="H3047" s="263"/>
      <c r="I3047" s="496" t="str">
        <f>I3035</f>
        <v>ŠINKAROVÁ Dáša</v>
      </c>
      <c r="J3047" s="496"/>
      <c r="K3047" s="496"/>
      <c r="L3047" s="496"/>
      <c r="M3047" s="263"/>
      <c r="N3047" s="263"/>
      <c r="O3047" s="263"/>
      <c r="P3047" s="496" t="str">
        <f>I3038</f>
        <v>DIVINSKÁ Natália</v>
      </c>
      <c r="Q3047" s="496"/>
      <c r="R3047" s="496"/>
      <c r="S3047" s="496"/>
      <c r="T3047" s="497"/>
      <c r="U3047" s="497"/>
      <c r="V3047" s="263"/>
      <c r="W3047" s="267"/>
      <c r="X3047" s="263"/>
    </row>
    <row r="3048" spans="1:53" ht="69.95" customHeight="1">
      <c r="E3048" s="264"/>
      <c r="F3048" s="265"/>
      <c r="G3048" s="263"/>
      <c r="H3048" s="275" t="s">
        <v>36</v>
      </c>
      <c r="I3048" s="483"/>
      <c r="J3048" s="484"/>
      <c r="K3048" s="484"/>
      <c r="L3048" s="485"/>
      <c r="M3048" s="263"/>
      <c r="N3048" s="263"/>
      <c r="O3048" s="275" t="s">
        <v>36</v>
      </c>
      <c r="P3048" s="486"/>
      <c r="Q3048" s="486"/>
      <c r="R3048" s="486"/>
      <c r="S3048" s="486"/>
      <c r="T3048" s="486"/>
      <c r="U3048" s="486"/>
      <c r="V3048" s="263"/>
      <c r="W3048" s="267"/>
      <c r="X3048" s="263"/>
    </row>
    <row r="3049" spans="1:53" ht="69.95" customHeight="1">
      <c r="E3049" s="264"/>
      <c r="F3049" s="265"/>
      <c r="G3049" s="263"/>
      <c r="H3049" s="275" t="s">
        <v>37</v>
      </c>
      <c r="I3049" s="486"/>
      <c r="J3049" s="486"/>
      <c r="K3049" s="486"/>
      <c r="L3049" s="486"/>
      <c r="M3049" s="263"/>
      <c r="N3049" s="263"/>
      <c r="O3049" s="275" t="s">
        <v>37</v>
      </c>
      <c r="P3049" s="486"/>
      <c r="Q3049" s="486"/>
      <c r="R3049" s="486"/>
      <c r="S3049" s="486"/>
      <c r="T3049" s="486"/>
      <c r="U3049" s="486"/>
      <c r="V3049" s="263"/>
      <c r="W3049" s="267"/>
      <c r="X3049" s="263"/>
    </row>
    <row r="3050" spans="1:53" ht="69.95" customHeight="1">
      <c r="E3050" s="264"/>
      <c r="F3050" s="265"/>
      <c r="G3050" s="263"/>
      <c r="H3050" s="275" t="s">
        <v>37</v>
      </c>
      <c r="I3050" s="486"/>
      <c r="J3050" s="486"/>
      <c r="K3050" s="486"/>
      <c r="L3050" s="486"/>
      <c r="M3050" s="263"/>
      <c r="N3050" s="263"/>
      <c r="O3050" s="275" t="s">
        <v>37</v>
      </c>
      <c r="P3050" s="486"/>
      <c r="Q3050" s="486"/>
      <c r="R3050" s="486"/>
      <c r="S3050" s="486"/>
      <c r="T3050" s="486"/>
      <c r="U3050" s="486"/>
      <c r="V3050" s="263"/>
      <c r="W3050" s="267"/>
      <c r="X3050" s="263"/>
    </row>
    <row r="3051" spans="1:53" ht="39.950000000000003" customHeight="1" thickBot="1">
      <c r="E3051" s="276"/>
      <c r="F3051" s="277"/>
      <c r="G3051" s="278"/>
      <c r="H3051" s="278"/>
      <c r="I3051" s="278"/>
      <c r="J3051" s="278"/>
      <c r="K3051" s="278"/>
      <c r="L3051" s="278"/>
      <c r="M3051" s="278"/>
      <c r="N3051" s="278"/>
      <c r="O3051" s="278"/>
      <c r="P3051" s="278"/>
      <c r="Q3051" s="278"/>
      <c r="R3051" s="278"/>
      <c r="S3051" s="278"/>
      <c r="T3051" s="279"/>
      <c r="U3051" s="279"/>
      <c r="V3051" s="279"/>
      <c r="W3051" s="280"/>
      <c r="X3051" s="263"/>
    </row>
    <row r="3052" spans="1:53" ht="62.25" thickBot="1"/>
    <row r="3053" spans="1:53" ht="39.950000000000003" customHeight="1">
      <c r="A3053" s="252" t="str">
        <f>CONCATENATE(F3060,F3062,F3064)</f>
        <v>MIXP31</v>
      </c>
      <c r="C3053" s="223"/>
      <c r="D3053" s="223"/>
      <c r="E3053" s="259" t="s">
        <v>70</v>
      </c>
      <c r="F3053" s="260">
        <f>VLOOKUP(CONCATENATE(A3053,1),'zoznam zapasov'!$A$6:$K$160,3,0)</f>
        <v>151</v>
      </c>
      <c r="G3053" s="261"/>
      <c r="H3053" s="322" t="s">
        <v>501</v>
      </c>
      <c r="I3053" s="261"/>
      <c r="J3053" s="261"/>
      <c r="K3053" s="261"/>
      <c r="L3053" s="261" t="s">
        <v>547</v>
      </c>
      <c r="M3053" s="261"/>
      <c r="N3053" s="261"/>
      <c r="O3053" s="261"/>
      <c r="P3053" s="261"/>
      <c r="Q3053" s="261"/>
      <c r="R3053" s="261"/>
      <c r="S3053" s="261"/>
      <c r="T3053" s="261"/>
      <c r="U3053" s="261"/>
      <c r="V3053" s="261" t="s">
        <v>30</v>
      </c>
      <c r="W3053" s="262"/>
      <c r="X3053" s="263"/>
      <c r="Y3053" s="253" t="str">
        <f>A3055</f>
        <v>MIXP311</v>
      </c>
      <c r="Z3053" s="258" t="str">
        <f>CONCATENATE(V3055,":",V3058)</f>
        <v>1:3</v>
      </c>
      <c r="AA3053" s="255" t="str">
        <f>IF(V3055&gt;V3058,B3055,IF(V3058&gt;V3055,B3058,""))</f>
        <v>PINDURA / ŠINKAROVÁ</v>
      </c>
      <c r="AB3053" s="255" t="str">
        <f>IF(V3055&gt;V3058,AV3053,IF(V3058&gt;V3055,AV3054,""))</f>
        <v xml:space="preserve">3:1 ( 5,11,-9,9,,, ) </v>
      </c>
      <c r="AC3053" s="255" t="str">
        <f>CONCATENATE("Tbl.: ",F3055,"   H: ",F3058,"   D: ",F3057)</f>
        <v>Tbl.: 1   H: 12.00   D: Ne</v>
      </c>
      <c r="AE3053" s="253" t="s">
        <v>11</v>
      </c>
      <c r="AV3053" s="256" t="str">
        <f>CONCATENATE(V3055,":",V3058, " ( ",AN3055,",",AO3055,",",AP3055,",",AQ3055,",",AR3055,",",AS3055,",",AT3055," ) ")</f>
        <v xml:space="preserve">1:3 ( -5,-11,9,-9,,, ) </v>
      </c>
    </row>
    <row r="3054" spans="1:53" ht="39.950000000000003" customHeight="1">
      <c r="C3054" s="223"/>
      <c r="D3054" s="223"/>
      <c r="E3054" s="264"/>
      <c r="F3054" s="265"/>
      <c r="G3054" s="321" t="s">
        <v>500</v>
      </c>
      <c r="H3054" s="323" t="s">
        <v>502</v>
      </c>
      <c r="I3054" s="263"/>
      <c r="J3054" s="263"/>
      <c r="K3054" s="263"/>
      <c r="L3054" s="263"/>
      <c r="M3054" s="263"/>
      <c r="N3054" s="266">
        <v>1</v>
      </c>
      <c r="O3054" s="266">
        <v>2</v>
      </c>
      <c r="P3054" s="266">
        <v>3</v>
      </c>
      <c r="Q3054" s="266">
        <v>4</v>
      </c>
      <c r="R3054" s="266">
        <v>5</v>
      </c>
      <c r="S3054" s="266">
        <v>6</v>
      </c>
      <c r="T3054" s="266">
        <v>7</v>
      </c>
      <c r="U3054" s="263"/>
      <c r="V3054" s="266" t="s">
        <v>31</v>
      </c>
      <c r="W3054" s="267"/>
      <c r="X3054" s="263"/>
      <c r="AE3054" s="253" t="s">
        <v>68</v>
      </c>
      <c r="AV3054" s="256" t="str">
        <f>CONCATENATE(V3058,":",V3055, " ( ",AN3056,",",AO3056,",",AP3056,",",AQ3056,",",AR3056,",",AS3056,",",AT3056," ) ")</f>
        <v xml:space="preserve">3:1 ( 5,11,-9,9,,, ) </v>
      </c>
    </row>
    <row r="3055" spans="1:53" ht="39.950000000000003" customHeight="1">
      <c r="A3055" s="252" t="str">
        <f>CONCATENATE(A3053,1)</f>
        <v>MIXP311</v>
      </c>
      <c r="B3055" s="252" t="str">
        <f>VLOOKUP(A3055,'KO KODY SPOLU'!$A$3:$B$189,2,0)</f>
        <v>KYSEL / LABOŠOVÁ</v>
      </c>
      <c r="C3055" s="223"/>
      <c r="D3055" s="223"/>
      <c r="E3055" s="264" t="s">
        <v>29</v>
      </c>
      <c r="F3055" s="265">
        <f>VLOOKUP(CONCATENATE(A3053,1),'zoznam zapasov'!$A$6:$K$160,11,0)</f>
        <v>1</v>
      </c>
      <c r="G3055" s="508"/>
      <c r="H3055" s="319"/>
      <c r="I3055" s="487" t="str">
        <f>IF(ISERROR(VLOOKUP(B3055,vylosovanie!$N$75:$Q$191,3,0))=TRUE," ",VLOOKUP(B3055,vylosovanie!$N$75:$Q$191,3,0))</f>
        <v>KYSEL Martin</v>
      </c>
      <c r="J3055" s="488"/>
      <c r="K3055" s="488"/>
      <c r="L3055" s="488"/>
      <c r="M3055" s="263"/>
      <c r="N3055" s="489">
        <v>5</v>
      </c>
      <c r="O3055" s="489">
        <v>11</v>
      </c>
      <c r="P3055" s="489">
        <v>11</v>
      </c>
      <c r="Q3055" s="489">
        <v>9</v>
      </c>
      <c r="R3055" s="489"/>
      <c r="S3055" s="491"/>
      <c r="T3055" s="491"/>
      <c r="U3055" s="263"/>
      <c r="V3055" s="493">
        <f>IF(SUM(AF3055:AL3056)=0,"",SUM(AF3055:AL3055))</f>
        <v>1</v>
      </c>
      <c r="W3055" s="267"/>
      <c r="X3055" s="263"/>
      <c r="AE3055" s="253" t="str">
        <f>VLOOKUP(I3055,vylosovanie!$F$8:$L$190,7,0)</f>
        <v>CH21</v>
      </c>
      <c r="AF3055" s="268">
        <f>IF(N3055&gt;N3058,1,0)</f>
        <v>0</v>
      </c>
      <c r="AG3055" s="268">
        <f t="shared" ref="AG3055" si="3026">IF(O3055&gt;O3058,1,0)</f>
        <v>0</v>
      </c>
      <c r="AH3055" s="268">
        <f t="shared" ref="AH3055" si="3027">IF(P3055&gt;P3058,1,0)</f>
        <v>1</v>
      </c>
      <c r="AI3055" s="268">
        <f t="shared" ref="AI3055" si="3028">IF(Q3055&gt;Q3058,1,0)</f>
        <v>0</v>
      </c>
      <c r="AJ3055" s="268">
        <f t="shared" ref="AJ3055" si="3029">IF(R3055&gt;R3058,1,0)</f>
        <v>0</v>
      </c>
      <c r="AK3055" s="268">
        <f t="shared" ref="AK3055" si="3030">IF(S3055&gt;S3058,1,0)</f>
        <v>0</v>
      </c>
      <c r="AL3055" s="268">
        <f t="shared" ref="AL3055" si="3031">IF(T3055&gt;T3058,1,0)</f>
        <v>0</v>
      </c>
      <c r="AN3055" s="268">
        <f t="shared" ref="AN3055" si="3032">IF(ISBLANK(N3055)=TRUE,"",IF(AF3055=1,N3058,-N3055))</f>
        <v>-5</v>
      </c>
      <c r="AO3055" s="268">
        <f t="shared" ref="AO3055" si="3033">IF(ISBLANK(O3055)=TRUE,"",IF(AG3055=1,O3058,-O3055))</f>
        <v>-11</v>
      </c>
      <c r="AP3055" s="268">
        <f t="shared" ref="AP3055" si="3034">IF(ISBLANK(P3055)=TRUE,"",IF(AH3055=1,P3058,-P3055))</f>
        <v>9</v>
      </c>
      <c r="AQ3055" s="268">
        <f t="shared" ref="AQ3055" si="3035">IF(ISBLANK(Q3055)=TRUE,"",IF(AI3055=1,Q3058,-Q3055))</f>
        <v>-9</v>
      </c>
      <c r="AR3055" s="268" t="str">
        <f t="shared" ref="AR3055" si="3036">IF(ISBLANK(R3055)=TRUE,"",IF(AJ3055=1,R3058,-R3055))</f>
        <v/>
      </c>
      <c r="AS3055" s="268" t="str">
        <f t="shared" ref="AS3055" si="3037">IF(ISBLANK(S3055)=TRUE,"",IF(AK3055=1,S3058,-S3055))</f>
        <v/>
      </c>
      <c r="AT3055" s="268" t="str">
        <f t="shared" ref="AT3055" si="3038">IF(ISBLANK(T3055)=TRUE,"",IF(AL3055=1,T3058,-T3055))</f>
        <v/>
      </c>
      <c r="AZ3055" s="269" t="s">
        <v>12</v>
      </c>
      <c r="BA3055" s="269">
        <v>1</v>
      </c>
    </row>
    <row r="3056" spans="1:53" ht="39.950000000000003" customHeight="1">
      <c r="C3056" s="223"/>
      <c r="D3056" s="223"/>
      <c r="E3056" s="264"/>
      <c r="F3056" s="265"/>
      <c r="G3056" s="509"/>
      <c r="H3056" s="319"/>
      <c r="I3056" s="487" t="str">
        <f>IF(ISERROR(VLOOKUP(B3055,vylosovanie!$N$75:$Q$191,3,0))=TRUE," ",VLOOKUP(B3055,vylosovanie!$N$75:$Q$191,4,0))</f>
        <v>LABOŠOVÁ Ema</v>
      </c>
      <c r="J3056" s="488"/>
      <c r="K3056" s="488"/>
      <c r="L3056" s="488"/>
      <c r="M3056" s="263"/>
      <c r="N3056" s="490"/>
      <c r="O3056" s="490"/>
      <c r="P3056" s="490"/>
      <c r="Q3056" s="490"/>
      <c r="R3056" s="490"/>
      <c r="S3056" s="492"/>
      <c r="T3056" s="492"/>
      <c r="U3056" s="263"/>
      <c r="V3056" s="493"/>
      <c r="W3056" s="267"/>
      <c r="X3056" s="263"/>
      <c r="AE3056" s="253" t="str">
        <f>VLOOKUP(I3058,vylosovanie!$F$8:$L$190,7,0)</f>
        <v>CH41</v>
      </c>
      <c r="AF3056" s="268">
        <f>IF(N3058&gt;N3055,1,0)</f>
        <v>1</v>
      </c>
      <c r="AG3056" s="268">
        <f t="shared" ref="AG3056" si="3039">IF(O3058&gt;O3055,1,0)</f>
        <v>1</v>
      </c>
      <c r="AH3056" s="268">
        <f t="shared" ref="AH3056" si="3040">IF(P3058&gt;P3055,1,0)</f>
        <v>0</v>
      </c>
      <c r="AI3056" s="268">
        <f t="shared" ref="AI3056" si="3041">IF(Q3058&gt;Q3055,1,0)</f>
        <v>1</v>
      </c>
      <c r="AJ3056" s="268">
        <f t="shared" ref="AJ3056" si="3042">IF(R3058&gt;R3055,1,0)</f>
        <v>0</v>
      </c>
      <c r="AK3056" s="268">
        <f t="shared" ref="AK3056" si="3043">IF(S3058&gt;S3055,1,0)</f>
        <v>0</v>
      </c>
      <c r="AL3056" s="268">
        <f t="shared" ref="AL3056" si="3044">IF(T3058&gt;T3055,1,0)</f>
        <v>0</v>
      </c>
      <c r="AN3056" s="268">
        <f t="shared" ref="AN3056" si="3045">IF(ISBLANK(N3058)=TRUE,"",IF(AF3056=1,N3055,-N3058))</f>
        <v>5</v>
      </c>
      <c r="AO3056" s="268">
        <f t="shared" ref="AO3056" si="3046">IF(ISBLANK(O3058)=TRUE,"",IF(AG3056=1,O3055,-O3058))</f>
        <v>11</v>
      </c>
      <c r="AP3056" s="268">
        <f t="shared" ref="AP3056" si="3047">IF(ISBLANK(P3058)=TRUE,"",IF(AH3056=1,P3055,-P3058))</f>
        <v>-9</v>
      </c>
      <c r="AQ3056" s="268">
        <f t="shared" ref="AQ3056" si="3048">IF(ISBLANK(Q3058)=TRUE,"",IF(AI3056=1,Q3055,-Q3058))</f>
        <v>9</v>
      </c>
      <c r="AR3056" s="268" t="str">
        <f t="shared" ref="AR3056" si="3049">IF(ISBLANK(R3058)=TRUE,"",IF(AJ3056=1,R3055,-R3058))</f>
        <v/>
      </c>
      <c r="AS3056" s="268" t="str">
        <f t="shared" ref="AS3056" si="3050">IF(ISBLANK(S3058)=TRUE,"",IF(AK3056=1,S3055,-S3058))</f>
        <v/>
      </c>
      <c r="AT3056" s="268" t="str">
        <f t="shared" ref="AT3056" si="3051">IF(ISBLANK(T3058)=TRUE,"",IF(AL3056=1,T3055,-T3058))</f>
        <v/>
      </c>
      <c r="AZ3056" s="269" t="s">
        <v>18</v>
      </c>
      <c r="BA3056" s="269">
        <v>2</v>
      </c>
    </row>
    <row r="3057" spans="1:53" ht="39.950000000000003" customHeight="1">
      <c r="C3057" s="223"/>
      <c r="D3057" s="223"/>
      <c r="E3057" s="264" t="s">
        <v>35</v>
      </c>
      <c r="F3057" s="265" t="str">
        <f>VLOOKUP(CONCATENATE(A3053,1),'zoznam zapasov'!$A$6:$K$160,9,0)</f>
        <v>Ne</v>
      </c>
      <c r="G3057" s="263"/>
      <c r="H3057" s="263"/>
      <c r="I3057" s="263"/>
      <c r="J3057" s="263"/>
      <c r="K3057" s="263"/>
      <c r="L3057" s="263"/>
      <c r="M3057" s="263"/>
      <c r="N3057" s="263"/>
      <c r="O3057" s="263"/>
      <c r="P3057" s="263"/>
      <c r="Q3057" s="263"/>
      <c r="R3057" s="263"/>
      <c r="S3057" s="263"/>
      <c r="T3057" s="263"/>
      <c r="U3057" s="263"/>
      <c r="V3057" s="263"/>
      <c r="W3057" s="267"/>
      <c r="X3057" s="263"/>
      <c r="AZ3057" s="269" t="s">
        <v>38</v>
      </c>
      <c r="BA3057" s="269">
        <v>3</v>
      </c>
    </row>
    <row r="3058" spans="1:53" ht="39.950000000000003" customHeight="1">
      <c r="A3058" s="252" t="str">
        <f>CONCATENATE(A3053,2)</f>
        <v>MIXP312</v>
      </c>
      <c r="B3058" s="252" t="str">
        <f>VLOOKUP(A3058,'KO KODY SPOLU'!$A$3:$B$189,2,0)</f>
        <v>PINDURA / ŠINKAROVÁ</v>
      </c>
      <c r="C3058" s="223"/>
      <c r="D3058" s="223"/>
      <c r="E3058" s="264" t="s">
        <v>28</v>
      </c>
      <c r="F3058" s="270" t="str">
        <f>VLOOKUP(CONCATENATE(A3053,1),'zoznam zapasov'!$A$6:$K$160,10,0)</f>
        <v>12.00</v>
      </c>
      <c r="G3058" s="508"/>
      <c r="H3058" s="319"/>
      <c r="I3058" s="487" t="str">
        <f>IF(ISERROR(VLOOKUP(B3058,vylosovanie!$N$75:$Q$191,3,0))=TRUE," ",VLOOKUP(B3058,vylosovanie!$N$75:$Q$191,3,0))</f>
        <v>PINDURA Tobiáš</v>
      </c>
      <c r="J3058" s="488"/>
      <c r="K3058" s="488"/>
      <c r="L3058" s="488"/>
      <c r="M3058" s="263"/>
      <c r="N3058" s="489">
        <v>11</v>
      </c>
      <c r="O3058" s="489">
        <v>13</v>
      </c>
      <c r="P3058" s="489">
        <v>9</v>
      </c>
      <c r="Q3058" s="489">
        <v>11</v>
      </c>
      <c r="R3058" s="489"/>
      <c r="S3058" s="491"/>
      <c r="T3058" s="491"/>
      <c r="U3058" s="263"/>
      <c r="V3058" s="493">
        <f>IF(SUM(AF3055:AL3056)=0,"",SUM(AF3056:AL3056))</f>
        <v>3</v>
      </c>
      <c r="W3058" s="267"/>
      <c r="X3058" s="263"/>
      <c r="AZ3058" s="269" t="s">
        <v>39</v>
      </c>
      <c r="BA3058" s="269">
        <v>4</v>
      </c>
    </row>
    <row r="3059" spans="1:53" ht="39.950000000000003" customHeight="1">
      <c r="C3059" s="223"/>
      <c r="D3059" s="223"/>
      <c r="E3059" s="271"/>
      <c r="F3059" s="272"/>
      <c r="G3059" s="509"/>
      <c r="H3059" s="319"/>
      <c r="I3059" s="487" t="str">
        <f>IF(ISERROR(VLOOKUP(B3058,vylosovanie!$N$75:$Q$191,3,0))=TRUE," ",VLOOKUP(B3058,vylosovanie!$N$75:$Q$191,4,0))</f>
        <v>ŠINKAROVÁ Dáša</v>
      </c>
      <c r="J3059" s="488"/>
      <c r="K3059" s="488"/>
      <c r="L3059" s="488"/>
      <c r="M3059" s="263"/>
      <c r="N3059" s="490"/>
      <c r="O3059" s="490"/>
      <c r="P3059" s="490"/>
      <c r="Q3059" s="490"/>
      <c r="R3059" s="490"/>
      <c r="S3059" s="492"/>
      <c r="T3059" s="492"/>
      <c r="U3059" s="263"/>
      <c r="V3059" s="493"/>
      <c r="W3059" s="267"/>
      <c r="X3059" s="263"/>
      <c r="AZ3059" s="269" t="s">
        <v>40</v>
      </c>
      <c r="BA3059" s="269">
        <v>5</v>
      </c>
    </row>
    <row r="3060" spans="1:53" ht="39.950000000000003" customHeight="1">
      <c r="C3060" s="223"/>
      <c r="D3060" s="223"/>
      <c r="E3060" s="264" t="s">
        <v>66</v>
      </c>
      <c r="F3060" s="265" t="s">
        <v>316</v>
      </c>
      <c r="G3060" s="263"/>
      <c r="H3060" s="263"/>
      <c r="I3060" s="263"/>
      <c r="J3060" s="263"/>
      <c r="K3060" s="263"/>
      <c r="L3060" s="263"/>
      <c r="M3060" s="263"/>
      <c r="N3060" s="263"/>
      <c r="O3060" s="263"/>
      <c r="P3060" s="263"/>
      <c r="Q3060" s="263"/>
      <c r="R3060" s="263"/>
      <c r="S3060" s="263"/>
      <c r="T3060" s="263"/>
      <c r="U3060" s="263"/>
      <c r="V3060" s="263"/>
      <c r="W3060" s="267"/>
      <c r="X3060" s="263"/>
      <c r="AZ3060" s="269" t="s">
        <v>41</v>
      </c>
      <c r="BA3060" s="269">
        <v>6</v>
      </c>
    </row>
    <row r="3061" spans="1:53" ht="39.950000000000003" customHeight="1">
      <c r="C3061" s="223"/>
      <c r="D3061" s="223"/>
      <c r="E3061" s="271"/>
      <c r="F3061" s="272"/>
      <c r="G3061" s="263"/>
      <c r="H3061" s="263"/>
      <c r="I3061" s="263" t="s">
        <v>32</v>
      </c>
      <c r="J3061" s="263"/>
      <c r="K3061" s="263"/>
      <c r="L3061" s="263"/>
      <c r="M3061" s="263"/>
      <c r="N3061" s="273"/>
      <c r="O3061" s="266"/>
      <c r="P3061" s="266" t="s">
        <v>34</v>
      </c>
      <c r="Q3061" s="266"/>
      <c r="R3061" s="266"/>
      <c r="S3061" s="266"/>
      <c r="T3061" s="266"/>
      <c r="U3061" s="263"/>
      <c r="V3061" s="263"/>
      <c r="W3061" s="267"/>
      <c r="X3061" s="263"/>
      <c r="AZ3061" s="269" t="s">
        <v>42</v>
      </c>
      <c r="BA3061" s="269">
        <v>7</v>
      </c>
    </row>
    <row r="3062" spans="1:53" ht="39.950000000000003" customHeight="1">
      <c r="E3062" s="264" t="s">
        <v>26</v>
      </c>
      <c r="F3062" s="265" t="s">
        <v>128</v>
      </c>
      <c r="G3062" s="263"/>
      <c r="H3062" s="263"/>
      <c r="I3062" s="486"/>
      <c r="J3062" s="486"/>
      <c r="K3062" s="486"/>
      <c r="L3062" s="486"/>
      <c r="M3062" s="263"/>
      <c r="N3062" s="483" t="str">
        <f>IF(V3055&gt;V3058,I3055,IF(V3058&gt;V3055,I3058,""))</f>
        <v>PINDURA Tobiáš</v>
      </c>
      <c r="O3062" s="494"/>
      <c r="P3062" s="494"/>
      <c r="Q3062" s="494"/>
      <c r="R3062" s="494"/>
      <c r="S3062" s="495"/>
      <c r="T3062" s="263"/>
      <c r="U3062" s="263"/>
      <c r="V3062" s="263"/>
      <c r="W3062" s="267"/>
      <c r="X3062" s="263"/>
      <c r="AZ3062" s="269" t="s">
        <v>43</v>
      </c>
      <c r="BA3062" s="269">
        <v>8</v>
      </c>
    </row>
    <row r="3063" spans="1:53" ht="39.950000000000003" customHeight="1">
      <c r="E3063" s="271"/>
      <c r="F3063" s="272"/>
      <c r="G3063" s="263"/>
      <c r="H3063" s="263"/>
      <c r="I3063" s="486"/>
      <c r="J3063" s="486"/>
      <c r="K3063" s="486"/>
      <c r="L3063" s="486"/>
      <c r="M3063" s="263"/>
      <c r="N3063" s="483" t="str">
        <f>IF(V3055&gt;V3058,I3056,IF(V3058&gt;V3055,I3059,""))</f>
        <v>ŠINKAROVÁ Dáša</v>
      </c>
      <c r="O3063" s="494"/>
      <c r="P3063" s="494"/>
      <c r="Q3063" s="494"/>
      <c r="R3063" s="494"/>
      <c r="S3063" s="495"/>
      <c r="T3063" s="263"/>
      <c r="U3063" s="263"/>
      <c r="V3063" s="263"/>
      <c r="W3063" s="267"/>
      <c r="X3063" s="263"/>
    </row>
    <row r="3064" spans="1:53" ht="39.950000000000003" customHeight="1">
      <c r="E3064" s="264" t="s">
        <v>27</v>
      </c>
      <c r="F3064" s="274" t="s">
        <v>367</v>
      </c>
      <c r="G3064" s="263"/>
      <c r="H3064" s="263"/>
      <c r="I3064" s="263"/>
      <c r="J3064" s="263"/>
      <c r="K3064" s="263"/>
      <c r="L3064" s="263"/>
      <c r="M3064" s="263"/>
      <c r="N3064" s="263"/>
      <c r="O3064" s="263"/>
      <c r="P3064" s="263"/>
      <c r="Q3064" s="263"/>
      <c r="R3064" s="263"/>
      <c r="S3064" s="263"/>
      <c r="T3064" s="263"/>
      <c r="U3064" s="263"/>
      <c r="V3064" s="263"/>
      <c r="W3064" s="267"/>
      <c r="X3064" s="263"/>
    </row>
    <row r="3065" spans="1:53" ht="39.950000000000003" customHeight="1">
      <c r="E3065" s="271"/>
      <c r="F3065" s="272"/>
      <c r="G3065" s="263"/>
      <c r="H3065" s="263" t="s">
        <v>33</v>
      </c>
      <c r="I3065" s="263"/>
      <c r="J3065" s="263"/>
      <c r="K3065" s="263"/>
      <c r="L3065" s="263"/>
      <c r="M3065" s="263"/>
      <c r="N3065" s="263"/>
      <c r="O3065" s="263"/>
      <c r="P3065" s="263"/>
      <c r="Q3065" s="263"/>
      <c r="R3065" s="263"/>
      <c r="S3065" s="263"/>
      <c r="T3065" s="263"/>
      <c r="U3065" s="263"/>
      <c r="V3065" s="263"/>
      <c r="W3065" s="267"/>
      <c r="X3065" s="263"/>
    </row>
    <row r="3066" spans="1:53" ht="39.950000000000003" customHeight="1">
      <c r="E3066" s="271"/>
      <c r="F3066" s="272"/>
      <c r="G3066" s="263"/>
      <c r="H3066" s="263"/>
      <c r="I3066" s="263"/>
      <c r="J3066" s="263"/>
      <c r="K3066" s="263"/>
      <c r="L3066" s="263"/>
      <c r="M3066" s="263"/>
      <c r="N3066" s="263"/>
      <c r="O3066" s="263"/>
      <c r="P3066" s="263"/>
      <c r="Q3066" s="263"/>
      <c r="R3066" s="263"/>
      <c r="S3066" s="263"/>
      <c r="T3066" s="263"/>
      <c r="U3066" s="263"/>
      <c r="V3066" s="263"/>
      <c r="W3066" s="267"/>
      <c r="X3066" s="263"/>
    </row>
    <row r="3067" spans="1:53" ht="39.950000000000003" customHeight="1">
      <c r="E3067" s="271"/>
      <c r="F3067" s="272"/>
      <c r="G3067" s="263"/>
      <c r="H3067" s="263"/>
      <c r="I3067" s="496" t="str">
        <f>I3055</f>
        <v>KYSEL Martin</v>
      </c>
      <c r="J3067" s="496"/>
      <c r="K3067" s="496"/>
      <c r="L3067" s="496"/>
      <c r="M3067" s="263"/>
      <c r="N3067" s="263"/>
      <c r="P3067" s="496" t="str">
        <f>I3058</f>
        <v>PINDURA Tobiáš</v>
      </c>
      <c r="Q3067" s="496"/>
      <c r="R3067" s="496"/>
      <c r="S3067" s="496"/>
      <c r="T3067" s="497"/>
      <c r="U3067" s="497"/>
      <c r="V3067" s="263"/>
      <c r="W3067" s="267"/>
      <c r="X3067" s="263"/>
    </row>
    <row r="3068" spans="1:53" ht="39.950000000000003" customHeight="1">
      <c r="E3068" s="271"/>
      <c r="F3068" s="272"/>
      <c r="G3068" s="263"/>
      <c r="H3068" s="263"/>
      <c r="I3068" s="496" t="str">
        <f>I3056</f>
        <v>LABOŠOVÁ Ema</v>
      </c>
      <c r="J3068" s="496"/>
      <c r="K3068" s="496"/>
      <c r="L3068" s="496"/>
      <c r="M3068" s="263"/>
      <c r="N3068" s="263"/>
      <c r="O3068" s="263"/>
      <c r="P3068" s="496" t="str">
        <f>I3059</f>
        <v>ŠINKAROVÁ Dáša</v>
      </c>
      <c r="Q3068" s="496"/>
      <c r="R3068" s="496"/>
      <c r="S3068" s="496"/>
      <c r="T3068" s="497"/>
      <c r="U3068" s="497"/>
      <c r="V3068" s="263"/>
      <c r="W3068" s="267"/>
      <c r="X3068" s="263"/>
    </row>
    <row r="3069" spans="1:53" ht="69.95" customHeight="1">
      <c r="E3069" s="264"/>
      <c r="F3069" s="265"/>
      <c r="G3069" s="263"/>
      <c r="H3069" s="275" t="s">
        <v>36</v>
      </c>
      <c r="I3069" s="483"/>
      <c r="J3069" s="484"/>
      <c r="K3069" s="484"/>
      <c r="L3069" s="485"/>
      <c r="M3069" s="263"/>
      <c r="N3069" s="263"/>
      <c r="O3069" s="275" t="s">
        <v>36</v>
      </c>
      <c r="P3069" s="486"/>
      <c r="Q3069" s="486"/>
      <c r="R3069" s="486"/>
      <c r="S3069" s="486"/>
      <c r="T3069" s="486"/>
      <c r="U3069" s="486"/>
      <c r="V3069" s="263"/>
      <c r="W3069" s="267"/>
      <c r="X3069" s="263"/>
    </row>
    <row r="3070" spans="1:53" ht="69.95" customHeight="1">
      <c r="E3070" s="264"/>
      <c r="F3070" s="265"/>
      <c r="G3070" s="263"/>
      <c r="H3070" s="275" t="s">
        <v>37</v>
      </c>
      <c r="I3070" s="486"/>
      <c r="J3070" s="486"/>
      <c r="K3070" s="486"/>
      <c r="L3070" s="486"/>
      <c r="M3070" s="263"/>
      <c r="N3070" s="263"/>
      <c r="O3070" s="275" t="s">
        <v>37</v>
      </c>
      <c r="P3070" s="486"/>
      <c r="Q3070" s="486"/>
      <c r="R3070" s="486"/>
      <c r="S3070" s="486"/>
      <c r="T3070" s="486"/>
      <c r="U3070" s="486"/>
      <c r="V3070" s="263"/>
      <c r="W3070" s="267"/>
      <c r="X3070" s="263"/>
    </row>
    <row r="3071" spans="1:53" ht="69.95" customHeight="1">
      <c r="E3071" s="264"/>
      <c r="F3071" s="265"/>
      <c r="G3071" s="263"/>
      <c r="H3071" s="275" t="s">
        <v>37</v>
      </c>
      <c r="I3071" s="486"/>
      <c r="J3071" s="486"/>
      <c r="K3071" s="486"/>
      <c r="L3071" s="486"/>
      <c r="M3071" s="263"/>
      <c r="N3071" s="263"/>
      <c r="O3071" s="275" t="s">
        <v>37</v>
      </c>
      <c r="P3071" s="486"/>
      <c r="Q3071" s="486"/>
      <c r="R3071" s="486"/>
      <c r="S3071" s="486"/>
      <c r="T3071" s="486"/>
      <c r="U3071" s="486"/>
      <c r="V3071" s="263"/>
      <c r="W3071" s="267"/>
      <c r="X3071" s="263"/>
    </row>
    <row r="3072" spans="1:53" ht="39.950000000000003" customHeight="1" thickBot="1">
      <c r="E3072" s="276"/>
      <c r="F3072" s="277"/>
      <c r="G3072" s="278"/>
      <c r="H3072" s="278"/>
      <c r="I3072" s="278"/>
      <c r="J3072" s="278"/>
      <c r="K3072" s="278"/>
      <c r="L3072" s="278"/>
      <c r="M3072" s="278"/>
      <c r="N3072" s="278"/>
      <c r="O3072" s="278"/>
      <c r="P3072" s="278"/>
      <c r="Q3072" s="278"/>
      <c r="R3072" s="278"/>
      <c r="S3072" s="278"/>
      <c r="T3072" s="279"/>
      <c r="U3072" s="279"/>
      <c r="V3072" s="279"/>
      <c r="W3072" s="280"/>
      <c r="X3072" s="263"/>
    </row>
  </sheetData>
  <mergeCells count="4980">
    <mergeCell ref="G2973:G2974"/>
    <mergeCell ref="G2976:G2977"/>
    <mergeCell ref="G2993:G2994"/>
    <mergeCell ref="G2996:G2997"/>
    <mergeCell ref="G2665:G2666"/>
    <mergeCell ref="G2683:G2684"/>
    <mergeCell ref="G2686:G2687"/>
    <mergeCell ref="G2704:G2705"/>
    <mergeCell ref="G3037:G3038"/>
    <mergeCell ref="G3055:G3056"/>
    <mergeCell ref="G3058:G3059"/>
    <mergeCell ref="G2746:G2747"/>
    <mergeCell ref="G2749:G2750"/>
    <mergeCell ref="G2767:G2768"/>
    <mergeCell ref="G2770:G2771"/>
    <mergeCell ref="G2788:G2789"/>
    <mergeCell ref="G2791:G2792"/>
    <mergeCell ref="G2809:G2810"/>
    <mergeCell ref="G2812:G2813"/>
    <mergeCell ref="G2830:G2831"/>
    <mergeCell ref="G2833:G2834"/>
    <mergeCell ref="G2931:G2932"/>
    <mergeCell ref="G2934:G2935"/>
    <mergeCell ref="G2952:G2953"/>
    <mergeCell ref="G2955:G2956"/>
    <mergeCell ref="G3013:G3014"/>
    <mergeCell ref="G3016:G3017"/>
    <mergeCell ref="G3034:G3035"/>
    <mergeCell ref="G2851:G2852"/>
    <mergeCell ref="G2854:G2855"/>
    <mergeCell ref="G2871:G2872"/>
    <mergeCell ref="G2874:G2875"/>
    <mergeCell ref="G2891:G2892"/>
    <mergeCell ref="G2894:G2895"/>
    <mergeCell ref="G2911:G2912"/>
    <mergeCell ref="G2914:G2915"/>
    <mergeCell ref="G2707:G2708"/>
    <mergeCell ref="G2725:G2726"/>
    <mergeCell ref="G2728:G2729"/>
    <mergeCell ref="G2375:G2376"/>
    <mergeCell ref="G2378:G2379"/>
    <mergeCell ref="G2395:G2396"/>
    <mergeCell ref="G2398:G2399"/>
    <mergeCell ref="G2415:G2416"/>
    <mergeCell ref="G2418:G2419"/>
    <mergeCell ref="G2435:G2436"/>
    <mergeCell ref="G2438:G2439"/>
    <mergeCell ref="G2455:G2456"/>
    <mergeCell ref="G2458:G2459"/>
    <mergeCell ref="G2475:G2476"/>
    <mergeCell ref="G2478:G2479"/>
    <mergeCell ref="G2495:G2496"/>
    <mergeCell ref="G2498:G2499"/>
    <mergeCell ref="G2515:G2516"/>
    <mergeCell ref="G2518:G2519"/>
    <mergeCell ref="G2536:G2537"/>
    <mergeCell ref="G2539:G2540"/>
    <mergeCell ref="G2557:G2558"/>
    <mergeCell ref="G2560:G2561"/>
    <mergeCell ref="G2578:G2579"/>
    <mergeCell ref="G2581:G2582"/>
    <mergeCell ref="G2599:G2600"/>
    <mergeCell ref="G2602:G2603"/>
    <mergeCell ref="G2620:G2621"/>
    <mergeCell ref="G2623:G2624"/>
    <mergeCell ref="G2641:G2642"/>
    <mergeCell ref="G2644:G2645"/>
    <mergeCell ref="G2662:G2663"/>
    <mergeCell ref="G2198:G2199"/>
    <mergeCell ref="G2215:G2216"/>
    <mergeCell ref="G2218:G2219"/>
    <mergeCell ref="G2235:G2236"/>
    <mergeCell ref="G2238:G2239"/>
    <mergeCell ref="G2255:G2256"/>
    <mergeCell ref="G2258:G2259"/>
    <mergeCell ref="G2275:G2276"/>
    <mergeCell ref="G2278:G2279"/>
    <mergeCell ref="G2295:G2296"/>
    <mergeCell ref="G2298:G2299"/>
    <mergeCell ref="G2315:G2316"/>
    <mergeCell ref="G2318:G2319"/>
    <mergeCell ref="G2335:G2336"/>
    <mergeCell ref="G2338:G2339"/>
    <mergeCell ref="G2355:G2356"/>
    <mergeCell ref="G2358:G2359"/>
    <mergeCell ref="G2035:G2036"/>
    <mergeCell ref="G2038:G2039"/>
    <mergeCell ref="G2055:G2056"/>
    <mergeCell ref="G2058:G2059"/>
    <mergeCell ref="G2075:G2076"/>
    <mergeCell ref="G2078:G2079"/>
    <mergeCell ref="G2095:G2096"/>
    <mergeCell ref="G2098:G2099"/>
    <mergeCell ref="G2115:G2116"/>
    <mergeCell ref="G2118:G2119"/>
    <mergeCell ref="G2135:G2136"/>
    <mergeCell ref="G2138:G2139"/>
    <mergeCell ref="G2155:G2156"/>
    <mergeCell ref="G2158:G2159"/>
    <mergeCell ref="G2175:G2176"/>
    <mergeCell ref="G2178:G2179"/>
    <mergeCell ref="G2195:G2196"/>
    <mergeCell ref="G1849:G1850"/>
    <mergeCell ref="G1867:G1868"/>
    <mergeCell ref="G1870:G1871"/>
    <mergeCell ref="G1888:G1889"/>
    <mergeCell ref="G1891:G1892"/>
    <mergeCell ref="G1909:G1910"/>
    <mergeCell ref="G1912:G1913"/>
    <mergeCell ref="G1930:G1931"/>
    <mergeCell ref="G1933:G1934"/>
    <mergeCell ref="G1951:G1952"/>
    <mergeCell ref="G1954:G1955"/>
    <mergeCell ref="G1972:G1973"/>
    <mergeCell ref="G1975:G1976"/>
    <mergeCell ref="G1993:G1994"/>
    <mergeCell ref="G1996:G1997"/>
    <mergeCell ref="G2014:G2015"/>
    <mergeCell ref="G2017:G2018"/>
    <mergeCell ref="G1678:G1679"/>
    <mergeCell ref="G1681:G1682"/>
    <mergeCell ref="G1699:G1700"/>
    <mergeCell ref="G1702:G1703"/>
    <mergeCell ref="G1720:G1721"/>
    <mergeCell ref="G1723:G1724"/>
    <mergeCell ref="G1741:G1742"/>
    <mergeCell ref="G1744:G1745"/>
    <mergeCell ref="G1762:G1763"/>
    <mergeCell ref="G1765:G1766"/>
    <mergeCell ref="G1783:G1784"/>
    <mergeCell ref="G1786:G1787"/>
    <mergeCell ref="G1804:G1805"/>
    <mergeCell ref="G1807:G1808"/>
    <mergeCell ref="G1825:G1826"/>
    <mergeCell ref="G1828:G1829"/>
    <mergeCell ref="G1846:G1847"/>
    <mergeCell ref="G1513:G1514"/>
    <mergeCell ref="G1531:G1532"/>
    <mergeCell ref="G1534:G1535"/>
    <mergeCell ref="G1552:G1553"/>
    <mergeCell ref="G1555:G1556"/>
    <mergeCell ref="G1573:G1574"/>
    <mergeCell ref="G1576:G1577"/>
    <mergeCell ref="G1594:G1595"/>
    <mergeCell ref="G1597:G1598"/>
    <mergeCell ref="G1615:G1616"/>
    <mergeCell ref="G1618:G1619"/>
    <mergeCell ref="G1636:G1637"/>
    <mergeCell ref="G1639:G1640"/>
    <mergeCell ref="G1657:G1658"/>
    <mergeCell ref="G1660:G1661"/>
    <mergeCell ref="G1347:G1348"/>
    <mergeCell ref="G1350:G1351"/>
    <mergeCell ref="G1367:G1368"/>
    <mergeCell ref="G1370:G1371"/>
    <mergeCell ref="G1387:G1388"/>
    <mergeCell ref="G1390:G1391"/>
    <mergeCell ref="G1407:G1408"/>
    <mergeCell ref="G1410:G1411"/>
    <mergeCell ref="G1427:G1428"/>
    <mergeCell ref="G1430:G1431"/>
    <mergeCell ref="G1447:G1448"/>
    <mergeCell ref="G1450:G1451"/>
    <mergeCell ref="G1468:G1469"/>
    <mergeCell ref="G1471:G1472"/>
    <mergeCell ref="G1489:G1490"/>
    <mergeCell ref="G1492:G1493"/>
    <mergeCell ref="G1510:G1511"/>
    <mergeCell ref="G1170:G1171"/>
    <mergeCell ref="G1187:G1188"/>
    <mergeCell ref="G1190:G1191"/>
    <mergeCell ref="G1207:G1208"/>
    <mergeCell ref="G1210:G1211"/>
    <mergeCell ref="G1227:G1228"/>
    <mergeCell ref="G1230:G1231"/>
    <mergeCell ref="G1247:G1248"/>
    <mergeCell ref="G1250:G1251"/>
    <mergeCell ref="G1267:G1268"/>
    <mergeCell ref="G1270:G1271"/>
    <mergeCell ref="G1287:G1288"/>
    <mergeCell ref="G1290:G1291"/>
    <mergeCell ref="G1307:G1308"/>
    <mergeCell ref="G1310:G1311"/>
    <mergeCell ref="G1327:G1328"/>
    <mergeCell ref="G1330:G1331"/>
    <mergeCell ref="G1007:G1008"/>
    <mergeCell ref="G1010:G1011"/>
    <mergeCell ref="G1027:G1028"/>
    <mergeCell ref="G1030:G1031"/>
    <mergeCell ref="G1047:G1048"/>
    <mergeCell ref="G1050:G1051"/>
    <mergeCell ref="G1067:G1068"/>
    <mergeCell ref="G1070:G1071"/>
    <mergeCell ref="G1087:G1088"/>
    <mergeCell ref="G1090:G1091"/>
    <mergeCell ref="G1107:G1108"/>
    <mergeCell ref="G1110:G1111"/>
    <mergeCell ref="G1127:G1128"/>
    <mergeCell ref="G1130:G1131"/>
    <mergeCell ref="G1147:G1148"/>
    <mergeCell ref="G1150:G1151"/>
    <mergeCell ref="G1167:G1168"/>
    <mergeCell ref="G830:G831"/>
    <mergeCell ref="G847:G848"/>
    <mergeCell ref="G850:G851"/>
    <mergeCell ref="G867:G868"/>
    <mergeCell ref="G870:G871"/>
    <mergeCell ref="G887:G888"/>
    <mergeCell ref="G890:G891"/>
    <mergeCell ref="G907:G908"/>
    <mergeCell ref="G910:G911"/>
    <mergeCell ref="G927:G928"/>
    <mergeCell ref="G930:G931"/>
    <mergeCell ref="G947:G948"/>
    <mergeCell ref="G950:G951"/>
    <mergeCell ref="G967:G968"/>
    <mergeCell ref="G970:G971"/>
    <mergeCell ref="G987:G988"/>
    <mergeCell ref="G990:G991"/>
    <mergeCell ref="G667:G668"/>
    <mergeCell ref="G670:G671"/>
    <mergeCell ref="G687:G688"/>
    <mergeCell ref="G690:G691"/>
    <mergeCell ref="G707:G708"/>
    <mergeCell ref="G710:G711"/>
    <mergeCell ref="G727:G728"/>
    <mergeCell ref="G730:G731"/>
    <mergeCell ref="G747:G748"/>
    <mergeCell ref="G750:G751"/>
    <mergeCell ref="G767:G768"/>
    <mergeCell ref="G770:G771"/>
    <mergeCell ref="G787:G788"/>
    <mergeCell ref="G790:G791"/>
    <mergeCell ref="G807:G808"/>
    <mergeCell ref="G810:G811"/>
    <mergeCell ref="G827:G828"/>
    <mergeCell ref="G490:G491"/>
    <mergeCell ref="G507:G508"/>
    <mergeCell ref="G510:G511"/>
    <mergeCell ref="G527:G528"/>
    <mergeCell ref="G530:G531"/>
    <mergeCell ref="G547:G548"/>
    <mergeCell ref="G550:G551"/>
    <mergeCell ref="G567:G568"/>
    <mergeCell ref="G570:G571"/>
    <mergeCell ref="G587:G588"/>
    <mergeCell ref="G590:G591"/>
    <mergeCell ref="G607:G608"/>
    <mergeCell ref="G610:G611"/>
    <mergeCell ref="G627:G628"/>
    <mergeCell ref="G630:G631"/>
    <mergeCell ref="G647:G648"/>
    <mergeCell ref="G650:G651"/>
    <mergeCell ref="G327:G328"/>
    <mergeCell ref="G330:G331"/>
    <mergeCell ref="G347:G348"/>
    <mergeCell ref="G350:G351"/>
    <mergeCell ref="G367:G368"/>
    <mergeCell ref="G370:G371"/>
    <mergeCell ref="G387:G388"/>
    <mergeCell ref="G390:G391"/>
    <mergeCell ref="G407:G408"/>
    <mergeCell ref="G410:G411"/>
    <mergeCell ref="G427:G428"/>
    <mergeCell ref="G430:G431"/>
    <mergeCell ref="G447:G448"/>
    <mergeCell ref="G450:G451"/>
    <mergeCell ref="G467:G468"/>
    <mergeCell ref="G470:G471"/>
    <mergeCell ref="G487:G488"/>
    <mergeCell ref="G150:G151"/>
    <mergeCell ref="G167:G168"/>
    <mergeCell ref="G170:G171"/>
    <mergeCell ref="G187:G188"/>
    <mergeCell ref="G190:G191"/>
    <mergeCell ref="G207:G208"/>
    <mergeCell ref="G210:G211"/>
    <mergeCell ref="G227:G228"/>
    <mergeCell ref="G230:G231"/>
    <mergeCell ref="G247:G248"/>
    <mergeCell ref="G250:G251"/>
    <mergeCell ref="G267:G268"/>
    <mergeCell ref="G270:G271"/>
    <mergeCell ref="G287:G288"/>
    <mergeCell ref="G290:G291"/>
    <mergeCell ref="G307:G308"/>
    <mergeCell ref="G310:G311"/>
    <mergeCell ref="M7:M8"/>
    <mergeCell ref="G7:G8"/>
    <mergeCell ref="G10:G11"/>
    <mergeCell ref="G27:G28"/>
    <mergeCell ref="G30:G31"/>
    <mergeCell ref="G47:G48"/>
    <mergeCell ref="G50:G51"/>
    <mergeCell ref="G67:G68"/>
    <mergeCell ref="G70:G71"/>
    <mergeCell ref="G87:G88"/>
    <mergeCell ref="G90:G91"/>
    <mergeCell ref="G107:G108"/>
    <mergeCell ref="G110:G111"/>
    <mergeCell ref="G127:G128"/>
    <mergeCell ref="G130:G131"/>
    <mergeCell ref="G147:G148"/>
    <mergeCell ref="P7:P8"/>
    <mergeCell ref="I10:L11"/>
    <mergeCell ref="I19:L19"/>
    <mergeCell ref="P19:U19"/>
    <mergeCell ref="I41:L41"/>
    <mergeCell ref="P41:U41"/>
    <mergeCell ref="I42:L42"/>
    <mergeCell ref="P42:U42"/>
    <mergeCell ref="R47:R48"/>
    <mergeCell ref="S47:S48"/>
    <mergeCell ref="T47:T48"/>
    <mergeCell ref="I34:L35"/>
    <mergeCell ref="N34:S35"/>
    <mergeCell ref="I39:L39"/>
    <mergeCell ref="P39:U39"/>
    <mergeCell ref="I40:L40"/>
    <mergeCell ref="Q7:Q8"/>
    <mergeCell ref="R7:R8"/>
    <mergeCell ref="P20:U20"/>
    <mergeCell ref="I22:L22"/>
    <mergeCell ref="T27:T28"/>
    <mergeCell ref="H27:H28"/>
    <mergeCell ref="I27:L28"/>
    <mergeCell ref="N27:N28"/>
    <mergeCell ref="O27:O28"/>
    <mergeCell ref="P27:P28"/>
    <mergeCell ref="P22:U22"/>
    <mergeCell ref="V7:V8"/>
    <mergeCell ref="V10:V11"/>
    <mergeCell ref="I14:L15"/>
    <mergeCell ref="I20:L20"/>
    <mergeCell ref="I21:L21"/>
    <mergeCell ref="S7:S8"/>
    <mergeCell ref="T7:T8"/>
    <mergeCell ref="N10:N11"/>
    <mergeCell ref="O10:O11"/>
    <mergeCell ref="P10:P11"/>
    <mergeCell ref="Q10:Q11"/>
    <mergeCell ref="R10:R11"/>
    <mergeCell ref="S10:S11"/>
    <mergeCell ref="T10:T11"/>
    <mergeCell ref="N7:N8"/>
    <mergeCell ref="O7:O8"/>
    <mergeCell ref="P21:U21"/>
    <mergeCell ref="N14:S15"/>
    <mergeCell ref="I7:L8"/>
    <mergeCell ref="H7:H8"/>
    <mergeCell ref="H10:H11"/>
    <mergeCell ref="P40:U40"/>
    <mergeCell ref="V27:V28"/>
    <mergeCell ref="H30:H31"/>
    <mergeCell ref="I30:L31"/>
    <mergeCell ref="N30:N31"/>
    <mergeCell ref="O30:O31"/>
    <mergeCell ref="P30:P31"/>
    <mergeCell ref="Q30:Q31"/>
    <mergeCell ref="R30:R31"/>
    <mergeCell ref="S30:S31"/>
    <mergeCell ref="T30:T31"/>
    <mergeCell ref="V30:V31"/>
    <mergeCell ref="Q27:Q28"/>
    <mergeCell ref="R27:R28"/>
    <mergeCell ref="S27:S28"/>
    <mergeCell ref="V50:V51"/>
    <mergeCell ref="I54:L55"/>
    <mergeCell ref="N54:S55"/>
    <mergeCell ref="I62:L62"/>
    <mergeCell ref="P62:U62"/>
    <mergeCell ref="I59:L59"/>
    <mergeCell ref="P59:U59"/>
    <mergeCell ref="I60:L60"/>
    <mergeCell ref="P60:U60"/>
    <mergeCell ref="I61:L61"/>
    <mergeCell ref="P61:U61"/>
    <mergeCell ref="V47:V48"/>
    <mergeCell ref="H50:H51"/>
    <mergeCell ref="I50:L51"/>
    <mergeCell ref="N50:N51"/>
    <mergeCell ref="O50:O51"/>
    <mergeCell ref="P50:P51"/>
    <mergeCell ref="Q50:Q51"/>
    <mergeCell ref="H47:H48"/>
    <mergeCell ref="I47:L48"/>
    <mergeCell ref="N47:N48"/>
    <mergeCell ref="O47:O48"/>
    <mergeCell ref="P47:P48"/>
    <mergeCell ref="Q47:Q48"/>
    <mergeCell ref="R50:R51"/>
    <mergeCell ref="S50:S51"/>
    <mergeCell ref="T50:T51"/>
    <mergeCell ref="Q70:Q71"/>
    <mergeCell ref="R70:R71"/>
    <mergeCell ref="S70:S71"/>
    <mergeCell ref="T70:T71"/>
    <mergeCell ref="V70:V71"/>
    <mergeCell ref="H70:H71"/>
    <mergeCell ref="I70:L71"/>
    <mergeCell ref="N70:N71"/>
    <mergeCell ref="O70:O71"/>
    <mergeCell ref="P70:P71"/>
    <mergeCell ref="Q67:Q68"/>
    <mergeCell ref="R67:R68"/>
    <mergeCell ref="S67:S68"/>
    <mergeCell ref="T67:T68"/>
    <mergeCell ref="V67:V68"/>
    <mergeCell ref="H67:H68"/>
    <mergeCell ref="I67:L68"/>
    <mergeCell ref="N67:N68"/>
    <mergeCell ref="O67:O68"/>
    <mergeCell ref="P67:P68"/>
    <mergeCell ref="I81:L81"/>
    <mergeCell ref="P81:U81"/>
    <mergeCell ref="I82:L82"/>
    <mergeCell ref="P82:U82"/>
    <mergeCell ref="H87:H88"/>
    <mergeCell ref="I87:L88"/>
    <mergeCell ref="N87:N88"/>
    <mergeCell ref="O87:O88"/>
    <mergeCell ref="P87:P88"/>
    <mergeCell ref="Q87:Q88"/>
    <mergeCell ref="R87:R88"/>
    <mergeCell ref="S87:S88"/>
    <mergeCell ref="T87:T88"/>
    <mergeCell ref="I74:L75"/>
    <mergeCell ref="N74:S75"/>
    <mergeCell ref="I79:L79"/>
    <mergeCell ref="P79:U79"/>
    <mergeCell ref="I80:L80"/>
    <mergeCell ref="P80:U80"/>
    <mergeCell ref="I94:L95"/>
    <mergeCell ref="N94:S95"/>
    <mergeCell ref="I99:L99"/>
    <mergeCell ref="P99:U99"/>
    <mergeCell ref="I100:L100"/>
    <mergeCell ref="P100:U100"/>
    <mergeCell ref="V87:V88"/>
    <mergeCell ref="H90:H91"/>
    <mergeCell ref="I90:L91"/>
    <mergeCell ref="N90:N91"/>
    <mergeCell ref="O90:O91"/>
    <mergeCell ref="P90:P91"/>
    <mergeCell ref="Q90:Q91"/>
    <mergeCell ref="R90:R91"/>
    <mergeCell ref="S90:S91"/>
    <mergeCell ref="T90:T91"/>
    <mergeCell ref="V90:V91"/>
    <mergeCell ref="V107:V108"/>
    <mergeCell ref="H110:H111"/>
    <mergeCell ref="I110:L111"/>
    <mergeCell ref="N110:N111"/>
    <mergeCell ref="O110:O111"/>
    <mergeCell ref="P110:P111"/>
    <mergeCell ref="Q110:Q111"/>
    <mergeCell ref="R110:R111"/>
    <mergeCell ref="S110:S111"/>
    <mergeCell ref="T110:T111"/>
    <mergeCell ref="V110:V111"/>
    <mergeCell ref="I101:L101"/>
    <mergeCell ref="P101:U101"/>
    <mergeCell ref="I102:L102"/>
    <mergeCell ref="P102:U102"/>
    <mergeCell ref="H107:H108"/>
    <mergeCell ref="I107:L108"/>
    <mergeCell ref="N107:N108"/>
    <mergeCell ref="O107:O108"/>
    <mergeCell ref="P107:P108"/>
    <mergeCell ref="Q107:Q108"/>
    <mergeCell ref="R107:R108"/>
    <mergeCell ref="S107:S108"/>
    <mergeCell ref="T107:T108"/>
    <mergeCell ref="I121:L121"/>
    <mergeCell ref="P121:U121"/>
    <mergeCell ref="I122:L122"/>
    <mergeCell ref="P122:U122"/>
    <mergeCell ref="H127:H128"/>
    <mergeCell ref="I127:L128"/>
    <mergeCell ref="N127:N128"/>
    <mergeCell ref="O127:O128"/>
    <mergeCell ref="P127:P128"/>
    <mergeCell ref="Q127:Q128"/>
    <mergeCell ref="R127:R128"/>
    <mergeCell ref="S127:S128"/>
    <mergeCell ref="T127:T128"/>
    <mergeCell ref="I114:L115"/>
    <mergeCell ref="N114:S115"/>
    <mergeCell ref="I119:L119"/>
    <mergeCell ref="P119:U119"/>
    <mergeCell ref="I120:L120"/>
    <mergeCell ref="P120:U120"/>
    <mergeCell ref="I134:L135"/>
    <mergeCell ref="N134:S135"/>
    <mergeCell ref="I139:L139"/>
    <mergeCell ref="P139:U139"/>
    <mergeCell ref="I140:L140"/>
    <mergeCell ref="P140:U140"/>
    <mergeCell ref="V127:V128"/>
    <mergeCell ref="H130:H131"/>
    <mergeCell ref="I130:L131"/>
    <mergeCell ref="N130:N131"/>
    <mergeCell ref="O130:O131"/>
    <mergeCell ref="P130:P131"/>
    <mergeCell ref="Q130:Q131"/>
    <mergeCell ref="R130:R131"/>
    <mergeCell ref="S130:S131"/>
    <mergeCell ref="T130:T131"/>
    <mergeCell ref="V130:V131"/>
    <mergeCell ref="V147:V148"/>
    <mergeCell ref="H150:H151"/>
    <mergeCell ref="I150:L151"/>
    <mergeCell ref="N150:N151"/>
    <mergeCell ref="O150:O151"/>
    <mergeCell ref="P150:P151"/>
    <mergeCell ref="Q150:Q151"/>
    <mergeCell ref="R150:R151"/>
    <mergeCell ref="S150:S151"/>
    <mergeCell ref="T150:T151"/>
    <mergeCell ref="V150:V151"/>
    <mergeCell ref="I141:L141"/>
    <mergeCell ref="P141:U141"/>
    <mergeCell ref="I142:L142"/>
    <mergeCell ref="P142:U142"/>
    <mergeCell ref="H147:H148"/>
    <mergeCell ref="I147:L148"/>
    <mergeCell ref="N147:N148"/>
    <mergeCell ref="O147:O148"/>
    <mergeCell ref="P147:P148"/>
    <mergeCell ref="Q147:Q148"/>
    <mergeCell ref="R147:R148"/>
    <mergeCell ref="S147:S148"/>
    <mergeCell ref="T147:T148"/>
    <mergeCell ref="I161:L161"/>
    <mergeCell ref="P161:U161"/>
    <mergeCell ref="I162:L162"/>
    <mergeCell ref="P162:U162"/>
    <mergeCell ref="H167:H168"/>
    <mergeCell ref="I167:L168"/>
    <mergeCell ref="N167:N168"/>
    <mergeCell ref="O167:O168"/>
    <mergeCell ref="P167:P168"/>
    <mergeCell ref="Q167:Q168"/>
    <mergeCell ref="R167:R168"/>
    <mergeCell ref="S167:S168"/>
    <mergeCell ref="T167:T168"/>
    <mergeCell ref="I154:L155"/>
    <mergeCell ref="N154:S155"/>
    <mergeCell ref="I159:L159"/>
    <mergeCell ref="P159:U159"/>
    <mergeCell ref="I160:L160"/>
    <mergeCell ref="P160:U160"/>
    <mergeCell ref="I174:L175"/>
    <mergeCell ref="N174:S175"/>
    <mergeCell ref="I179:L179"/>
    <mergeCell ref="P179:U179"/>
    <mergeCell ref="I180:L180"/>
    <mergeCell ref="P180:U180"/>
    <mergeCell ref="V167:V168"/>
    <mergeCell ref="H170:H171"/>
    <mergeCell ref="I170:L171"/>
    <mergeCell ref="N170:N171"/>
    <mergeCell ref="O170:O171"/>
    <mergeCell ref="P170:P171"/>
    <mergeCell ref="Q170:Q171"/>
    <mergeCell ref="R170:R171"/>
    <mergeCell ref="S170:S171"/>
    <mergeCell ref="T170:T171"/>
    <mergeCell ref="V170:V171"/>
    <mergeCell ref="V187:V188"/>
    <mergeCell ref="H190:H191"/>
    <mergeCell ref="I190:L191"/>
    <mergeCell ref="N190:N191"/>
    <mergeCell ref="O190:O191"/>
    <mergeCell ref="P190:P191"/>
    <mergeCell ref="Q190:Q191"/>
    <mergeCell ref="R190:R191"/>
    <mergeCell ref="S190:S191"/>
    <mergeCell ref="T190:T191"/>
    <mergeCell ref="V190:V191"/>
    <mergeCell ref="I181:L181"/>
    <mergeCell ref="P181:U181"/>
    <mergeCell ref="I182:L182"/>
    <mergeCell ref="P182:U182"/>
    <mergeCell ref="H187:H188"/>
    <mergeCell ref="I187:L188"/>
    <mergeCell ref="N187:N188"/>
    <mergeCell ref="O187:O188"/>
    <mergeCell ref="P187:P188"/>
    <mergeCell ref="Q187:Q188"/>
    <mergeCell ref="R187:R188"/>
    <mergeCell ref="S187:S188"/>
    <mergeCell ref="T187:T188"/>
    <mergeCell ref="I201:L201"/>
    <mergeCell ref="P201:U201"/>
    <mergeCell ref="I202:L202"/>
    <mergeCell ref="P202:U202"/>
    <mergeCell ref="H207:H208"/>
    <mergeCell ref="I207:L208"/>
    <mergeCell ref="N207:N208"/>
    <mergeCell ref="O207:O208"/>
    <mergeCell ref="P207:P208"/>
    <mergeCell ref="Q207:Q208"/>
    <mergeCell ref="R207:R208"/>
    <mergeCell ref="S207:S208"/>
    <mergeCell ref="T207:T208"/>
    <mergeCell ref="I194:L195"/>
    <mergeCell ref="N194:S195"/>
    <mergeCell ref="I199:L199"/>
    <mergeCell ref="P199:U199"/>
    <mergeCell ref="I200:L200"/>
    <mergeCell ref="P200:U200"/>
    <mergeCell ref="I214:L215"/>
    <mergeCell ref="N214:S215"/>
    <mergeCell ref="I219:L219"/>
    <mergeCell ref="P219:U219"/>
    <mergeCell ref="I220:L220"/>
    <mergeCell ref="P220:U220"/>
    <mergeCell ref="V207:V208"/>
    <mergeCell ref="H210:H211"/>
    <mergeCell ref="I210:L211"/>
    <mergeCell ref="N210:N211"/>
    <mergeCell ref="O210:O211"/>
    <mergeCell ref="P210:P211"/>
    <mergeCell ref="Q210:Q211"/>
    <mergeCell ref="R210:R211"/>
    <mergeCell ref="S210:S211"/>
    <mergeCell ref="T210:T211"/>
    <mergeCell ref="V210:V211"/>
    <mergeCell ref="V227:V228"/>
    <mergeCell ref="H230:H231"/>
    <mergeCell ref="I230:L231"/>
    <mergeCell ref="N230:N231"/>
    <mergeCell ref="O230:O231"/>
    <mergeCell ref="P230:P231"/>
    <mergeCell ref="Q230:Q231"/>
    <mergeCell ref="R230:R231"/>
    <mergeCell ref="S230:S231"/>
    <mergeCell ref="T230:T231"/>
    <mergeCell ref="V230:V231"/>
    <mergeCell ref="I221:L221"/>
    <mergeCell ref="P221:U221"/>
    <mergeCell ref="I222:L222"/>
    <mergeCell ref="P222:U222"/>
    <mergeCell ref="H227:H228"/>
    <mergeCell ref="I227:L228"/>
    <mergeCell ref="N227:N228"/>
    <mergeCell ref="O227:O228"/>
    <mergeCell ref="P227:P228"/>
    <mergeCell ref="Q227:Q228"/>
    <mergeCell ref="R227:R228"/>
    <mergeCell ref="S227:S228"/>
    <mergeCell ref="T227:T228"/>
    <mergeCell ref="I241:L241"/>
    <mergeCell ref="P241:U241"/>
    <mergeCell ref="I242:L242"/>
    <mergeCell ref="P242:U242"/>
    <mergeCell ref="H247:H248"/>
    <mergeCell ref="I247:L248"/>
    <mergeCell ref="N247:N248"/>
    <mergeCell ref="O247:O248"/>
    <mergeCell ref="P247:P248"/>
    <mergeCell ref="Q247:Q248"/>
    <mergeCell ref="R247:R248"/>
    <mergeCell ref="S247:S248"/>
    <mergeCell ref="T247:T248"/>
    <mergeCell ref="I234:L235"/>
    <mergeCell ref="N234:S235"/>
    <mergeCell ref="I239:L239"/>
    <mergeCell ref="P239:U239"/>
    <mergeCell ref="I240:L240"/>
    <mergeCell ref="P240:U240"/>
    <mergeCell ref="I254:L255"/>
    <mergeCell ref="N254:S255"/>
    <mergeCell ref="I259:L259"/>
    <mergeCell ref="P259:U259"/>
    <mergeCell ref="I260:L260"/>
    <mergeCell ref="P260:U260"/>
    <mergeCell ref="V247:V248"/>
    <mergeCell ref="H250:H251"/>
    <mergeCell ref="I250:L251"/>
    <mergeCell ref="N250:N251"/>
    <mergeCell ref="O250:O251"/>
    <mergeCell ref="P250:P251"/>
    <mergeCell ref="Q250:Q251"/>
    <mergeCell ref="R250:R251"/>
    <mergeCell ref="S250:S251"/>
    <mergeCell ref="T250:T251"/>
    <mergeCell ref="V250:V251"/>
    <mergeCell ref="V267:V268"/>
    <mergeCell ref="H270:H271"/>
    <mergeCell ref="I270:L271"/>
    <mergeCell ref="N270:N271"/>
    <mergeCell ref="O270:O271"/>
    <mergeCell ref="P270:P271"/>
    <mergeCell ref="Q270:Q271"/>
    <mergeCell ref="R270:R271"/>
    <mergeCell ref="S270:S271"/>
    <mergeCell ref="T270:T271"/>
    <mergeCell ref="V270:V271"/>
    <mergeCell ref="I261:L261"/>
    <mergeCell ref="P261:U261"/>
    <mergeCell ref="I262:L262"/>
    <mergeCell ref="P262:U262"/>
    <mergeCell ref="H267:H268"/>
    <mergeCell ref="I267:L268"/>
    <mergeCell ref="N267:N268"/>
    <mergeCell ref="O267:O268"/>
    <mergeCell ref="P267:P268"/>
    <mergeCell ref="Q267:Q268"/>
    <mergeCell ref="R267:R268"/>
    <mergeCell ref="S267:S268"/>
    <mergeCell ref="T267:T268"/>
    <mergeCell ref="I281:L281"/>
    <mergeCell ref="P281:U281"/>
    <mergeCell ref="I282:L282"/>
    <mergeCell ref="P282:U282"/>
    <mergeCell ref="H287:H288"/>
    <mergeCell ref="I287:L288"/>
    <mergeCell ref="N287:N288"/>
    <mergeCell ref="O287:O288"/>
    <mergeCell ref="P287:P288"/>
    <mergeCell ref="Q287:Q288"/>
    <mergeCell ref="R287:R288"/>
    <mergeCell ref="S287:S288"/>
    <mergeCell ref="T287:T288"/>
    <mergeCell ref="I274:L275"/>
    <mergeCell ref="N274:S275"/>
    <mergeCell ref="I279:L279"/>
    <mergeCell ref="P279:U279"/>
    <mergeCell ref="I280:L280"/>
    <mergeCell ref="P280:U280"/>
    <mergeCell ref="I294:L295"/>
    <mergeCell ref="N294:S295"/>
    <mergeCell ref="I299:L299"/>
    <mergeCell ref="P299:U299"/>
    <mergeCell ref="I300:L300"/>
    <mergeCell ref="P300:U300"/>
    <mergeCell ref="V287:V288"/>
    <mergeCell ref="H290:H291"/>
    <mergeCell ref="I290:L291"/>
    <mergeCell ref="N290:N291"/>
    <mergeCell ref="O290:O291"/>
    <mergeCell ref="P290:P291"/>
    <mergeCell ref="Q290:Q291"/>
    <mergeCell ref="R290:R291"/>
    <mergeCell ref="S290:S291"/>
    <mergeCell ref="T290:T291"/>
    <mergeCell ref="V290:V291"/>
    <mergeCell ref="V307:V308"/>
    <mergeCell ref="H310:H311"/>
    <mergeCell ref="I310:L311"/>
    <mergeCell ref="N310:N311"/>
    <mergeCell ref="O310:O311"/>
    <mergeCell ref="P310:P311"/>
    <mergeCell ref="Q310:Q311"/>
    <mergeCell ref="R310:R311"/>
    <mergeCell ref="S310:S311"/>
    <mergeCell ref="T310:T311"/>
    <mergeCell ref="V310:V311"/>
    <mergeCell ref="I301:L301"/>
    <mergeCell ref="P301:U301"/>
    <mergeCell ref="I302:L302"/>
    <mergeCell ref="P302:U302"/>
    <mergeCell ref="H307:H308"/>
    <mergeCell ref="I307:L308"/>
    <mergeCell ref="N307:N308"/>
    <mergeCell ref="O307:O308"/>
    <mergeCell ref="P307:P308"/>
    <mergeCell ref="Q307:Q308"/>
    <mergeCell ref="R307:R308"/>
    <mergeCell ref="S307:S308"/>
    <mergeCell ref="T307:T308"/>
    <mergeCell ref="I321:L321"/>
    <mergeCell ref="P321:U321"/>
    <mergeCell ref="I322:L322"/>
    <mergeCell ref="P322:U322"/>
    <mergeCell ref="H327:H328"/>
    <mergeCell ref="I327:L328"/>
    <mergeCell ref="N327:N328"/>
    <mergeCell ref="O327:O328"/>
    <mergeCell ref="P327:P328"/>
    <mergeCell ref="Q327:Q328"/>
    <mergeCell ref="R327:R328"/>
    <mergeCell ref="S327:S328"/>
    <mergeCell ref="T327:T328"/>
    <mergeCell ref="I314:L315"/>
    <mergeCell ref="N314:S315"/>
    <mergeCell ref="I319:L319"/>
    <mergeCell ref="P319:U319"/>
    <mergeCell ref="I320:L320"/>
    <mergeCell ref="P320:U320"/>
    <mergeCell ref="I334:L335"/>
    <mergeCell ref="N334:S335"/>
    <mergeCell ref="I339:L339"/>
    <mergeCell ref="P339:U339"/>
    <mergeCell ref="I340:L340"/>
    <mergeCell ref="P340:U340"/>
    <mergeCell ref="V327:V328"/>
    <mergeCell ref="H330:H331"/>
    <mergeCell ref="I330:L331"/>
    <mergeCell ref="N330:N331"/>
    <mergeCell ref="O330:O331"/>
    <mergeCell ref="P330:P331"/>
    <mergeCell ref="Q330:Q331"/>
    <mergeCell ref="R330:R331"/>
    <mergeCell ref="S330:S331"/>
    <mergeCell ref="T330:T331"/>
    <mergeCell ref="V330:V331"/>
    <mergeCell ref="V347:V348"/>
    <mergeCell ref="H350:H351"/>
    <mergeCell ref="I350:L351"/>
    <mergeCell ref="N350:N351"/>
    <mergeCell ref="O350:O351"/>
    <mergeCell ref="P350:P351"/>
    <mergeCell ref="Q350:Q351"/>
    <mergeCell ref="R350:R351"/>
    <mergeCell ref="S350:S351"/>
    <mergeCell ref="T350:T351"/>
    <mergeCell ref="V350:V351"/>
    <mergeCell ref="I341:L341"/>
    <mergeCell ref="P341:U341"/>
    <mergeCell ref="I342:L342"/>
    <mergeCell ref="P342:U342"/>
    <mergeCell ref="H347:H348"/>
    <mergeCell ref="I347:L348"/>
    <mergeCell ref="N347:N348"/>
    <mergeCell ref="O347:O348"/>
    <mergeCell ref="P347:P348"/>
    <mergeCell ref="Q347:Q348"/>
    <mergeCell ref="R347:R348"/>
    <mergeCell ref="S347:S348"/>
    <mergeCell ref="T347:T348"/>
    <mergeCell ref="I361:L361"/>
    <mergeCell ref="P361:U361"/>
    <mergeCell ref="I362:L362"/>
    <mergeCell ref="P362:U362"/>
    <mergeCell ref="H367:H368"/>
    <mergeCell ref="I367:L368"/>
    <mergeCell ref="N367:N368"/>
    <mergeCell ref="O367:O368"/>
    <mergeCell ref="P367:P368"/>
    <mergeCell ref="Q367:Q368"/>
    <mergeCell ref="R367:R368"/>
    <mergeCell ref="S367:S368"/>
    <mergeCell ref="T367:T368"/>
    <mergeCell ref="I354:L355"/>
    <mergeCell ref="N354:S355"/>
    <mergeCell ref="I359:L359"/>
    <mergeCell ref="P359:U359"/>
    <mergeCell ref="I360:L360"/>
    <mergeCell ref="P360:U360"/>
    <mergeCell ref="I374:L375"/>
    <mergeCell ref="N374:S375"/>
    <mergeCell ref="I379:L379"/>
    <mergeCell ref="P379:U379"/>
    <mergeCell ref="I380:L380"/>
    <mergeCell ref="P380:U380"/>
    <mergeCell ref="V367:V368"/>
    <mergeCell ref="H370:H371"/>
    <mergeCell ref="I370:L371"/>
    <mergeCell ref="N370:N371"/>
    <mergeCell ref="O370:O371"/>
    <mergeCell ref="P370:P371"/>
    <mergeCell ref="Q370:Q371"/>
    <mergeCell ref="R370:R371"/>
    <mergeCell ref="S370:S371"/>
    <mergeCell ref="T370:T371"/>
    <mergeCell ref="V370:V371"/>
    <mergeCell ref="V387:V388"/>
    <mergeCell ref="H390:H391"/>
    <mergeCell ref="I390:L391"/>
    <mergeCell ref="N390:N391"/>
    <mergeCell ref="O390:O391"/>
    <mergeCell ref="P390:P391"/>
    <mergeCell ref="Q390:Q391"/>
    <mergeCell ref="R390:R391"/>
    <mergeCell ref="S390:S391"/>
    <mergeCell ref="T390:T391"/>
    <mergeCell ref="V390:V391"/>
    <mergeCell ref="I381:L381"/>
    <mergeCell ref="P381:U381"/>
    <mergeCell ref="I382:L382"/>
    <mergeCell ref="P382:U382"/>
    <mergeCell ref="H387:H388"/>
    <mergeCell ref="I387:L388"/>
    <mergeCell ref="N387:N388"/>
    <mergeCell ref="O387:O388"/>
    <mergeCell ref="P387:P388"/>
    <mergeCell ref="Q387:Q388"/>
    <mergeCell ref="R387:R388"/>
    <mergeCell ref="S387:S388"/>
    <mergeCell ref="T387:T388"/>
    <mergeCell ref="I401:L401"/>
    <mergeCell ref="P401:U401"/>
    <mergeCell ref="I402:L402"/>
    <mergeCell ref="P402:U402"/>
    <mergeCell ref="H407:H408"/>
    <mergeCell ref="I407:L408"/>
    <mergeCell ref="N407:N408"/>
    <mergeCell ref="O407:O408"/>
    <mergeCell ref="P407:P408"/>
    <mergeCell ref="Q407:Q408"/>
    <mergeCell ref="R407:R408"/>
    <mergeCell ref="S407:S408"/>
    <mergeCell ref="T407:T408"/>
    <mergeCell ref="I394:L395"/>
    <mergeCell ref="N394:S395"/>
    <mergeCell ref="I399:L399"/>
    <mergeCell ref="P399:U399"/>
    <mergeCell ref="I400:L400"/>
    <mergeCell ref="P400:U400"/>
    <mergeCell ref="I414:L415"/>
    <mergeCell ref="N414:S415"/>
    <mergeCell ref="I419:L419"/>
    <mergeCell ref="P419:U419"/>
    <mergeCell ref="I420:L420"/>
    <mergeCell ref="P420:U420"/>
    <mergeCell ref="V407:V408"/>
    <mergeCell ref="H410:H411"/>
    <mergeCell ref="I410:L411"/>
    <mergeCell ref="N410:N411"/>
    <mergeCell ref="O410:O411"/>
    <mergeCell ref="P410:P411"/>
    <mergeCell ref="Q410:Q411"/>
    <mergeCell ref="R410:R411"/>
    <mergeCell ref="S410:S411"/>
    <mergeCell ref="T410:T411"/>
    <mergeCell ref="V410:V411"/>
    <mergeCell ref="V427:V428"/>
    <mergeCell ref="H430:H431"/>
    <mergeCell ref="I430:L431"/>
    <mergeCell ref="N430:N431"/>
    <mergeCell ref="O430:O431"/>
    <mergeCell ref="P430:P431"/>
    <mergeCell ref="Q430:Q431"/>
    <mergeCell ref="R430:R431"/>
    <mergeCell ref="S430:S431"/>
    <mergeCell ref="T430:T431"/>
    <mergeCell ref="V430:V431"/>
    <mergeCell ref="I421:L421"/>
    <mergeCell ref="P421:U421"/>
    <mergeCell ref="I422:L422"/>
    <mergeCell ref="P422:U422"/>
    <mergeCell ref="H427:H428"/>
    <mergeCell ref="I427:L428"/>
    <mergeCell ref="N427:N428"/>
    <mergeCell ref="O427:O428"/>
    <mergeCell ref="P427:P428"/>
    <mergeCell ref="Q427:Q428"/>
    <mergeCell ref="R427:R428"/>
    <mergeCell ref="S427:S428"/>
    <mergeCell ref="T427:T428"/>
    <mergeCell ref="I441:L441"/>
    <mergeCell ref="P441:U441"/>
    <mergeCell ref="I442:L442"/>
    <mergeCell ref="P442:U442"/>
    <mergeCell ref="H447:H448"/>
    <mergeCell ref="I447:L448"/>
    <mergeCell ref="N447:N448"/>
    <mergeCell ref="O447:O448"/>
    <mergeCell ref="P447:P448"/>
    <mergeCell ref="Q447:Q448"/>
    <mergeCell ref="R447:R448"/>
    <mergeCell ref="S447:S448"/>
    <mergeCell ref="T447:T448"/>
    <mergeCell ref="I434:L435"/>
    <mergeCell ref="N434:S435"/>
    <mergeCell ref="I439:L439"/>
    <mergeCell ref="P439:U439"/>
    <mergeCell ref="I440:L440"/>
    <mergeCell ref="P440:U440"/>
    <mergeCell ref="I454:L455"/>
    <mergeCell ref="N454:S455"/>
    <mergeCell ref="I459:L459"/>
    <mergeCell ref="P459:U459"/>
    <mergeCell ref="I460:L460"/>
    <mergeCell ref="P460:U460"/>
    <mergeCell ref="V447:V448"/>
    <mergeCell ref="H450:H451"/>
    <mergeCell ref="I450:L451"/>
    <mergeCell ref="N450:N451"/>
    <mergeCell ref="O450:O451"/>
    <mergeCell ref="P450:P451"/>
    <mergeCell ref="Q450:Q451"/>
    <mergeCell ref="R450:R451"/>
    <mergeCell ref="S450:S451"/>
    <mergeCell ref="T450:T451"/>
    <mergeCell ref="V450:V451"/>
    <mergeCell ref="V467:V468"/>
    <mergeCell ref="H470:H471"/>
    <mergeCell ref="I470:L471"/>
    <mergeCell ref="N470:N471"/>
    <mergeCell ref="O470:O471"/>
    <mergeCell ref="P470:P471"/>
    <mergeCell ref="Q470:Q471"/>
    <mergeCell ref="R470:R471"/>
    <mergeCell ref="S470:S471"/>
    <mergeCell ref="T470:T471"/>
    <mergeCell ref="V470:V471"/>
    <mergeCell ref="I461:L461"/>
    <mergeCell ref="P461:U461"/>
    <mergeCell ref="I462:L462"/>
    <mergeCell ref="P462:U462"/>
    <mergeCell ref="H467:H468"/>
    <mergeCell ref="I467:L468"/>
    <mergeCell ref="N467:N468"/>
    <mergeCell ref="O467:O468"/>
    <mergeCell ref="P467:P468"/>
    <mergeCell ref="Q467:Q468"/>
    <mergeCell ref="R467:R468"/>
    <mergeCell ref="S467:S468"/>
    <mergeCell ref="T467:T468"/>
    <mergeCell ref="I481:L481"/>
    <mergeCell ref="P481:U481"/>
    <mergeCell ref="I482:L482"/>
    <mergeCell ref="P482:U482"/>
    <mergeCell ref="H487:H488"/>
    <mergeCell ref="I487:L488"/>
    <mergeCell ref="N487:N488"/>
    <mergeCell ref="O487:O488"/>
    <mergeCell ref="P487:P488"/>
    <mergeCell ref="Q487:Q488"/>
    <mergeCell ref="R487:R488"/>
    <mergeCell ref="S487:S488"/>
    <mergeCell ref="T487:T488"/>
    <mergeCell ref="I474:L475"/>
    <mergeCell ref="N474:S475"/>
    <mergeCell ref="I479:L479"/>
    <mergeCell ref="P479:U479"/>
    <mergeCell ref="I480:L480"/>
    <mergeCell ref="P480:U480"/>
    <mergeCell ref="I494:L495"/>
    <mergeCell ref="N494:S495"/>
    <mergeCell ref="I499:L499"/>
    <mergeCell ref="P499:U499"/>
    <mergeCell ref="I500:L500"/>
    <mergeCell ref="P500:U500"/>
    <mergeCell ref="V487:V488"/>
    <mergeCell ref="H490:H491"/>
    <mergeCell ref="I490:L491"/>
    <mergeCell ref="N490:N491"/>
    <mergeCell ref="O490:O491"/>
    <mergeCell ref="P490:P491"/>
    <mergeCell ref="Q490:Q491"/>
    <mergeCell ref="R490:R491"/>
    <mergeCell ref="S490:S491"/>
    <mergeCell ref="T490:T491"/>
    <mergeCell ref="V490:V491"/>
    <mergeCell ref="V507:V508"/>
    <mergeCell ref="H510:H511"/>
    <mergeCell ref="I510:L511"/>
    <mergeCell ref="N510:N511"/>
    <mergeCell ref="O510:O511"/>
    <mergeCell ref="P510:P511"/>
    <mergeCell ref="Q510:Q511"/>
    <mergeCell ref="R510:R511"/>
    <mergeCell ref="S510:S511"/>
    <mergeCell ref="T510:T511"/>
    <mergeCell ref="V510:V511"/>
    <mergeCell ref="I501:L501"/>
    <mergeCell ref="P501:U501"/>
    <mergeCell ref="I502:L502"/>
    <mergeCell ref="P502:U502"/>
    <mergeCell ref="H507:H508"/>
    <mergeCell ref="I507:L508"/>
    <mergeCell ref="N507:N508"/>
    <mergeCell ref="O507:O508"/>
    <mergeCell ref="P507:P508"/>
    <mergeCell ref="Q507:Q508"/>
    <mergeCell ref="R507:R508"/>
    <mergeCell ref="S507:S508"/>
    <mergeCell ref="T507:T508"/>
    <mergeCell ref="I521:L521"/>
    <mergeCell ref="P521:U521"/>
    <mergeCell ref="I522:L522"/>
    <mergeCell ref="P522:U522"/>
    <mergeCell ref="H527:H528"/>
    <mergeCell ref="I527:L528"/>
    <mergeCell ref="N527:N528"/>
    <mergeCell ref="O527:O528"/>
    <mergeCell ref="P527:P528"/>
    <mergeCell ref="Q527:Q528"/>
    <mergeCell ref="R527:R528"/>
    <mergeCell ref="S527:S528"/>
    <mergeCell ref="T527:T528"/>
    <mergeCell ref="I514:L515"/>
    <mergeCell ref="N514:S515"/>
    <mergeCell ref="I519:L519"/>
    <mergeCell ref="P519:U519"/>
    <mergeCell ref="I520:L520"/>
    <mergeCell ref="P520:U520"/>
    <mergeCell ref="I534:L535"/>
    <mergeCell ref="N534:S535"/>
    <mergeCell ref="I539:L539"/>
    <mergeCell ref="P539:U539"/>
    <mergeCell ref="I540:L540"/>
    <mergeCell ref="P540:U540"/>
    <mergeCell ref="V527:V528"/>
    <mergeCell ref="H530:H531"/>
    <mergeCell ref="I530:L531"/>
    <mergeCell ref="N530:N531"/>
    <mergeCell ref="O530:O531"/>
    <mergeCell ref="P530:P531"/>
    <mergeCell ref="Q530:Q531"/>
    <mergeCell ref="R530:R531"/>
    <mergeCell ref="S530:S531"/>
    <mergeCell ref="T530:T531"/>
    <mergeCell ref="V530:V531"/>
    <mergeCell ref="V547:V548"/>
    <mergeCell ref="H550:H551"/>
    <mergeCell ref="I550:L551"/>
    <mergeCell ref="N550:N551"/>
    <mergeCell ref="O550:O551"/>
    <mergeCell ref="P550:P551"/>
    <mergeCell ref="Q550:Q551"/>
    <mergeCell ref="R550:R551"/>
    <mergeCell ref="S550:S551"/>
    <mergeCell ref="T550:T551"/>
    <mergeCell ref="V550:V551"/>
    <mergeCell ref="I541:L541"/>
    <mergeCell ref="P541:U541"/>
    <mergeCell ref="I542:L542"/>
    <mergeCell ref="P542:U542"/>
    <mergeCell ref="H547:H548"/>
    <mergeCell ref="I547:L548"/>
    <mergeCell ref="N547:N548"/>
    <mergeCell ref="O547:O548"/>
    <mergeCell ref="P547:P548"/>
    <mergeCell ref="Q547:Q548"/>
    <mergeCell ref="R547:R548"/>
    <mergeCell ref="S547:S548"/>
    <mergeCell ref="T547:T548"/>
    <mergeCell ref="I561:L561"/>
    <mergeCell ref="P561:U561"/>
    <mergeCell ref="I562:L562"/>
    <mergeCell ref="P562:U562"/>
    <mergeCell ref="H567:H568"/>
    <mergeCell ref="I567:L568"/>
    <mergeCell ref="N567:N568"/>
    <mergeCell ref="O567:O568"/>
    <mergeCell ref="P567:P568"/>
    <mergeCell ref="Q567:Q568"/>
    <mergeCell ref="R567:R568"/>
    <mergeCell ref="S567:S568"/>
    <mergeCell ref="T567:T568"/>
    <mergeCell ref="I554:L555"/>
    <mergeCell ref="N554:S555"/>
    <mergeCell ref="I559:L559"/>
    <mergeCell ref="P559:U559"/>
    <mergeCell ref="I560:L560"/>
    <mergeCell ref="P560:U560"/>
    <mergeCell ref="I574:L575"/>
    <mergeCell ref="N574:S575"/>
    <mergeCell ref="I579:L579"/>
    <mergeCell ref="P579:U579"/>
    <mergeCell ref="I580:L580"/>
    <mergeCell ref="P580:U580"/>
    <mergeCell ref="V567:V568"/>
    <mergeCell ref="H570:H571"/>
    <mergeCell ref="I570:L571"/>
    <mergeCell ref="N570:N571"/>
    <mergeCell ref="O570:O571"/>
    <mergeCell ref="P570:P571"/>
    <mergeCell ref="Q570:Q571"/>
    <mergeCell ref="R570:R571"/>
    <mergeCell ref="S570:S571"/>
    <mergeCell ref="T570:T571"/>
    <mergeCell ref="V570:V571"/>
    <mergeCell ref="V587:V588"/>
    <mergeCell ref="H590:H591"/>
    <mergeCell ref="I590:L591"/>
    <mergeCell ref="N590:N591"/>
    <mergeCell ref="O590:O591"/>
    <mergeCell ref="P590:P591"/>
    <mergeCell ref="Q590:Q591"/>
    <mergeCell ref="R590:R591"/>
    <mergeCell ref="S590:S591"/>
    <mergeCell ref="T590:T591"/>
    <mergeCell ref="V590:V591"/>
    <mergeCell ref="I581:L581"/>
    <mergeCell ref="P581:U581"/>
    <mergeCell ref="I582:L582"/>
    <mergeCell ref="P582:U582"/>
    <mergeCell ref="H587:H588"/>
    <mergeCell ref="I587:L588"/>
    <mergeCell ref="N587:N588"/>
    <mergeCell ref="O587:O588"/>
    <mergeCell ref="P587:P588"/>
    <mergeCell ref="Q587:Q588"/>
    <mergeCell ref="R587:R588"/>
    <mergeCell ref="S587:S588"/>
    <mergeCell ref="T587:T588"/>
    <mergeCell ref="I601:L601"/>
    <mergeCell ref="P601:U601"/>
    <mergeCell ref="I602:L602"/>
    <mergeCell ref="P602:U602"/>
    <mergeCell ref="H607:H608"/>
    <mergeCell ref="I607:L608"/>
    <mergeCell ref="N607:N608"/>
    <mergeCell ref="O607:O608"/>
    <mergeCell ref="P607:P608"/>
    <mergeCell ref="Q607:Q608"/>
    <mergeCell ref="R607:R608"/>
    <mergeCell ref="S607:S608"/>
    <mergeCell ref="T607:T608"/>
    <mergeCell ref="I594:L595"/>
    <mergeCell ref="N594:S595"/>
    <mergeCell ref="I599:L599"/>
    <mergeCell ref="P599:U599"/>
    <mergeCell ref="I600:L600"/>
    <mergeCell ref="P600:U600"/>
    <mergeCell ref="I614:L615"/>
    <mergeCell ref="N614:S615"/>
    <mergeCell ref="I619:L619"/>
    <mergeCell ref="P619:U619"/>
    <mergeCell ref="I620:L620"/>
    <mergeCell ref="P620:U620"/>
    <mergeCell ref="V607:V608"/>
    <mergeCell ref="H610:H611"/>
    <mergeCell ref="I610:L611"/>
    <mergeCell ref="N610:N611"/>
    <mergeCell ref="O610:O611"/>
    <mergeCell ref="P610:P611"/>
    <mergeCell ref="Q610:Q611"/>
    <mergeCell ref="R610:R611"/>
    <mergeCell ref="S610:S611"/>
    <mergeCell ref="T610:T611"/>
    <mergeCell ref="V610:V611"/>
    <mergeCell ref="V627:V628"/>
    <mergeCell ref="H630:H631"/>
    <mergeCell ref="I630:L631"/>
    <mergeCell ref="N630:N631"/>
    <mergeCell ref="O630:O631"/>
    <mergeCell ref="P630:P631"/>
    <mergeCell ref="Q630:Q631"/>
    <mergeCell ref="R630:R631"/>
    <mergeCell ref="S630:S631"/>
    <mergeCell ref="T630:T631"/>
    <mergeCell ref="V630:V631"/>
    <mergeCell ref="I621:L621"/>
    <mergeCell ref="P621:U621"/>
    <mergeCell ref="I622:L622"/>
    <mergeCell ref="P622:U622"/>
    <mergeCell ref="H627:H628"/>
    <mergeCell ref="I627:L628"/>
    <mergeCell ref="N627:N628"/>
    <mergeCell ref="O627:O628"/>
    <mergeCell ref="P627:P628"/>
    <mergeCell ref="Q627:Q628"/>
    <mergeCell ref="R627:R628"/>
    <mergeCell ref="S627:S628"/>
    <mergeCell ref="T627:T628"/>
    <mergeCell ref="I641:L641"/>
    <mergeCell ref="P641:U641"/>
    <mergeCell ref="I642:L642"/>
    <mergeCell ref="P642:U642"/>
    <mergeCell ref="H647:H648"/>
    <mergeCell ref="I647:L648"/>
    <mergeCell ref="N647:N648"/>
    <mergeCell ref="O647:O648"/>
    <mergeCell ref="P647:P648"/>
    <mergeCell ref="Q647:Q648"/>
    <mergeCell ref="R647:R648"/>
    <mergeCell ref="S647:S648"/>
    <mergeCell ref="T647:T648"/>
    <mergeCell ref="I634:L635"/>
    <mergeCell ref="N634:S635"/>
    <mergeCell ref="I639:L639"/>
    <mergeCell ref="P639:U639"/>
    <mergeCell ref="I640:L640"/>
    <mergeCell ref="P640:U640"/>
    <mergeCell ref="I654:L655"/>
    <mergeCell ref="N654:S655"/>
    <mergeCell ref="I659:L659"/>
    <mergeCell ref="P659:U659"/>
    <mergeCell ref="I660:L660"/>
    <mergeCell ref="P660:U660"/>
    <mergeCell ref="V647:V648"/>
    <mergeCell ref="H650:H651"/>
    <mergeCell ref="I650:L651"/>
    <mergeCell ref="N650:N651"/>
    <mergeCell ref="O650:O651"/>
    <mergeCell ref="P650:P651"/>
    <mergeCell ref="Q650:Q651"/>
    <mergeCell ref="R650:R651"/>
    <mergeCell ref="S650:S651"/>
    <mergeCell ref="T650:T651"/>
    <mergeCell ref="V650:V651"/>
    <mergeCell ref="V667:V668"/>
    <mergeCell ref="H670:H671"/>
    <mergeCell ref="I670:L671"/>
    <mergeCell ref="N670:N671"/>
    <mergeCell ref="O670:O671"/>
    <mergeCell ref="P670:P671"/>
    <mergeCell ref="Q670:Q671"/>
    <mergeCell ref="R670:R671"/>
    <mergeCell ref="S670:S671"/>
    <mergeCell ref="T670:T671"/>
    <mergeCell ref="V670:V671"/>
    <mergeCell ref="I661:L661"/>
    <mergeCell ref="P661:U661"/>
    <mergeCell ref="I662:L662"/>
    <mergeCell ref="P662:U662"/>
    <mergeCell ref="H667:H668"/>
    <mergeCell ref="I667:L668"/>
    <mergeCell ref="N667:N668"/>
    <mergeCell ref="O667:O668"/>
    <mergeCell ref="P667:P668"/>
    <mergeCell ref="Q667:Q668"/>
    <mergeCell ref="R667:R668"/>
    <mergeCell ref="S667:S668"/>
    <mergeCell ref="T667:T668"/>
    <mergeCell ref="I681:L681"/>
    <mergeCell ref="P681:U681"/>
    <mergeCell ref="I682:L682"/>
    <mergeCell ref="P682:U682"/>
    <mergeCell ref="H687:H688"/>
    <mergeCell ref="I687:L688"/>
    <mergeCell ref="N687:N688"/>
    <mergeCell ref="O687:O688"/>
    <mergeCell ref="P687:P688"/>
    <mergeCell ref="Q687:Q688"/>
    <mergeCell ref="R687:R688"/>
    <mergeCell ref="S687:S688"/>
    <mergeCell ref="T687:T688"/>
    <mergeCell ref="I674:L675"/>
    <mergeCell ref="N674:S675"/>
    <mergeCell ref="I679:L679"/>
    <mergeCell ref="P679:U679"/>
    <mergeCell ref="I680:L680"/>
    <mergeCell ref="P680:U680"/>
    <mergeCell ref="I694:L695"/>
    <mergeCell ref="N694:S695"/>
    <mergeCell ref="I699:L699"/>
    <mergeCell ref="P699:U699"/>
    <mergeCell ref="I700:L700"/>
    <mergeCell ref="P700:U700"/>
    <mergeCell ref="V687:V688"/>
    <mergeCell ref="H690:H691"/>
    <mergeCell ref="I690:L691"/>
    <mergeCell ref="N690:N691"/>
    <mergeCell ref="O690:O691"/>
    <mergeCell ref="P690:P691"/>
    <mergeCell ref="Q690:Q691"/>
    <mergeCell ref="R690:R691"/>
    <mergeCell ref="S690:S691"/>
    <mergeCell ref="T690:T691"/>
    <mergeCell ref="V690:V691"/>
    <mergeCell ref="V707:V708"/>
    <mergeCell ref="H710:H711"/>
    <mergeCell ref="I710:L711"/>
    <mergeCell ref="N710:N711"/>
    <mergeCell ref="O710:O711"/>
    <mergeCell ref="P710:P711"/>
    <mergeCell ref="Q710:Q711"/>
    <mergeCell ref="R710:R711"/>
    <mergeCell ref="S710:S711"/>
    <mergeCell ref="T710:T711"/>
    <mergeCell ref="V710:V711"/>
    <mergeCell ref="I701:L701"/>
    <mergeCell ref="P701:U701"/>
    <mergeCell ref="I702:L702"/>
    <mergeCell ref="P702:U702"/>
    <mergeCell ref="H707:H708"/>
    <mergeCell ref="I707:L708"/>
    <mergeCell ref="N707:N708"/>
    <mergeCell ref="O707:O708"/>
    <mergeCell ref="P707:P708"/>
    <mergeCell ref="Q707:Q708"/>
    <mergeCell ref="R707:R708"/>
    <mergeCell ref="S707:S708"/>
    <mergeCell ref="T707:T708"/>
    <mergeCell ref="I721:L721"/>
    <mergeCell ref="P721:U721"/>
    <mergeCell ref="I722:L722"/>
    <mergeCell ref="P722:U722"/>
    <mergeCell ref="H727:H728"/>
    <mergeCell ref="I727:L728"/>
    <mergeCell ref="N727:N728"/>
    <mergeCell ref="O727:O728"/>
    <mergeCell ref="P727:P728"/>
    <mergeCell ref="Q727:Q728"/>
    <mergeCell ref="R727:R728"/>
    <mergeCell ref="S727:S728"/>
    <mergeCell ref="T727:T728"/>
    <mergeCell ref="I714:L715"/>
    <mergeCell ref="N714:S715"/>
    <mergeCell ref="I719:L719"/>
    <mergeCell ref="P719:U719"/>
    <mergeCell ref="I720:L720"/>
    <mergeCell ref="P720:U720"/>
    <mergeCell ref="I734:L735"/>
    <mergeCell ref="N734:S735"/>
    <mergeCell ref="I739:L739"/>
    <mergeCell ref="P739:U739"/>
    <mergeCell ref="I740:L740"/>
    <mergeCell ref="P740:U740"/>
    <mergeCell ref="V727:V728"/>
    <mergeCell ref="H730:H731"/>
    <mergeCell ref="I730:L731"/>
    <mergeCell ref="N730:N731"/>
    <mergeCell ref="O730:O731"/>
    <mergeCell ref="P730:P731"/>
    <mergeCell ref="Q730:Q731"/>
    <mergeCell ref="R730:R731"/>
    <mergeCell ref="S730:S731"/>
    <mergeCell ref="T730:T731"/>
    <mergeCell ref="V730:V731"/>
    <mergeCell ref="V747:V748"/>
    <mergeCell ref="H750:H751"/>
    <mergeCell ref="I750:L751"/>
    <mergeCell ref="N750:N751"/>
    <mergeCell ref="O750:O751"/>
    <mergeCell ref="P750:P751"/>
    <mergeCell ref="Q750:Q751"/>
    <mergeCell ref="R750:R751"/>
    <mergeCell ref="S750:S751"/>
    <mergeCell ref="T750:T751"/>
    <mergeCell ref="V750:V751"/>
    <mergeCell ref="I741:L741"/>
    <mergeCell ref="P741:U741"/>
    <mergeCell ref="I742:L742"/>
    <mergeCell ref="P742:U742"/>
    <mergeCell ref="H747:H748"/>
    <mergeCell ref="I747:L748"/>
    <mergeCell ref="N747:N748"/>
    <mergeCell ref="O747:O748"/>
    <mergeCell ref="P747:P748"/>
    <mergeCell ref="Q747:Q748"/>
    <mergeCell ref="R747:R748"/>
    <mergeCell ref="S747:S748"/>
    <mergeCell ref="T747:T748"/>
    <mergeCell ref="I761:L761"/>
    <mergeCell ref="P761:U761"/>
    <mergeCell ref="I762:L762"/>
    <mergeCell ref="P762:U762"/>
    <mergeCell ref="H767:H768"/>
    <mergeCell ref="I767:L768"/>
    <mergeCell ref="N767:N768"/>
    <mergeCell ref="O767:O768"/>
    <mergeCell ref="P767:P768"/>
    <mergeCell ref="Q767:Q768"/>
    <mergeCell ref="R767:R768"/>
    <mergeCell ref="S767:S768"/>
    <mergeCell ref="T767:T768"/>
    <mergeCell ref="I754:L755"/>
    <mergeCell ref="N754:S755"/>
    <mergeCell ref="I759:L759"/>
    <mergeCell ref="P759:U759"/>
    <mergeCell ref="I760:L760"/>
    <mergeCell ref="P760:U760"/>
    <mergeCell ref="I774:L775"/>
    <mergeCell ref="N774:S775"/>
    <mergeCell ref="I779:L779"/>
    <mergeCell ref="P779:U779"/>
    <mergeCell ref="I780:L780"/>
    <mergeCell ref="P780:U780"/>
    <mergeCell ref="V767:V768"/>
    <mergeCell ref="H770:H771"/>
    <mergeCell ref="I770:L771"/>
    <mergeCell ref="N770:N771"/>
    <mergeCell ref="O770:O771"/>
    <mergeCell ref="P770:P771"/>
    <mergeCell ref="Q770:Q771"/>
    <mergeCell ref="R770:R771"/>
    <mergeCell ref="S770:S771"/>
    <mergeCell ref="T770:T771"/>
    <mergeCell ref="V770:V771"/>
    <mergeCell ref="V787:V788"/>
    <mergeCell ref="H790:H791"/>
    <mergeCell ref="I790:L791"/>
    <mergeCell ref="N790:N791"/>
    <mergeCell ref="O790:O791"/>
    <mergeCell ref="P790:P791"/>
    <mergeCell ref="Q790:Q791"/>
    <mergeCell ref="R790:R791"/>
    <mergeCell ref="S790:S791"/>
    <mergeCell ref="T790:T791"/>
    <mergeCell ref="V790:V791"/>
    <mergeCell ref="I781:L781"/>
    <mergeCell ref="P781:U781"/>
    <mergeCell ref="I782:L782"/>
    <mergeCell ref="P782:U782"/>
    <mergeCell ref="H787:H788"/>
    <mergeCell ref="I787:L788"/>
    <mergeCell ref="N787:N788"/>
    <mergeCell ref="O787:O788"/>
    <mergeCell ref="P787:P788"/>
    <mergeCell ref="Q787:Q788"/>
    <mergeCell ref="R787:R788"/>
    <mergeCell ref="S787:S788"/>
    <mergeCell ref="T787:T788"/>
    <mergeCell ref="I801:L801"/>
    <mergeCell ref="P801:U801"/>
    <mergeCell ref="I802:L802"/>
    <mergeCell ref="P802:U802"/>
    <mergeCell ref="H807:H808"/>
    <mergeCell ref="I807:L808"/>
    <mergeCell ref="N807:N808"/>
    <mergeCell ref="O807:O808"/>
    <mergeCell ref="P807:P808"/>
    <mergeCell ref="Q807:Q808"/>
    <mergeCell ref="R807:R808"/>
    <mergeCell ref="S807:S808"/>
    <mergeCell ref="T807:T808"/>
    <mergeCell ref="I794:L795"/>
    <mergeCell ref="N794:S795"/>
    <mergeCell ref="I799:L799"/>
    <mergeCell ref="P799:U799"/>
    <mergeCell ref="I800:L800"/>
    <mergeCell ref="P800:U800"/>
    <mergeCell ref="I814:L815"/>
    <mergeCell ref="N814:S815"/>
    <mergeCell ref="I819:L819"/>
    <mergeCell ref="P819:U819"/>
    <mergeCell ref="I820:L820"/>
    <mergeCell ref="P820:U820"/>
    <mergeCell ref="V807:V808"/>
    <mergeCell ref="H810:H811"/>
    <mergeCell ref="I810:L811"/>
    <mergeCell ref="N810:N811"/>
    <mergeCell ref="O810:O811"/>
    <mergeCell ref="P810:P811"/>
    <mergeCell ref="Q810:Q811"/>
    <mergeCell ref="R810:R811"/>
    <mergeCell ref="S810:S811"/>
    <mergeCell ref="T810:T811"/>
    <mergeCell ref="V810:V811"/>
    <mergeCell ref="V827:V828"/>
    <mergeCell ref="H830:H831"/>
    <mergeCell ref="I830:L831"/>
    <mergeCell ref="N830:N831"/>
    <mergeCell ref="O830:O831"/>
    <mergeCell ref="P830:P831"/>
    <mergeCell ref="Q830:Q831"/>
    <mergeCell ref="R830:R831"/>
    <mergeCell ref="S830:S831"/>
    <mergeCell ref="T830:T831"/>
    <mergeCell ref="V830:V831"/>
    <mergeCell ref="I821:L821"/>
    <mergeCell ref="P821:U821"/>
    <mergeCell ref="I822:L822"/>
    <mergeCell ref="P822:U822"/>
    <mergeCell ref="H827:H828"/>
    <mergeCell ref="I827:L828"/>
    <mergeCell ref="N827:N828"/>
    <mergeCell ref="O827:O828"/>
    <mergeCell ref="P827:P828"/>
    <mergeCell ref="Q827:Q828"/>
    <mergeCell ref="R827:R828"/>
    <mergeCell ref="S827:S828"/>
    <mergeCell ref="T827:T828"/>
    <mergeCell ref="I841:L841"/>
    <mergeCell ref="P841:U841"/>
    <mergeCell ref="I842:L842"/>
    <mergeCell ref="P842:U842"/>
    <mergeCell ref="H847:H848"/>
    <mergeCell ref="I847:L848"/>
    <mergeCell ref="N847:N848"/>
    <mergeCell ref="O847:O848"/>
    <mergeCell ref="P847:P848"/>
    <mergeCell ref="Q847:Q848"/>
    <mergeCell ref="R847:R848"/>
    <mergeCell ref="S847:S848"/>
    <mergeCell ref="T847:T848"/>
    <mergeCell ref="I834:L835"/>
    <mergeCell ref="N834:S835"/>
    <mergeCell ref="I839:L839"/>
    <mergeCell ref="P839:U839"/>
    <mergeCell ref="I840:L840"/>
    <mergeCell ref="P840:U840"/>
    <mergeCell ref="I854:L855"/>
    <mergeCell ref="N854:S855"/>
    <mergeCell ref="I859:L859"/>
    <mergeCell ref="P859:U859"/>
    <mergeCell ref="I860:L860"/>
    <mergeCell ref="P860:U860"/>
    <mergeCell ref="V847:V848"/>
    <mergeCell ref="H850:H851"/>
    <mergeCell ref="I850:L851"/>
    <mergeCell ref="N850:N851"/>
    <mergeCell ref="O850:O851"/>
    <mergeCell ref="P850:P851"/>
    <mergeCell ref="Q850:Q851"/>
    <mergeCell ref="R850:R851"/>
    <mergeCell ref="S850:S851"/>
    <mergeCell ref="T850:T851"/>
    <mergeCell ref="V850:V851"/>
    <mergeCell ref="V867:V868"/>
    <mergeCell ref="H870:H871"/>
    <mergeCell ref="I870:L871"/>
    <mergeCell ref="N870:N871"/>
    <mergeCell ref="O870:O871"/>
    <mergeCell ref="P870:P871"/>
    <mergeCell ref="Q870:Q871"/>
    <mergeCell ref="R870:R871"/>
    <mergeCell ref="S870:S871"/>
    <mergeCell ref="T870:T871"/>
    <mergeCell ref="V870:V871"/>
    <mergeCell ref="I861:L861"/>
    <mergeCell ref="P861:U861"/>
    <mergeCell ref="I862:L862"/>
    <mergeCell ref="P862:U862"/>
    <mergeCell ref="H867:H868"/>
    <mergeCell ref="I867:L868"/>
    <mergeCell ref="N867:N868"/>
    <mergeCell ref="O867:O868"/>
    <mergeCell ref="P867:P868"/>
    <mergeCell ref="Q867:Q868"/>
    <mergeCell ref="R867:R868"/>
    <mergeCell ref="S867:S868"/>
    <mergeCell ref="T867:T868"/>
    <mergeCell ref="I881:L881"/>
    <mergeCell ref="P881:U881"/>
    <mergeCell ref="I882:L882"/>
    <mergeCell ref="P882:U882"/>
    <mergeCell ref="H887:H888"/>
    <mergeCell ref="I887:L888"/>
    <mergeCell ref="N887:N888"/>
    <mergeCell ref="O887:O888"/>
    <mergeCell ref="P887:P888"/>
    <mergeCell ref="Q887:Q888"/>
    <mergeCell ref="R887:R888"/>
    <mergeCell ref="S887:S888"/>
    <mergeCell ref="T887:T888"/>
    <mergeCell ref="I874:L875"/>
    <mergeCell ref="N874:S875"/>
    <mergeCell ref="I879:L879"/>
    <mergeCell ref="P879:U879"/>
    <mergeCell ref="I880:L880"/>
    <mergeCell ref="P880:U880"/>
    <mergeCell ref="I894:L895"/>
    <mergeCell ref="N894:S895"/>
    <mergeCell ref="I899:L899"/>
    <mergeCell ref="P899:U899"/>
    <mergeCell ref="I900:L900"/>
    <mergeCell ref="P900:U900"/>
    <mergeCell ref="V887:V888"/>
    <mergeCell ref="H890:H891"/>
    <mergeCell ref="I890:L891"/>
    <mergeCell ref="N890:N891"/>
    <mergeCell ref="O890:O891"/>
    <mergeCell ref="P890:P891"/>
    <mergeCell ref="Q890:Q891"/>
    <mergeCell ref="R890:R891"/>
    <mergeCell ref="S890:S891"/>
    <mergeCell ref="T890:T891"/>
    <mergeCell ref="V890:V891"/>
    <mergeCell ref="V907:V908"/>
    <mergeCell ref="H910:H911"/>
    <mergeCell ref="I910:L911"/>
    <mergeCell ref="N910:N911"/>
    <mergeCell ref="O910:O911"/>
    <mergeCell ref="P910:P911"/>
    <mergeCell ref="Q910:Q911"/>
    <mergeCell ref="R910:R911"/>
    <mergeCell ref="S910:S911"/>
    <mergeCell ref="T910:T911"/>
    <mergeCell ref="V910:V911"/>
    <mergeCell ref="I901:L901"/>
    <mergeCell ref="P901:U901"/>
    <mergeCell ref="I902:L902"/>
    <mergeCell ref="P902:U902"/>
    <mergeCell ref="H907:H908"/>
    <mergeCell ref="I907:L908"/>
    <mergeCell ref="N907:N908"/>
    <mergeCell ref="O907:O908"/>
    <mergeCell ref="P907:P908"/>
    <mergeCell ref="Q907:Q908"/>
    <mergeCell ref="R907:R908"/>
    <mergeCell ref="S907:S908"/>
    <mergeCell ref="T907:T908"/>
    <mergeCell ref="I921:L921"/>
    <mergeCell ref="P921:U921"/>
    <mergeCell ref="I922:L922"/>
    <mergeCell ref="P922:U922"/>
    <mergeCell ref="H927:H928"/>
    <mergeCell ref="I927:L928"/>
    <mergeCell ref="N927:N928"/>
    <mergeCell ref="O927:O928"/>
    <mergeCell ref="P927:P928"/>
    <mergeCell ref="Q927:Q928"/>
    <mergeCell ref="R927:R928"/>
    <mergeCell ref="S927:S928"/>
    <mergeCell ref="T927:T928"/>
    <mergeCell ref="I914:L915"/>
    <mergeCell ref="N914:S915"/>
    <mergeCell ref="I919:L919"/>
    <mergeCell ref="P919:U919"/>
    <mergeCell ref="I920:L920"/>
    <mergeCell ref="P920:U920"/>
    <mergeCell ref="I934:L935"/>
    <mergeCell ref="N934:S935"/>
    <mergeCell ref="I939:L939"/>
    <mergeCell ref="P939:U939"/>
    <mergeCell ref="I940:L940"/>
    <mergeCell ref="P940:U940"/>
    <mergeCell ref="V927:V928"/>
    <mergeCell ref="H930:H931"/>
    <mergeCell ref="I930:L931"/>
    <mergeCell ref="N930:N931"/>
    <mergeCell ref="O930:O931"/>
    <mergeCell ref="P930:P931"/>
    <mergeCell ref="Q930:Q931"/>
    <mergeCell ref="R930:R931"/>
    <mergeCell ref="S930:S931"/>
    <mergeCell ref="T930:T931"/>
    <mergeCell ref="V930:V931"/>
    <mergeCell ref="V947:V948"/>
    <mergeCell ref="H950:H951"/>
    <mergeCell ref="I950:L951"/>
    <mergeCell ref="N950:N951"/>
    <mergeCell ref="O950:O951"/>
    <mergeCell ref="P950:P951"/>
    <mergeCell ref="Q950:Q951"/>
    <mergeCell ref="R950:R951"/>
    <mergeCell ref="S950:S951"/>
    <mergeCell ref="T950:T951"/>
    <mergeCell ref="V950:V951"/>
    <mergeCell ref="I941:L941"/>
    <mergeCell ref="P941:U941"/>
    <mergeCell ref="I942:L942"/>
    <mergeCell ref="P942:U942"/>
    <mergeCell ref="H947:H948"/>
    <mergeCell ref="I947:L948"/>
    <mergeCell ref="N947:N948"/>
    <mergeCell ref="O947:O948"/>
    <mergeCell ref="P947:P948"/>
    <mergeCell ref="Q947:Q948"/>
    <mergeCell ref="R947:R948"/>
    <mergeCell ref="S947:S948"/>
    <mergeCell ref="T947:T948"/>
    <mergeCell ref="I961:L961"/>
    <mergeCell ref="P961:U961"/>
    <mergeCell ref="I962:L962"/>
    <mergeCell ref="P962:U962"/>
    <mergeCell ref="H967:H968"/>
    <mergeCell ref="I967:L968"/>
    <mergeCell ref="N967:N968"/>
    <mergeCell ref="O967:O968"/>
    <mergeCell ref="P967:P968"/>
    <mergeCell ref="Q967:Q968"/>
    <mergeCell ref="R967:R968"/>
    <mergeCell ref="S967:S968"/>
    <mergeCell ref="T967:T968"/>
    <mergeCell ref="I954:L955"/>
    <mergeCell ref="N954:S955"/>
    <mergeCell ref="I959:L959"/>
    <mergeCell ref="P959:U959"/>
    <mergeCell ref="I960:L960"/>
    <mergeCell ref="P960:U960"/>
    <mergeCell ref="I974:L975"/>
    <mergeCell ref="N974:S975"/>
    <mergeCell ref="I979:L979"/>
    <mergeCell ref="P979:U979"/>
    <mergeCell ref="I980:L980"/>
    <mergeCell ref="P980:U980"/>
    <mergeCell ref="V967:V968"/>
    <mergeCell ref="H970:H971"/>
    <mergeCell ref="I970:L971"/>
    <mergeCell ref="N970:N971"/>
    <mergeCell ref="O970:O971"/>
    <mergeCell ref="P970:P971"/>
    <mergeCell ref="Q970:Q971"/>
    <mergeCell ref="R970:R971"/>
    <mergeCell ref="S970:S971"/>
    <mergeCell ref="T970:T971"/>
    <mergeCell ref="V970:V971"/>
    <mergeCell ref="V987:V988"/>
    <mergeCell ref="H990:H991"/>
    <mergeCell ref="I990:L991"/>
    <mergeCell ref="N990:N991"/>
    <mergeCell ref="O990:O991"/>
    <mergeCell ref="P990:P991"/>
    <mergeCell ref="Q990:Q991"/>
    <mergeCell ref="R990:R991"/>
    <mergeCell ref="S990:S991"/>
    <mergeCell ref="T990:T991"/>
    <mergeCell ref="V990:V991"/>
    <mergeCell ref="I981:L981"/>
    <mergeCell ref="P981:U981"/>
    <mergeCell ref="I982:L982"/>
    <mergeCell ref="P982:U982"/>
    <mergeCell ref="H987:H988"/>
    <mergeCell ref="I987:L988"/>
    <mergeCell ref="N987:N988"/>
    <mergeCell ref="O987:O988"/>
    <mergeCell ref="P987:P988"/>
    <mergeCell ref="Q987:Q988"/>
    <mergeCell ref="R987:R988"/>
    <mergeCell ref="S987:S988"/>
    <mergeCell ref="T987:T988"/>
    <mergeCell ref="I1001:L1001"/>
    <mergeCell ref="P1001:U1001"/>
    <mergeCell ref="I1002:L1002"/>
    <mergeCell ref="P1002:U1002"/>
    <mergeCell ref="H1007:H1008"/>
    <mergeCell ref="I1007:L1008"/>
    <mergeCell ref="N1007:N1008"/>
    <mergeCell ref="O1007:O1008"/>
    <mergeCell ref="P1007:P1008"/>
    <mergeCell ref="Q1007:Q1008"/>
    <mergeCell ref="R1007:R1008"/>
    <mergeCell ref="S1007:S1008"/>
    <mergeCell ref="T1007:T1008"/>
    <mergeCell ref="I994:L995"/>
    <mergeCell ref="N994:S995"/>
    <mergeCell ref="I999:L999"/>
    <mergeCell ref="P999:U999"/>
    <mergeCell ref="I1000:L1000"/>
    <mergeCell ref="P1000:U1000"/>
    <mergeCell ref="I1014:L1015"/>
    <mergeCell ref="N1014:S1015"/>
    <mergeCell ref="I1019:L1019"/>
    <mergeCell ref="P1019:U1019"/>
    <mergeCell ref="I1020:L1020"/>
    <mergeCell ref="P1020:U1020"/>
    <mergeCell ref="V1007:V1008"/>
    <mergeCell ref="H1010:H1011"/>
    <mergeCell ref="I1010:L1011"/>
    <mergeCell ref="N1010:N1011"/>
    <mergeCell ref="O1010:O1011"/>
    <mergeCell ref="P1010:P1011"/>
    <mergeCell ref="Q1010:Q1011"/>
    <mergeCell ref="R1010:R1011"/>
    <mergeCell ref="S1010:S1011"/>
    <mergeCell ref="T1010:T1011"/>
    <mergeCell ref="V1010:V1011"/>
    <mergeCell ref="V1027:V1028"/>
    <mergeCell ref="H1030:H1031"/>
    <mergeCell ref="I1030:L1031"/>
    <mergeCell ref="N1030:N1031"/>
    <mergeCell ref="O1030:O1031"/>
    <mergeCell ref="P1030:P1031"/>
    <mergeCell ref="Q1030:Q1031"/>
    <mergeCell ref="R1030:R1031"/>
    <mergeCell ref="S1030:S1031"/>
    <mergeCell ref="T1030:T1031"/>
    <mergeCell ref="V1030:V1031"/>
    <mergeCell ref="I1021:L1021"/>
    <mergeCell ref="P1021:U1021"/>
    <mergeCell ref="I1022:L1022"/>
    <mergeCell ref="P1022:U1022"/>
    <mergeCell ref="H1027:H1028"/>
    <mergeCell ref="I1027:L1028"/>
    <mergeCell ref="N1027:N1028"/>
    <mergeCell ref="O1027:O1028"/>
    <mergeCell ref="P1027:P1028"/>
    <mergeCell ref="Q1027:Q1028"/>
    <mergeCell ref="R1027:R1028"/>
    <mergeCell ref="S1027:S1028"/>
    <mergeCell ref="T1027:T1028"/>
    <mergeCell ref="I1041:L1041"/>
    <mergeCell ref="P1041:U1041"/>
    <mergeCell ref="I1042:L1042"/>
    <mergeCell ref="P1042:U1042"/>
    <mergeCell ref="H1047:H1048"/>
    <mergeCell ref="I1047:L1048"/>
    <mergeCell ref="N1047:N1048"/>
    <mergeCell ref="O1047:O1048"/>
    <mergeCell ref="P1047:P1048"/>
    <mergeCell ref="Q1047:Q1048"/>
    <mergeCell ref="R1047:R1048"/>
    <mergeCell ref="S1047:S1048"/>
    <mergeCell ref="T1047:T1048"/>
    <mergeCell ref="I1034:L1035"/>
    <mergeCell ref="N1034:S1035"/>
    <mergeCell ref="I1039:L1039"/>
    <mergeCell ref="P1039:U1039"/>
    <mergeCell ref="I1040:L1040"/>
    <mergeCell ref="P1040:U1040"/>
    <mergeCell ref="I1054:L1055"/>
    <mergeCell ref="N1054:S1055"/>
    <mergeCell ref="I1059:L1059"/>
    <mergeCell ref="P1059:U1059"/>
    <mergeCell ref="I1060:L1060"/>
    <mergeCell ref="P1060:U1060"/>
    <mergeCell ref="V1047:V1048"/>
    <mergeCell ref="H1050:H1051"/>
    <mergeCell ref="I1050:L1051"/>
    <mergeCell ref="N1050:N1051"/>
    <mergeCell ref="O1050:O1051"/>
    <mergeCell ref="P1050:P1051"/>
    <mergeCell ref="Q1050:Q1051"/>
    <mergeCell ref="R1050:R1051"/>
    <mergeCell ref="S1050:S1051"/>
    <mergeCell ref="T1050:T1051"/>
    <mergeCell ref="V1050:V1051"/>
    <mergeCell ref="V1067:V1068"/>
    <mergeCell ref="H1070:H1071"/>
    <mergeCell ref="I1070:L1071"/>
    <mergeCell ref="N1070:N1071"/>
    <mergeCell ref="O1070:O1071"/>
    <mergeCell ref="P1070:P1071"/>
    <mergeCell ref="Q1070:Q1071"/>
    <mergeCell ref="R1070:R1071"/>
    <mergeCell ref="S1070:S1071"/>
    <mergeCell ref="T1070:T1071"/>
    <mergeCell ref="V1070:V1071"/>
    <mergeCell ref="I1061:L1061"/>
    <mergeCell ref="P1061:U1061"/>
    <mergeCell ref="I1062:L1062"/>
    <mergeCell ref="P1062:U1062"/>
    <mergeCell ref="H1067:H1068"/>
    <mergeCell ref="I1067:L1068"/>
    <mergeCell ref="N1067:N1068"/>
    <mergeCell ref="O1067:O1068"/>
    <mergeCell ref="P1067:P1068"/>
    <mergeCell ref="Q1067:Q1068"/>
    <mergeCell ref="R1067:R1068"/>
    <mergeCell ref="S1067:S1068"/>
    <mergeCell ref="T1067:T1068"/>
    <mergeCell ref="I1081:L1081"/>
    <mergeCell ref="P1081:U1081"/>
    <mergeCell ref="I1082:L1082"/>
    <mergeCell ref="P1082:U1082"/>
    <mergeCell ref="H1087:H1088"/>
    <mergeCell ref="I1087:L1088"/>
    <mergeCell ref="N1087:N1088"/>
    <mergeCell ref="O1087:O1088"/>
    <mergeCell ref="P1087:P1088"/>
    <mergeCell ref="Q1087:Q1088"/>
    <mergeCell ref="R1087:R1088"/>
    <mergeCell ref="S1087:S1088"/>
    <mergeCell ref="T1087:T1088"/>
    <mergeCell ref="I1074:L1075"/>
    <mergeCell ref="N1074:S1075"/>
    <mergeCell ref="I1079:L1079"/>
    <mergeCell ref="P1079:U1079"/>
    <mergeCell ref="I1080:L1080"/>
    <mergeCell ref="P1080:U1080"/>
    <mergeCell ref="I1094:L1095"/>
    <mergeCell ref="N1094:S1095"/>
    <mergeCell ref="I1099:L1099"/>
    <mergeCell ref="P1099:U1099"/>
    <mergeCell ref="I1100:L1100"/>
    <mergeCell ref="P1100:U1100"/>
    <mergeCell ref="V1087:V1088"/>
    <mergeCell ref="H1090:H1091"/>
    <mergeCell ref="I1090:L1091"/>
    <mergeCell ref="N1090:N1091"/>
    <mergeCell ref="O1090:O1091"/>
    <mergeCell ref="P1090:P1091"/>
    <mergeCell ref="Q1090:Q1091"/>
    <mergeCell ref="R1090:R1091"/>
    <mergeCell ref="S1090:S1091"/>
    <mergeCell ref="T1090:T1091"/>
    <mergeCell ref="V1090:V1091"/>
    <mergeCell ref="V1107:V1108"/>
    <mergeCell ref="H1110:H1111"/>
    <mergeCell ref="I1110:L1111"/>
    <mergeCell ref="N1110:N1111"/>
    <mergeCell ref="O1110:O1111"/>
    <mergeCell ref="P1110:P1111"/>
    <mergeCell ref="Q1110:Q1111"/>
    <mergeCell ref="R1110:R1111"/>
    <mergeCell ref="S1110:S1111"/>
    <mergeCell ref="T1110:T1111"/>
    <mergeCell ref="V1110:V1111"/>
    <mergeCell ref="I1101:L1101"/>
    <mergeCell ref="P1101:U1101"/>
    <mergeCell ref="I1102:L1102"/>
    <mergeCell ref="P1102:U1102"/>
    <mergeCell ref="H1107:H1108"/>
    <mergeCell ref="I1107:L1108"/>
    <mergeCell ref="N1107:N1108"/>
    <mergeCell ref="O1107:O1108"/>
    <mergeCell ref="P1107:P1108"/>
    <mergeCell ref="Q1107:Q1108"/>
    <mergeCell ref="R1107:R1108"/>
    <mergeCell ref="S1107:S1108"/>
    <mergeCell ref="T1107:T1108"/>
    <mergeCell ref="I1121:L1121"/>
    <mergeCell ref="P1121:U1121"/>
    <mergeCell ref="I1122:L1122"/>
    <mergeCell ref="P1122:U1122"/>
    <mergeCell ref="H1127:H1128"/>
    <mergeCell ref="I1127:L1128"/>
    <mergeCell ref="N1127:N1128"/>
    <mergeCell ref="O1127:O1128"/>
    <mergeCell ref="P1127:P1128"/>
    <mergeCell ref="Q1127:Q1128"/>
    <mergeCell ref="R1127:R1128"/>
    <mergeCell ref="S1127:S1128"/>
    <mergeCell ref="T1127:T1128"/>
    <mergeCell ref="I1114:L1115"/>
    <mergeCell ref="N1114:S1115"/>
    <mergeCell ref="I1119:L1119"/>
    <mergeCell ref="P1119:U1119"/>
    <mergeCell ref="I1120:L1120"/>
    <mergeCell ref="P1120:U1120"/>
    <mergeCell ref="I1134:L1135"/>
    <mergeCell ref="N1134:S1135"/>
    <mergeCell ref="I1139:L1139"/>
    <mergeCell ref="P1139:U1139"/>
    <mergeCell ref="I1140:L1140"/>
    <mergeCell ref="P1140:U1140"/>
    <mergeCell ref="V1127:V1128"/>
    <mergeCell ref="H1130:H1131"/>
    <mergeCell ref="I1130:L1131"/>
    <mergeCell ref="N1130:N1131"/>
    <mergeCell ref="O1130:O1131"/>
    <mergeCell ref="P1130:P1131"/>
    <mergeCell ref="Q1130:Q1131"/>
    <mergeCell ref="R1130:R1131"/>
    <mergeCell ref="S1130:S1131"/>
    <mergeCell ref="T1130:T1131"/>
    <mergeCell ref="V1130:V1131"/>
    <mergeCell ref="V1147:V1148"/>
    <mergeCell ref="H1150:H1151"/>
    <mergeCell ref="I1150:L1151"/>
    <mergeCell ref="N1150:N1151"/>
    <mergeCell ref="O1150:O1151"/>
    <mergeCell ref="P1150:P1151"/>
    <mergeCell ref="Q1150:Q1151"/>
    <mergeCell ref="R1150:R1151"/>
    <mergeCell ref="S1150:S1151"/>
    <mergeCell ref="T1150:T1151"/>
    <mergeCell ref="V1150:V1151"/>
    <mergeCell ref="I1141:L1141"/>
    <mergeCell ref="P1141:U1141"/>
    <mergeCell ref="I1142:L1142"/>
    <mergeCell ref="P1142:U1142"/>
    <mergeCell ref="H1147:H1148"/>
    <mergeCell ref="I1147:L1148"/>
    <mergeCell ref="N1147:N1148"/>
    <mergeCell ref="O1147:O1148"/>
    <mergeCell ref="P1147:P1148"/>
    <mergeCell ref="Q1147:Q1148"/>
    <mergeCell ref="R1147:R1148"/>
    <mergeCell ref="S1147:S1148"/>
    <mergeCell ref="T1147:T1148"/>
    <mergeCell ref="I1161:L1161"/>
    <mergeCell ref="P1161:U1161"/>
    <mergeCell ref="I1162:L1162"/>
    <mergeCell ref="P1162:U1162"/>
    <mergeCell ref="H1167:H1168"/>
    <mergeCell ref="I1167:L1168"/>
    <mergeCell ref="N1167:N1168"/>
    <mergeCell ref="O1167:O1168"/>
    <mergeCell ref="P1167:P1168"/>
    <mergeCell ref="Q1167:Q1168"/>
    <mergeCell ref="R1167:R1168"/>
    <mergeCell ref="S1167:S1168"/>
    <mergeCell ref="T1167:T1168"/>
    <mergeCell ref="I1154:L1155"/>
    <mergeCell ref="N1154:S1155"/>
    <mergeCell ref="I1159:L1159"/>
    <mergeCell ref="P1159:U1159"/>
    <mergeCell ref="I1160:L1160"/>
    <mergeCell ref="P1160:U1160"/>
    <mergeCell ref="I1174:L1175"/>
    <mergeCell ref="N1174:S1175"/>
    <mergeCell ref="I1179:L1179"/>
    <mergeCell ref="P1179:U1179"/>
    <mergeCell ref="I1180:L1180"/>
    <mergeCell ref="P1180:U1180"/>
    <mergeCell ref="V1167:V1168"/>
    <mergeCell ref="H1170:H1171"/>
    <mergeCell ref="I1170:L1171"/>
    <mergeCell ref="N1170:N1171"/>
    <mergeCell ref="O1170:O1171"/>
    <mergeCell ref="P1170:P1171"/>
    <mergeCell ref="Q1170:Q1171"/>
    <mergeCell ref="R1170:R1171"/>
    <mergeCell ref="S1170:S1171"/>
    <mergeCell ref="T1170:T1171"/>
    <mergeCell ref="V1170:V1171"/>
    <mergeCell ref="V1187:V1188"/>
    <mergeCell ref="H1190:H1191"/>
    <mergeCell ref="I1190:L1191"/>
    <mergeCell ref="N1190:N1191"/>
    <mergeCell ref="O1190:O1191"/>
    <mergeCell ref="P1190:P1191"/>
    <mergeCell ref="Q1190:Q1191"/>
    <mergeCell ref="R1190:R1191"/>
    <mergeCell ref="S1190:S1191"/>
    <mergeCell ref="T1190:T1191"/>
    <mergeCell ref="V1190:V1191"/>
    <mergeCell ref="I1181:L1181"/>
    <mergeCell ref="P1181:U1181"/>
    <mergeCell ref="I1182:L1182"/>
    <mergeCell ref="P1182:U1182"/>
    <mergeCell ref="H1187:H1188"/>
    <mergeCell ref="I1187:L1188"/>
    <mergeCell ref="N1187:N1188"/>
    <mergeCell ref="O1187:O1188"/>
    <mergeCell ref="P1187:P1188"/>
    <mergeCell ref="Q1187:Q1188"/>
    <mergeCell ref="R1187:R1188"/>
    <mergeCell ref="S1187:S1188"/>
    <mergeCell ref="T1187:T1188"/>
    <mergeCell ref="I1201:L1201"/>
    <mergeCell ref="P1201:U1201"/>
    <mergeCell ref="I1202:L1202"/>
    <mergeCell ref="P1202:U1202"/>
    <mergeCell ref="H1207:H1208"/>
    <mergeCell ref="I1207:L1208"/>
    <mergeCell ref="N1207:N1208"/>
    <mergeCell ref="O1207:O1208"/>
    <mergeCell ref="P1207:P1208"/>
    <mergeCell ref="Q1207:Q1208"/>
    <mergeCell ref="R1207:R1208"/>
    <mergeCell ref="S1207:S1208"/>
    <mergeCell ref="T1207:T1208"/>
    <mergeCell ref="I1194:L1195"/>
    <mergeCell ref="N1194:S1195"/>
    <mergeCell ref="I1199:L1199"/>
    <mergeCell ref="P1199:U1199"/>
    <mergeCell ref="I1200:L1200"/>
    <mergeCell ref="P1200:U1200"/>
    <mergeCell ref="I1214:L1215"/>
    <mergeCell ref="N1214:S1215"/>
    <mergeCell ref="I1219:L1219"/>
    <mergeCell ref="P1219:U1219"/>
    <mergeCell ref="I1220:L1220"/>
    <mergeCell ref="P1220:U1220"/>
    <mergeCell ref="V1207:V1208"/>
    <mergeCell ref="H1210:H1211"/>
    <mergeCell ref="I1210:L1211"/>
    <mergeCell ref="N1210:N1211"/>
    <mergeCell ref="O1210:O1211"/>
    <mergeCell ref="P1210:P1211"/>
    <mergeCell ref="Q1210:Q1211"/>
    <mergeCell ref="R1210:R1211"/>
    <mergeCell ref="S1210:S1211"/>
    <mergeCell ref="T1210:T1211"/>
    <mergeCell ref="V1210:V1211"/>
    <mergeCell ref="V1227:V1228"/>
    <mergeCell ref="H1230:H1231"/>
    <mergeCell ref="I1230:L1231"/>
    <mergeCell ref="N1230:N1231"/>
    <mergeCell ref="O1230:O1231"/>
    <mergeCell ref="P1230:P1231"/>
    <mergeCell ref="Q1230:Q1231"/>
    <mergeCell ref="R1230:R1231"/>
    <mergeCell ref="S1230:S1231"/>
    <mergeCell ref="T1230:T1231"/>
    <mergeCell ref="V1230:V1231"/>
    <mergeCell ref="I1221:L1221"/>
    <mergeCell ref="P1221:U1221"/>
    <mergeCell ref="I1222:L1222"/>
    <mergeCell ref="P1222:U1222"/>
    <mergeCell ref="H1227:H1228"/>
    <mergeCell ref="I1227:L1228"/>
    <mergeCell ref="N1227:N1228"/>
    <mergeCell ref="O1227:O1228"/>
    <mergeCell ref="P1227:P1228"/>
    <mergeCell ref="Q1227:Q1228"/>
    <mergeCell ref="R1227:R1228"/>
    <mergeCell ref="S1227:S1228"/>
    <mergeCell ref="T1227:T1228"/>
    <mergeCell ref="I1241:L1241"/>
    <mergeCell ref="P1241:U1241"/>
    <mergeCell ref="I1242:L1242"/>
    <mergeCell ref="P1242:U1242"/>
    <mergeCell ref="H1247:H1248"/>
    <mergeCell ref="I1247:L1248"/>
    <mergeCell ref="N1247:N1248"/>
    <mergeCell ref="O1247:O1248"/>
    <mergeCell ref="P1247:P1248"/>
    <mergeCell ref="Q1247:Q1248"/>
    <mergeCell ref="R1247:R1248"/>
    <mergeCell ref="S1247:S1248"/>
    <mergeCell ref="T1247:T1248"/>
    <mergeCell ref="I1234:L1235"/>
    <mergeCell ref="N1234:S1235"/>
    <mergeCell ref="I1239:L1239"/>
    <mergeCell ref="P1239:U1239"/>
    <mergeCell ref="I1240:L1240"/>
    <mergeCell ref="P1240:U1240"/>
    <mergeCell ref="I1254:L1255"/>
    <mergeCell ref="N1254:S1255"/>
    <mergeCell ref="I1259:L1259"/>
    <mergeCell ref="P1259:U1259"/>
    <mergeCell ref="I1260:L1260"/>
    <mergeCell ref="P1260:U1260"/>
    <mergeCell ref="V1247:V1248"/>
    <mergeCell ref="H1250:H1251"/>
    <mergeCell ref="I1250:L1251"/>
    <mergeCell ref="N1250:N1251"/>
    <mergeCell ref="O1250:O1251"/>
    <mergeCell ref="P1250:P1251"/>
    <mergeCell ref="Q1250:Q1251"/>
    <mergeCell ref="R1250:R1251"/>
    <mergeCell ref="S1250:S1251"/>
    <mergeCell ref="T1250:T1251"/>
    <mergeCell ref="V1250:V1251"/>
    <mergeCell ref="V1267:V1268"/>
    <mergeCell ref="H1270:H1271"/>
    <mergeCell ref="I1270:L1271"/>
    <mergeCell ref="N1270:N1271"/>
    <mergeCell ref="O1270:O1271"/>
    <mergeCell ref="P1270:P1271"/>
    <mergeCell ref="Q1270:Q1271"/>
    <mergeCell ref="R1270:R1271"/>
    <mergeCell ref="S1270:S1271"/>
    <mergeCell ref="T1270:T1271"/>
    <mergeCell ref="V1270:V1271"/>
    <mergeCell ref="I1261:L1261"/>
    <mergeCell ref="P1261:U1261"/>
    <mergeCell ref="I1262:L1262"/>
    <mergeCell ref="P1262:U1262"/>
    <mergeCell ref="H1267:H1268"/>
    <mergeCell ref="I1267:L1268"/>
    <mergeCell ref="N1267:N1268"/>
    <mergeCell ref="O1267:O1268"/>
    <mergeCell ref="P1267:P1268"/>
    <mergeCell ref="Q1267:Q1268"/>
    <mergeCell ref="R1267:R1268"/>
    <mergeCell ref="S1267:S1268"/>
    <mergeCell ref="T1267:T1268"/>
    <mergeCell ref="I1281:L1281"/>
    <mergeCell ref="P1281:U1281"/>
    <mergeCell ref="I1282:L1282"/>
    <mergeCell ref="P1282:U1282"/>
    <mergeCell ref="H1287:H1288"/>
    <mergeCell ref="I1287:L1288"/>
    <mergeCell ref="N1287:N1288"/>
    <mergeCell ref="O1287:O1288"/>
    <mergeCell ref="P1287:P1288"/>
    <mergeCell ref="Q1287:Q1288"/>
    <mergeCell ref="R1287:R1288"/>
    <mergeCell ref="S1287:S1288"/>
    <mergeCell ref="T1287:T1288"/>
    <mergeCell ref="I1274:L1275"/>
    <mergeCell ref="N1274:S1275"/>
    <mergeCell ref="I1279:L1279"/>
    <mergeCell ref="P1279:U1279"/>
    <mergeCell ref="I1280:L1280"/>
    <mergeCell ref="P1280:U1280"/>
    <mergeCell ref="I1294:L1295"/>
    <mergeCell ref="N1294:S1295"/>
    <mergeCell ref="I1299:L1299"/>
    <mergeCell ref="P1299:U1299"/>
    <mergeCell ref="I1300:L1300"/>
    <mergeCell ref="P1300:U1300"/>
    <mergeCell ref="V1287:V1288"/>
    <mergeCell ref="H1290:H1291"/>
    <mergeCell ref="I1290:L1291"/>
    <mergeCell ref="N1290:N1291"/>
    <mergeCell ref="O1290:O1291"/>
    <mergeCell ref="P1290:P1291"/>
    <mergeCell ref="Q1290:Q1291"/>
    <mergeCell ref="R1290:R1291"/>
    <mergeCell ref="S1290:S1291"/>
    <mergeCell ref="T1290:T1291"/>
    <mergeCell ref="V1290:V1291"/>
    <mergeCell ref="V1307:V1308"/>
    <mergeCell ref="H1310:H1311"/>
    <mergeCell ref="I1310:L1311"/>
    <mergeCell ref="N1310:N1311"/>
    <mergeCell ref="O1310:O1311"/>
    <mergeCell ref="P1310:P1311"/>
    <mergeCell ref="Q1310:Q1311"/>
    <mergeCell ref="R1310:R1311"/>
    <mergeCell ref="S1310:S1311"/>
    <mergeCell ref="T1310:T1311"/>
    <mergeCell ref="V1310:V1311"/>
    <mergeCell ref="I1301:L1301"/>
    <mergeCell ref="P1301:U1301"/>
    <mergeCell ref="I1302:L1302"/>
    <mergeCell ref="P1302:U1302"/>
    <mergeCell ref="H1307:H1308"/>
    <mergeCell ref="I1307:L1308"/>
    <mergeCell ref="N1307:N1308"/>
    <mergeCell ref="O1307:O1308"/>
    <mergeCell ref="P1307:P1308"/>
    <mergeCell ref="Q1307:Q1308"/>
    <mergeCell ref="R1307:R1308"/>
    <mergeCell ref="S1307:S1308"/>
    <mergeCell ref="T1307:T1308"/>
    <mergeCell ref="I1321:L1321"/>
    <mergeCell ref="P1321:U1321"/>
    <mergeCell ref="I1322:L1322"/>
    <mergeCell ref="P1322:U1322"/>
    <mergeCell ref="H1327:H1328"/>
    <mergeCell ref="I1327:L1328"/>
    <mergeCell ref="N1327:N1328"/>
    <mergeCell ref="O1327:O1328"/>
    <mergeCell ref="P1327:P1328"/>
    <mergeCell ref="Q1327:Q1328"/>
    <mergeCell ref="R1327:R1328"/>
    <mergeCell ref="S1327:S1328"/>
    <mergeCell ref="T1327:T1328"/>
    <mergeCell ref="I1314:L1315"/>
    <mergeCell ref="N1314:S1315"/>
    <mergeCell ref="I1319:L1319"/>
    <mergeCell ref="P1319:U1319"/>
    <mergeCell ref="I1320:L1320"/>
    <mergeCell ref="P1320:U1320"/>
    <mergeCell ref="I1334:L1335"/>
    <mergeCell ref="N1334:S1335"/>
    <mergeCell ref="I1339:L1339"/>
    <mergeCell ref="P1339:U1339"/>
    <mergeCell ref="I1340:L1340"/>
    <mergeCell ref="P1340:U1340"/>
    <mergeCell ref="V1327:V1328"/>
    <mergeCell ref="H1330:H1331"/>
    <mergeCell ref="I1330:L1331"/>
    <mergeCell ref="N1330:N1331"/>
    <mergeCell ref="O1330:O1331"/>
    <mergeCell ref="P1330:P1331"/>
    <mergeCell ref="Q1330:Q1331"/>
    <mergeCell ref="R1330:R1331"/>
    <mergeCell ref="S1330:S1331"/>
    <mergeCell ref="T1330:T1331"/>
    <mergeCell ref="V1330:V1331"/>
    <mergeCell ref="V1347:V1348"/>
    <mergeCell ref="H1350:H1351"/>
    <mergeCell ref="I1350:L1351"/>
    <mergeCell ref="N1350:N1351"/>
    <mergeCell ref="O1350:O1351"/>
    <mergeCell ref="P1350:P1351"/>
    <mergeCell ref="Q1350:Q1351"/>
    <mergeCell ref="R1350:R1351"/>
    <mergeCell ref="S1350:S1351"/>
    <mergeCell ref="T1350:T1351"/>
    <mergeCell ref="V1350:V1351"/>
    <mergeCell ref="I1341:L1341"/>
    <mergeCell ref="P1341:U1341"/>
    <mergeCell ref="I1342:L1342"/>
    <mergeCell ref="P1342:U1342"/>
    <mergeCell ref="H1347:H1348"/>
    <mergeCell ref="I1347:L1348"/>
    <mergeCell ref="N1347:N1348"/>
    <mergeCell ref="O1347:O1348"/>
    <mergeCell ref="P1347:P1348"/>
    <mergeCell ref="Q1347:Q1348"/>
    <mergeCell ref="R1347:R1348"/>
    <mergeCell ref="S1347:S1348"/>
    <mergeCell ref="T1347:T1348"/>
    <mergeCell ref="I1361:L1361"/>
    <mergeCell ref="P1361:U1361"/>
    <mergeCell ref="I1362:L1362"/>
    <mergeCell ref="P1362:U1362"/>
    <mergeCell ref="H1367:H1368"/>
    <mergeCell ref="I1367:L1368"/>
    <mergeCell ref="N1367:N1368"/>
    <mergeCell ref="O1367:O1368"/>
    <mergeCell ref="P1367:P1368"/>
    <mergeCell ref="Q1367:Q1368"/>
    <mergeCell ref="R1367:R1368"/>
    <mergeCell ref="S1367:S1368"/>
    <mergeCell ref="T1367:T1368"/>
    <mergeCell ref="I1354:L1355"/>
    <mergeCell ref="N1354:S1355"/>
    <mergeCell ref="I1359:L1359"/>
    <mergeCell ref="P1359:U1359"/>
    <mergeCell ref="I1360:L1360"/>
    <mergeCell ref="P1360:U1360"/>
    <mergeCell ref="I1374:L1375"/>
    <mergeCell ref="N1374:S1375"/>
    <mergeCell ref="I1379:L1379"/>
    <mergeCell ref="P1379:U1379"/>
    <mergeCell ref="I1380:L1380"/>
    <mergeCell ref="P1380:U1380"/>
    <mergeCell ref="V1367:V1368"/>
    <mergeCell ref="H1370:H1371"/>
    <mergeCell ref="I1370:L1371"/>
    <mergeCell ref="N1370:N1371"/>
    <mergeCell ref="O1370:O1371"/>
    <mergeCell ref="P1370:P1371"/>
    <mergeCell ref="Q1370:Q1371"/>
    <mergeCell ref="R1370:R1371"/>
    <mergeCell ref="S1370:S1371"/>
    <mergeCell ref="T1370:T1371"/>
    <mergeCell ref="V1370:V1371"/>
    <mergeCell ref="V1387:V1388"/>
    <mergeCell ref="H1390:H1391"/>
    <mergeCell ref="I1390:L1391"/>
    <mergeCell ref="N1390:N1391"/>
    <mergeCell ref="O1390:O1391"/>
    <mergeCell ref="P1390:P1391"/>
    <mergeCell ref="Q1390:Q1391"/>
    <mergeCell ref="R1390:R1391"/>
    <mergeCell ref="S1390:S1391"/>
    <mergeCell ref="T1390:T1391"/>
    <mergeCell ref="V1390:V1391"/>
    <mergeCell ref="I1381:L1381"/>
    <mergeCell ref="P1381:U1381"/>
    <mergeCell ref="I1382:L1382"/>
    <mergeCell ref="P1382:U1382"/>
    <mergeCell ref="H1387:H1388"/>
    <mergeCell ref="I1387:L1388"/>
    <mergeCell ref="N1387:N1388"/>
    <mergeCell ref="O1387:O1388"/>
    <mergeCell ref="P1387:P1388"/>
    <mergeCell ref="Q1387:Q1388"/>
    <mergeCell ref="R1387:R1388"/>
    <mergeCell ref="S1387:S1388"/>
    <mergeCell ref="T1387:T1388"/>
    <mergeCell ref="I1401:L1401"/>
    <mergeCell ref="P1401:U1401"/>
    <mergeCell ref="I1402:L1402"/>
    <mergeCell ref="P1402:U1402"/>
    <mergeCell ref="H1407:H1408"/>
    <mergeCell ref="I1407:L1408"/>
    <mergeCell ref="N1407:N1408"/>
    <mergeCell ref="O1407:O1408"/>
    <mergeCell ref="P1407:P1408"/>
    <mergeCell ref="Q1407:Q1408"/>
    <mergeCell ref="R1407:R1408"/>
    <mergeCell ref="S1407:S1408"/>
    <mergeCell ref="T1407:T1408"/>
    <mergeCell ref="I1394:L1395"/>
    <mergeCell ref="N1394:S1395"/>
    <mergeCell ref="I1399:L1399"/>
    <mergeCell ref="P1399:U1399"/>
    <mergeCell ref="I1400:L1400"/>
    <mergeCell ref="P1400:U1400"/>
    <mergeCell ref="I1414:L1415"/>
    <mergeCell ref="N1414:S1415"/>
    <mergeCell ref="I1419:L1419"/>
    <mergeCell ref="P1419:U1419"/>
    <mergeCell ref="I1420:L1420"/>
    <mergeCell ref="P1420:U1420"/>
    <mergeCell ref="V1407:V1408"/>
    <mergeCell ref="H1410:H1411"/>
    <mergeCell ref="I1410:L1411"/>
    <mergeCell ref="N1410:N1411"/>
    <mergeCell ref="O1410:O1411"/>
    <mergeCell ref="P1410:P1411"/>
    <mergeCell ref="Q1410:Q1411"/>
    <mergeCell ref="R1410:R1411"/>
    <mergeCell ref="S1410:S1411"/>
    <mergeCell ref="T1410:T1411"/>
    <mergeCell ref="V1410:V1411"/>
    <mergeCell ref="V1427:V1428"/>
    <mergeCell ref="H1430:H1431"/>
    <mergeCell ref="I1430:L1431"/>
    <mergeCell ref="N1430:N1431"/>
    <mergeCell ref="O1430:O1431"/>
    <mergeCell ref="P1430:P1431"/>
    <mergeCell ref="Q1430:Q1431"/>
    <mergeCell ref="R1430:R1431"/>
    <mergeCell ref="S1430:S1431"/>
    <mergeCell ref="T1430:T1431"/>
    <mergeCell ref="V1430:V1431"/>
    <mergeCell ref="I1421:L1421"/>
    <mergeCell ref="P1421:U1421"/>
    <mergeCell ref="I1422:L1422"/>
    <mergeCell ref="P1422:U1422"/>
    <mergeCell ref="H1427:H1428"/>
    <mergeCell ref="I1427:L1428"/>
    <mergeCell ref="N1427:N1428"/>
    <mergeCell ref="O1427:O1428"/>
    <mergeCell ref="P1427:P1428"/>
    <mergeCell ref="Q1427:Q1428"/>
    <mergeCell ref="R1427:R1428"/>
    <mergeCell ref="S1427:S1428"/>
    <mergeCell ref="T1427:T1428"/>
    <mergeCell ref="V1447:V1448"/>
    <mergeCell ref="N1450:N1451"/>
    <mergeCell ref="O1450:O1451"/>
    <mergeCell ref="P1450:P1451"/>
    <mergeCell ref="Q1450:Q1451"/>
    <mergeCell ref="R1450:R1451"/>
    <mergeCell ref="S1450:S1451"/>
    <mergeCell ref="T1450:T1451"/>
    <mergeCell ref="V1450:V1451"/>
    <mergeCell ref="I1441:L1441"/>
    <mergeCell ref="P1441:U1441"/>
    <mergeCell ref="I1442:L1442"/>
    <mergeCell ref="P1442:U1442"/>
    <mergeCell ref="I1434:L1435"/>
    <mergeCell ref="N1434:S1435"/>
    <mergeCell ref="I1439:L1439"/>
    <mergeCell ref="P1439:U1439"/>
    <mergeCell ref="I1440:L1440"/>
    <mergeCell ref="P1440:U1440"/>
    <mergeCell ref="I1454:L1455"/>
    <mergeCell ref="I1460:L1460"/>
    <mergeCell ref="P1460:U1460"/>
    <mergeCell ref="I1461:L1461"/>
    <mergeCell ref="P1461:U1461"/>
    <mergeCell ref="I1462:L1462"/>
    <mergeCell ref="P1462:U1462"/>
    <mergeCell ref="I1463:L1463"/>
    <mergeCell ref="P1463:U1463"/>
    <mergeCell ref="I1447:L1447"/>
    <mergeCell ref="I1448:L1448"/>
    <mergeCell ref="I1450:L1450"/>
    <mergeCell ref="I1451:L1451"/>
    <mergeCell ref="N1454:S1454"/>
    <mergeCell ref="N1455:S1455"/>
    <mergeCell ref="I1459:L1459"/>
    <mergeCell ref="P1459:U1459"/>
    <mergeCell ref="N1447:N1448"/>
    <mergeCell ref="O1447:O1448"/>
    <mergeCell ref="P1447:P1448"/>
    <mergeCell ref="Q1447:Q1448"/>
    <mergeCell ref="R1447:R1448"/>
    <mergeCell ref="S1447:S1448"/>
    <mergeCell ref="T1447:T1448"/>
    <mergeCell ref="I1468:L1468"/>
    <mergeCell ref="N1468:N1469"/>
    <mergeCell ref="O1468:O1469"/>
    <mergeCell ref="P1468:P1469"/>
    <mergeCell ref="Q1468:Q1469"/>
    <mergeCell ref="R1468:R1469"/>
    <mergeCell ref="S1468:S1469"/>
    <mergeCell ref="T1468:T1469"/>
    <mergeCell ref="V1468:V1469"/>
    <mergeCell ref="I1469:L1469"/>
    <mergeCell ref="I1471:L1471"/>
    <mergeCell ref="N1471:N1472"/>
    <mergeCell ref="O1471:O1472"/>
    <mergeCell ref="P1471:P1472"/>
    <mergeCell ref="Q1471:Q1472"/>
    <mergeCell ref="R1471:R1472"/>
    <mergeCell ref="S1471:S1472"/>
    <mergeCell ref="T1471:T1472"/>
    <mergeCell ref="V1471:V1472"/>
    <mergeCell ref="I1472:L1472"/>
    <mergeCell ref="I1475:L1476"/>
    <mergeCell ref="N1475:S1475"/>
    <mergeCell ref="N1476:S1476"/>
    <mergeCell ref="I1480:L1480"/>
    <mergeCell ref="P1480:U1480"/>
    <mergeCell ref="I1481:L1481"/>
    <mergeCell ref="P1481:U1481"/>
    <mergeCell ref="I1482:L1482"/>
    <mergeCell ref="P1482:U1482"/>
    <mergeCell ref="I1483:L1483"/>
    <mergeCell ref="P1483:U1483"/>
    <mergeCell ref="I1484:L1484"/>
    <mergeCell ref="P1484:U1484"/>
    <mergeCell ref="I1489:L1489"/>
    <mergeCell ref="N1489:N1490"/>
    <mergeCell ref="O1489:O1490"/>
    <mergeCell ref="P1489:P1490"/>
    <mergeCell ref="Q1489:Q1490"/>
    <mergeCell ref="R1489:R1490"/>
    <mergeCell ref="S1489:S1490"/>
    <mergeCell ref="T1489:T1490"/>
    <mergeCell ref="V1489:V1490"/>
    <mergeCell ref="I1490:L1490"/>
    <mergeCell ref="I1492:L1492"/>
    <mergeCell ref="N1492:N1493"/>
    <mergeCell ref="O1492:O1493"/>
    <mergeCell ref="P1492:P1493"/>
    <mergeCell ref="Q1492:Q1493"/>
    <mergeCell ref="R1492:R1493"/>
    <mergeCell ref="S1492:S1493"/>
    <mergeCell ref="T1492:T1493"/>
    <mergeCell ref="V1492:V1493"/>
    <mergeCell ref="I1493:L1493"/>
    <mergeCell ref="I1496:L1497"/>
    <mergeCell ref="N1496:S1496"/>
    <mergeCell ref="N1497:S1497"/>
    <mergeCell ref="I1501:L1501"/>
    <mergeCell ref="P1501:U1501"/>
    <mergeCell ref="I1502:L1502"/>
    <mergeCell ref="P1502:U1502"/>
    <mergeCell ref="I1503:L1503"/>
    <mergeCell ref="P1503:U1503"/>
    <mergeCell ref="I1504:L1504"/>
    <mergeCell ref="P1504:U1504"/>
    <mergeCell ref="I1505:L1505"/>
    <mergeCell ref="P1505:U1505"/>
    <mergeCell ref="I1510:L1510"/>
    <mergeCell ref="N1510:N1511"/>
    <mergeCell ref="O1510:O1511"/>
    <mergeCell ref="P1510:P1511"/>
    <mergeCell ref="Q1510:Q1511"/>
    <mergeCell ref="R1510:R1511"/>
    <mergeCell ref="S1510:S1511"/>
    <mergeCell ref="T1510:T1511"/>
    <mergeCell ref="V1510:V1511"/>
    <mergeCell ref="I1511:L1511"/>
    <mergeCell ref="I1513:L1513"/>
    <mergeCell ref="N1513:N1514"/>
    <mergeCell ref="O1513:O1514"/>
    <mergeCell ref="P1513:P1514"/>
    <mergeCell ref="Q1513:Q1514"/>
    <mergeCell ref="R1513:R1514"/>
    <mergeCell ref="S1513:S1514"/>
    <mergeCell ref="T1513:T1514"/>
    <mergeCell ref="V1513:V1514"/>
    <mergeCell ref="I1514:L1514"/>
    <mergeCell ref="I1517:L1518"/>
    <mergeCell ref="N1517:S1517"/>
    <mergeCell ref="N1518:S1518"/>
    <mergeCell ref="I1522:L1522"/>
    <mergeCell ref="P1522:U1522"/>
    <mergeCell ref="I1523:L1523"/>
    <mergeCell ref="P1523:U1523"/>
    <mergeCell ref="I1524:L1524"/>
    <mergeCell ref="P1524:U1524"/>
    <mergeCell ref="I1525:L1525"/>
    <mergeCell ref="P1525:U1525"/>
    <mergeCell ref="I1526:L1526"/>
    <mergeCell ref="P1526:U1526"/>
    <mergeCell ref="I1531:L1531"/>
    <mergeCell ref="N1531:N1532"/>
    <mergeCell ref="O1531:O1532"/>
    <mergeCell ref="P1531:P1532"/>
    <mergeCell ref="Q1531:Q1532"/>
    <mergeCell ref="R1531:R1532"/>
    <mergeCell ref="S1531:S1532"/>
    <mergeCell ref="T1531:T1532"/>
    <mergeCell ref="V1531:V1532"/>
    <mergeCell ref="I1532:L1532"/>
    <mergeCell ref="I1534:L1534"/>
    <mergeCell ref="N1534:N1535"/>
    <mergeCell ref="O1534:O1535"/>
    <mergeCell ref="P1534:P1535"/>
    <mergeCell ref="Q1534:Q1535"/>
    <mergeCell ref="R1534:R1535"/>
    <mergeCell ref="S1534:S1535"/>
    <mergeCell ref="T1534:T1535"/>
    <mergeCell ref="V1534:V1535"/>
    <mergeCell ref="I1535:L1535"/>
    <mergeCell ref="I1538:L1539"/>
    <mergeCell ref="N1538:S1538"/>
    <mergeCell ref="N1539:S1539"/>
    <mergeCell ref="I1543:L1543"/>
    <mergeCell ref="P1543:U1543"/>
    <mergeCell ref="I1544:L1544"/>
    <mergeCell ref="P1544:U1544"/>
    <mergeCell ref="I1545:L1545"/>
    <mergeCell ref="P1545:U1545"/>
    <mergeCell ref="I1546:L1546"/>
    <mergeCell ref="P1546:U1546"/>
    <mergeCell ref="I1547:L1547"/>
    <mergeCell ref="P1547:U1547"/>
    <mergeCell ref="I1552:L1552"/>
    <mergeCell ref="N1552:N1553"/>
    <mergeCell ref="O1552:O1553"/>
    <mergeCell ref="P1552:P1553"/>
    <mergeCell ref="Q1552:Q1553"/>
    <mergeCell ref="R1552:R1553"/>
    <mergeCell ref="S1552:S1553"/>
    <mergeCell ref="T1552:T1553"/>
    <mergeCell ref="V1552:V1553"/>
    <mergeCell ref="I1553:L1553"/>
    <mergeCell ref="I1555:L1555"/>
    <mergeCell ref="N1555:N1556"/>
    <mergeCell ref="O1555:O1556"/>
    <mergeCell ref="P1555:P1556"/>
    <mergeCell ref="Q1555:Q1556"/>
    <mergeCell ref="R1555:R1556"/>
    <mergeCell ref="S1555:S1556"/>
    <mergeCell ref="T1555:T1556"/>
    <mergeCell ref="V1555:V1556"/>
    <mergeCell ref="I1556:L1556"/>
    <mergeCell ref="I1559:L1560"/>
    <mergeCell ref="N1559:S1559"/>
    <mergeCell ref="N1560:S1560"/>
    <mergeCell ref="I1564:L1564"/>
    <mergeCell ref="P1564:U1564"/>
    <mergeCell ref="I1565:L1565"/>
    <mergeCell ref="P1565:U1565"/>
    <mergeCell ref="I1566:L1566"/>
    <mergeCell ref="P1566:U1566"/>
    <mergeCell ref="I1567:L1567"/>
    <mergeCell ref="P1567:U1567"/>
    <mergeCell ref="I1568:L1568"/>
    <mergeCell ref="P1568:U1568"/>
    <mergeCell ref="I1573:L1573"/>
    <mergeCell ref="N1573:N1574"/>
    <mergeCell ref="O1573:O1574"/>
    <mergeCell ref="P1573:P1574"/>
    <mergeCell ref="Q1573:Q1574"/>
    <mergeCell ref="R1573:R1574"/>
    <mergeCell ref="S1573:S1574"/>
    <mergeCell ref="T1573:T1574"/>
    <mergeCell ref="V1573:V1574"/>
    <mergeCell ref="I1574:L1574"/>
    <mergeCell ref="I1576:L1576"/>
    <mergeCell ref="N1576:N1577"/>
    <mergeCell ref="O1576:O1577"/>
    <mergeCell ref="P1576:P1577"/>
    <mergeCell ref="Q1576:Q1577"/>
    <mergeCell ref="R1576:R1577"/>
    <mergeCell ref="S1576:S1577"/>
    <mergeCell ref="T1576:T1577"/>
    <mergeCell ref="V1576:V1577"/>
    <mergeCell ref="I1577:L1577"/>
    <mergeCell ref="I1580:L1581"/>
    <mergeCell ref="N1580:S1580"/>
    <mergeCell ref="N1581:S1581"/>
    <mergeCell ref="I1585:L1585"/>
    <mergeCell ref="P1585:U1585"/>
    <mergeCell ref="I1586:L1586"/>
    <mergeCell ref="P1586:U1586"/>
    <mergeCell ref="I1587:L1587"/>
    <mergeCell ref="P1587:U1587"/>
    <mergeCell ref="I1588:L1588"/>
    <mergeCell ref="P1588:U1588"/>
    <mergeCell ref="I1589:L1589"/>
    <mergeCell ref="P1589:U1589"/>
    <mergeCell ref="I1594:L1594"/>
    <mergeCell ref="N1594:N1595"/>
    <mergeCell ref="O1594:O1595"/>
    <mergeCell ref="P1594:P1595"/>
    <mergeCell ref="Q1594:Q1595"/>
    <mergeCell ref="R1594:R1595"/>
    <mergeCell ref="S1594:S1595"/>
    <mergeCell ref="T1594:T1595"/>
    <mergeCell ref="V1594:V1595"/>
    <mergeCell ref="I1595:L1595"/>
    <mergeCell ref="I1597:L1597"/>
    <mergeCell ref="N1597:N1598"/>
    <mergeCell ref="O1597:O1598"/>
    <mergeCell ref="P1597:P1598"/>
    <mergeCell ref="Q1597:Q1598"/>
    <mergeCell ref="R1597:R1598"/>
    <mergeCell ref="S1597:S1598"/>
    <mergeCell ref="T1597:T1598"/>
    <mergeCell ref="V1597:V1598"/>
    <mergeCell ref="I1598:L1598"/>
    <mergeCell ref="I1601:L1602"/>
    <mergeCell ref="N1601:S1601"/>
    <mergeCell ref="N1602:S1602"/>
    <mergeCell ref="I1606:L1606"/>
    <mergeCell ref="P1606:U1606"/>
    <mergeCell ref="I1607:L1607"/>
    <mergeCell ref="P1607:U1607"/>
    <mergeCell ref="I1608:L1608"/>
    <mergeCell ref="P1608:U1608"/>
    <mergeCell ref="I1609:L1609"/>
    <mergeCell ref="P1609:U1609"/>
    <mergeCell ref="I1610:L1610"/>
    <mergeCell ref="P1610:U1610"/>
    <mergeCell ref="I1615:L1615"/>
    <mergeCell ref="N1615:N1616"/>
    <mergeCell ref="O1615:O1616"/>
    <mergeCell ref="P1615:P1616"/>
    <mergeCell ref="Q1615:Q1616"/>
    <mergeCell ref="R1615:R1616"/>
    <mergeCell ref="S1615:S1616"/>
    <mergeCell ref="T1615:T1616"/>
    <mergeCell ref="V1615:V1616"/>
    <mergeCell ref="I1616:L1616"/>
    <mergeCell ref="I1618:L1618"/>
    <mergeCell ref="N1618:N1619"/>
    <mergeCell ref="O1618:O1619"/>
    <mergeCell ref="P1618:P1619"/>
    <mergeCell ref="Q1618:Q1619"/>
    <mergeCell ref="R1618:R1619"/>
    <mergeCell ref="S1618:S1619"/>
    <mergeCell ref="T1618:T1619"/>
    <mergeCell ref="V1618:V1619"/>
    <mergeCell ref="I1619:L1619"/>
    <mergeCell ref="I1622:L1623"/>
    <mergeCell ref="N1622:S1622"/>
    <mergeCell ref="N1623:S1623"/>
    <mergeCell ref="I1627:L1627"/>
    <mergeCell ref="P1627:U1627"/>
    <mergeCell ref="I1628:L1628"/>
    <mergeCell ref="P1628:U1628"/>
    <mergeCell ref="I1629:L1629"/>
    <mergeCell ref="P1629:U1629"/>
    <mergeCell ref="I1630:L1630"/>
    <mergeCell ref="P1630:U1630"/>
    <mergeCell ref="I1631:L1631"/>
    <mergeCell ref="P1631:U1631"/>
    <mergeCell ref="I1636:L1636"/>
    <mergeCell ref="N1636:N1637"/>
    <mergeCell ref="O1636:O1637"/>
    <mergeCell ref="P1636:P1637"/>
    <mergeCell ref="Q1636:Q1637"/>
    <mergeCell ref="R1636:R1637"/>
    <mergeCell ref="S1636:S1637"/>
    <mergeCell ref="T1636:T1637"/>
    <mergeCell ref="V1636:V1637"/>
    <mergeCell ref="I1637:L1637"/>
    <mergeCell ref="I1639:L1639"/>
    <mergeCell ref="N1639:N1640"/>
    <mergeCell ref="O1639:O1640"/>
    <mergeCell ref="P1639:P1640"/>
    <mergeCell ref="Q1639:Q1640"/>
    <mergeCell ref="R1639:R1640"/>
    <mergeCell ref="S1639:S1640"/>
    <mergeCell ref="T1639:T1640"/>
    <mergeCell ref="V1639:V1640"/>
    <mergeCell ref="I1640:L1640"/>
    <mergeCell ref="I1643:L1644"/>
    <mergeCell ref="N1643:S1643"/>
    <mergeCell ref="N1644:S1644"/>
    <mergeCell ref="I1648:L1648"/>
    <mergeCell ref="P1648:U1648"/>
    <mergeCell ref="I1649:L1649"/>
    <mergeCell ref="P1649:U1649"/>
    <mergeCell ref="I1650:L1650"/>
    <mergeCell ref="P1650:U1650"/>
    <mergeCell ref="I1651:L1651"/>
    <mergeCell ref="P1651:U1651"/>
    <mergeCell ref="I1652:L1652"/>
    <mergeCell ref="P1652:U1652"/>
    <mergeCell ref="I1657:L1657"/>
    <mergeCell ref="N1657:N1658"/>
    <mergeCell ref="O1657:O1658"/>
    <mergeCell ref="P1657:P1658"/>
    <mergeCell ref="Q1657:Q1658"/>
    <mergeCell ref="R1657:R1658"/>
    <mergeCell ref="S1657:S1658"/>
    <mergeCell ref="T1657:T1658"/>
    <mergeCell ref="V1657:V1658"/>
    <mergeCell ref="I1658:L1658"/>
    <mergeCell ref="I1660:L1660"/>
    <mergeCell ref="N1660:N1661"/>
    <mergeCell ref="O1660:O1661"/>
    <mergeCell ref="P1660:P1661"/>
    <mergeCell ref="Q1660:Q1661"/>
    <mergeCell ref="R1660:R1661"/>
    <mergeCell ref="S1660:S1661"/>
    <mergeCell ref="T1660:T1661"/>
    <mergeCell ref="V1660:V1661"/>
    <mergeCell ref="I1661:L1661"/>
    <mergeCell ref="I1664:L1665"/>
    <mergeCell ref="N1664:S1664"/>
    <mergeCell ref="N1665:S1665"/>
    <mergeCell ref="I1669:L1669"/>
    <mergeCell ref="P1669:U1669"/>
    <mergeCell ref="I1670:L1670"/>
    <mergeCell ref="P1670:U1670"/>
    <mergeCell ref="I1671:L1671"/>
    <mergeCell ref="P1671:U1671"/>
    <mergeCell ref="I1672:L1672"/>
    <mergeCell ref="P1672:U1672"/>
    <mergeCell ref="I1673:L1673"/>
    <mergeCell ref="P1673:U1673"/>
    <mergeCell ref="I1678:L1678"/>
    <mergeCell ref="N1678:N1679"/>
    <mergeCell ref="O1678:O1679"/>
    <mergeCell ref="P1678:P1679"/>
    <mergeCell ref="Q1678:Q1679"/>
    <mergeCell ref="R1678:R1679"/>
    <mergeCell ref="S1678:S1679"/>
    <mergeCell ref="T1678:T1679"/>
    <mergeCell ref="V1678:V1679"/>
    <mergeCell ref="I1679:L1679"/>
    <mergeCell ref="I1681:L1681"/>
    <mergeCell ref="N1681:N1682"/>
    <mergeCell ref="O1681:O1682"/>
    <mergeCell ref="P1681:P1682"/>
    <mergeCell ref="Q1681:Q1682"/>
    <mergeCell ref="R1681:R1682"/>
    <mergeCell ref="S1681:S1682"/>
    <mergeCell ref="T1681:T1682"/>
    <mergeCell ref="V1681:V1682"/>
    <mergeCell ref="I1682:L1682"/>
    <mergeCell ref="I1685:L1686"/>
    <mergeCell ref="N1685:S1685"/>
    <mergeCell ref="N1686:S1686"/>
    <mergeCell ref="I1690:L1690"/>
    <mergeCell ref="P1690:U1690"/>
    <mergeCell ref="I1691:L1691"/>
    <mergeCell ref="P1691:U1691"/>
    <mergeCell ref="I1692:L1692"/>
    <mergeCell ref="P1692:U1692"/>
    <mergeCell ref="I1693:L1693"/>
    <mergeCell ref="P1693:U1693"/>
    <mergeCell ref="I1694:L1694"/>
    <mergeCell ref="P1694:U1694"/>
    <mergeCell ref="I1699:L1699"/>
    <mergeCell ref="N1699:N1700"/>
    <mergeCell ref="O1699:O1700"/>
    <mergeCell ref="P1699:P1700"/>
    <mergeCell ref="Q1699:Q1700"/>
    <mergeCell ref="R1699:R1700"/>
    <mergeCell ref="S1699:S1700"/>
    <mergeCell ref="T1699:T1700"/>
    <mergeCell ref="V1699:V1700"/>
    <mergeCell ref="I1700:L1700"/>
    <mergeCell ref="I1702:L1702"/>
    <mergeCell ref="N1702:N1703"/>
    <mergeCell ref="O1702:O1703"/>
    <mergeCell ref="P1702:P1703"/>
    <mergeCell ref="Q1702:Q1703"/>
    <mergeCell ref="R1702:R1703"/>
    <mergeCell ref="S1702:S1703"/>
    <mergeCell ref="T1702:T1703"/>
    <mergeCell ref="V1702:V1703"/>
    <mergeCell ref="I1703:L1703"/>
    <mergeCell ref="I1706:L1707"/>
    <mergeCell ref="N1706:S1706"/>
    <mergeCell ref="N1707:S1707"/>
    <mergeCell ref="I1711:L1711"/>
    <mergeCell ref="P1711:U1711"/>
    <mergeCell ref="I1712:L1712"/>
    <mergeCell ref="P1712:U1712"/>
    <mergeCell ref="I1713:L1713"/>
    <mergeCell ref="P1713:U1713"/>
    <mergeCell ref="I1714:L1714"/>
    <mergeCell ref="P1714:U1714"/>
    <mergeCell ref="I1715:L1715"/>
    <mergeCell ref="P1715:U1715"/>
    <mergeCell ref="I1720:L1720"/>
    <mergeCell ref="N1720:N1721"/>
    <mergeCell ref="O1720:O1721"/>
    <mergeCell ref="P1720:P1721"/>
    <mergeCell ref="Q1720:Q1721"/>
    <mergeCell ref="R1720:R1721"/>
    <mergeCell ref="S1720:S1721"/>
    <mergeCell ref="T1720:T1721"/>
    <mergeCell ref="V1720:V1721"/>
    <mergeCell ref="I1721:L1721"/>
    <mergeCell ref="I1723:L1723"/>
    <mergeCell ref="N1723:N1724"/>
    <mergeCell ref="O1723:O1724"/>
    <mergeCell ref="P1723:P1724"/>
    <mergeCell ref="Q1723:Q1724"/>
    <mergeCell ref="R1723:R1724"/>
    <mergeCell ref="S1723:S1724"/>
    <mergeCell ref="T1723:T1724"/>
    <mergeCell ref="V1723:V1724"/>
    <mergeCell ref="I1724:L1724"/>
    <mergeCell ref="I1727:L1728"/>
    <mergeCell ref="N1727:S1727"/>
    <mergeCell ref="N1728:S1728"/>
    <mergeCell ref="I1732:L1732"/>
    <mergeCell ref="P1732:U1732"/>
    <mergeCell ref="I1733:L1733"/>
    <mergeCell ref="P1733:U1733"/>
    <mergeCell ref="I1734:L1734"/>
    <mergeCell ref="P1734:U1734"/>
    <mergeCell ref="I1735:L1735"/>
    <mergeCell ref="P1735:U1735"/>
    <mergeCell ref="I1736:L1736"/>
    <mergeCell ref="P1736:U1736"/>
    <mergeCell ref="I1741:L1741"/>
    <mergeCell ref="N1741:N1742"/>
    <mergeCell ref="O1741:O1742"/>
    <mergeCell ref="P1741:P1742"/>
    <mergeCell ref="Q1741:Q1742"/>
    <mergeCell ref="R1741:R1742"/>
    <mergeCell ref="S1741:S1742"/>
    <mergeCell ref="T1741:T1742"/>
    <mergeCell ref="V1741:V1742"/>
    <mergeCell ref="I1742:L1742"/>
    <mergeCell ref="I1744:L1744"/>
    <mergeCell ref="N1744:N1745"/>
    <mergeCell ref="O1744:O1745"/>
    <mergeCell ref="P1744:P1745"/>
    <mergeCell ref="Q1744:Q1745"/>
    <mergeCell ref="R1744:R1745"/>
    <mergeCell ref="S1744:S1745"/>
    <mergeCell ref="T1744:T1745"/>
    <mergeCell ref="V1744:V1745"/>
    <mergeCell ref="I1745:L1745"/>
    <mergeCell ref="I1748:L1749"/>
    <mergeCell ref="N1748:S1748"/>
    <mergeCell ref="N1749:S1749"/>
    <mergeCell ref="I1753:L1753"/>
    <mergeCell ref="P1753:U1753"/>
    <mergeCell ref="I1754:L1754"/>
    <mergeCell ref="P1754:U1754"/>
    <mergeCell ref="I1755:L1755"/>
    <mergeCell ref="P1755:U1755"/>
    <mergeCell ref="I1756:L1756"/>
    <mergeCell ref="P1756:U1756"/>
    <mergeCell ref="I1757:L1757"/>
    <mergeCell ref="P1757:U1757"/>
    <mergeCell ref="I1762:L1762"/>
    <mergeCell ref="N1762:N1763"/>
    <mergeCell ref="O1762:O1763"/>
    <mergeCell ref="P1762:P1763"/>
    <mergeCell ref="Q1762:Q1763"/>
    <mergeCell ref="R1762:R1763"/>
    <mergeCell ref="S1762:S1763"/>
    <mergeCell ref="T1762:T1763"/>
    <mergeCell ref="V1762:V1763"/>
    <mergeCell ref="I1763:L1763"/>
    <mergeCell ref="I1765:L1765"/>
    <mergeCell ref="N1765:N1766"/>
    <mergeCell ref="O1765:O1766"/>
    <mergeCell ref="P1765:P1766"/>
    <mergeCell ref="Q1765:Q1766"/>
    <mergeCell ref="R1765:R1766"/>
    <mergeCell ref="S1765:S1766"/>
    <mergeCell ref="T1765:T1766"/>
    <mergeCell ref="V1765:V1766"/>
    <mergeCell ref="I1766:L1766"/>
    <mergeCell ref="I1769:L1770"/>
    <mergeCell ref="N1769:S1769"/>
    <mergeCell ref="N1770:S1770"/>
    <mergeCell ref="I1774:L1774"/>
    <mergeCell ref="P1774:U1774"/>
    <mergeCell ref="I1775:L1775"/>
    <mergeCell ref="P1775:U1775"/>
    <mergeCell ref="I1776:L1776"/>
    <mergeCell ref="P1776:U1776"/>
    <mergeCell ref="I1777:L1777"/>
    <mergeCell ref="P1777:U1777"/>
    <mergeCell ref="I1778:L1778"/>
    <mergeCell ref="P1778:U1778"/>
    <mergeCell ref="I1783:L1783"/>
    <mergeCell ref="N1783:N1784"/>
    <mergeCell ref="O1783:O1784"/>
    <mergeCell ref="P1783:P1784"/>
    <mergeCell ref="Q1783:Q1784"/>
    <mergeCell ref="R1783:R1784"/>
    <mergeCell ref="S1783:S1784"/>
    <mergeCell ref="T1783:T1784"/>
    <mergeCell ref="V1783:V1784"/>
    <mergeCell ref="I1784:L1784"/>
    <mergeCell ref="I1786:L1786"/>
    <mergeCell ref="N1786:N1787"/>
    <mergeCell ref="O1786:O1787"/>
    <mergeCell ref="P1786:P1787"/>
    <mergeCell ref="Q1786:Q1787"/>
    <mergeCell ref="R1786:R1787"/>
    <mergeCell ref="S1786:S1787"/>
    <mergeCell ref="T1786:T1787"/>
    <mergeCell ref="V1786:V1787"/>
    <mergeCell ref="I1787:L1787"/>
    <mergeCell ref="I1790:L1791"/>
    <mergeCell ref="N1790:S1790"/>
    <mergeCell ref="N1791:S1791"/>
    <mergeCell ref="I1795:L1795"/>
    <mergeCell ref="P1795:U1795"/>
    <mergeCell ref="I1796:L1796"/>
    <mergeCell ref="P1796:U1796"/>
    <mergeCell ref="I1797:L1797"/>
    <mergeCell ref="P1797:U1797"/>
    <mergeCell ref="I1798:L1798"/>
    <mergeCell ref="P1798:U1798"/>
    <mergeCell ref="I1799:L1799"/>
    <mergeCell ref="P1799:U1799"/>
    <mergeCell ref="I1804:L1804"/>
    <mergeCell ref="N1804:N1805"/>
    <mergeCell ref="O1804:O1805"/>
    <mergeCell ref="P1804:P1805"/>
    <mergeCell ref="Q1804:Q1805"/>
    <mergeCell ref="R1804:R1805"/>
    <mergeCell ref="S1804:S1805"/>
    <mergeCell ref="T1804:T1805"/>
    <mergeCell ref="V1804:V1805"/>
    <mergeCell ref="I1805:L1805"/>
    <mergeCell ref="I1807:L1807"/>
    <mergeCell ref="N1807:N1808"/>
    <mergeCell ref="O1807:O1808"/>
    <mergeCell ref="P1807:P1808"/>
    <mergeCell ref="Q1807:Q1808"/>
    <mergeCell ref="R1807:R1808"/>
    <mergeCell ref="S1807:S1808"/>
    <mergeCell ref="T1807:T1808"/>
    <mergeCell ref="V1807:V1808"/>
    <mergeCell ref="I1808:L1808"/>
    <mergeCell ref="I1811:L1812"/>
    <mergeCell ref="N1811:S1811"/>
    <mergeCell ref="N1812:S1812"/>
    <mergeCell ref="I1816:L1816"/>
    <mergeCell ref="P1816:U1816"/>
    <mergeCell ref="I1817:L1817"/>
    <mergeCell ref="P1817:U1817"/>
    <mergeCell ref="I1818:L1818"/>
    <mergeCell ref="P1818:U1818"/>
    <mergeCell ref="I1819:L1819"/>
    <mergeCell ref="P1819:U1819"/>
    <mergeCell ref="I1820:L1820"/>
    <mergeCell ref="P1820:U1820"/>
    <mergeCell ref="I1825:L1825"/>
    <mergeCell ref="N1825:N1826"/>
    <mergeCell ref="O1825:O1826"/>
    <mergeCell ref="P1825:P1826"/>
    <mergeCell ref="Q1825:Q1826"/>
    <mergeCell ref="R1825:R1826"/>
    <mergeCell ref="S1825:S1826"/>
    <mergeCell ref="T1825:T1826"/>
    <mergeCell ref="V1825:V1826"/>
    <mergeCell ref="I1826:L1826"/>
    <mergeCell ref="I1828:L1828"/>
    <mergeCell ref="N1828:N1829"/>
    <mergeCell ref="O1828:O1829"/>
    <mergeCell ref="P1828:P1829"/>
    <mergeCell ref="Q1828:Q1829"/>
    <mergeCell ref="R1828:R1829"/>
    <mergeCell ref="S1828:S1829"/>
    <mergeCell ref="T1828:T1829"/>
    <mergeCell ref="V1828:V1829"/>
    <mergeCell ref="I1829:L1829"/>
    <mergeCell ref="I1832:L1833"/>
    <mergeCell ref="N1832:S1832"/>
    <mergeCell ref="N1833:S1833"/>
    <mergeCell ref="I1837:L1837"/>
    <mergeCell ref="P1837:U1837"/>
    <mergeCell ref="I1838:L1838"/>
    <mergeCell ref="P1838:U1838"/>
    <mergeCell ref="I1839:L1839"/>
    <mergeCell ref="P1839:U1839"/>
    <mergeCell ref="I1840:L1840"/>
    <mergeCell ref="P1840:U1840"/>
    <mergeCell ref="I1841:L1841"/>
    <mergeCell ref="P1841:U1841"/>
    <mergeCell ref="I1846:L1846"/>
    <mergeCell ref="N1846:N1847"/>
    <mergeCell ref="O1846:O1847"/>
    <mergeCell ref="P1846:P1847"/>
    <mergeCell ref="Q1846:Q1847"/>
    <mergeCell ref="R1846:R1847"/>
    <mergeCell ref="S1846:S1847"/>
    <mergeCell ref="T1846:T1847"/>
    <mergeCell ref="V1846:V1847"/>
    <mergeCell ref="I1847:L1847"/>
    <mergeCell ref="I1849:L1849"/>
    <mergeCell ref="N1849:N1850"/>
    <mergeCell ref="O1849:O1850"/>
    <mergeCell ref="P1849:P1850"/>
    <mergeCell ref="Q1849:Q1850"/>
    <mergeCell ref="R1849:R1850"/>
    <mergeCell ref="S1849:S1850"/>
    <mergeCell ref="T1849:T1850"/>
    <mergeCell ref="V1849:V1850"/>
    <mergeCell ref="I1850:L1850"/>
    <mergeCell ref="I1853:L1854"/>
    <mergeCell ref="N1853:S1853"/>
    <mergeCell ref="N1854:S1854"/>
    <mergeCell ref="I1858:L1858"/>
    <mergeCell ref="P1858:U1858"/>
    <mergeCell ref="I1859:L1859"/>
    <mergeCell ref="P1859:U1859"/>
    <mergeCell ref="I1860:L1860"/>
    <mergeCell ref="P1860:U1860"/>
    <mergeCell ref="I1861:L1861"/>
    <mergeCell ref="P1861:U1861"/>
    <mergeCell ref="I1862:L1862"/>
    <mergeCell ref="P1862:U1862"/>
    <mergeCell ref="I1867:L1867"/>
    <mergeCell ref="N1867:N1868"/>
    <mergeCell ref="O1867:O1868"/>
    <mergeCell ref="P1867:P1868"/>
    <mergeCell ref="Q1867:Q1868"/>
    <mergeCell ref="R1867:R1868"/>
    <mergeCell ref="S1867:S1868"/>
    <mergeCell ref="T1867:T1868"/>
    <mergeCell ref="V1867:V1868"/>
    <mergeCell ref="I1868:L1868"/>
    <mergeCell ref="I1870:L1870"/>
    <mergeCell ref="N1870:N1871"/>
    <mergeCell ref="O1870:O1871"/>
    <mergeCell ref="P1870:P1871"/>
    <mergeCell ref="Q1870:Q1871"/>
    <mergeCell ref="R1870:R1871"/>
    <mergeCell ref="S1870:S1871"/>
    <mergeCell ref="T1870:T1871"/>
    <mergeCell ref="V1870:V1871"/>
    <mergeCell ref="I1871:L1871"/>
    <mergeCell ref="I1874:L1875"/>
    <mergeCell ref="N1874:S1874"/>
    <mergeCell ref="N1875:S1875"/>
    <mergeCell ref="I1879:L1879"/>
    <mergeCell ref="P1879:U1879"/>
    <mergeCell ref="I1880:L1880"/>
    <mergeCell ref="P1880:U1880"/>
    <mergeCell ref="I1881:L1881"/>
    <mergeCell ref="P1881:U1881"/>
    <mergeCell ref="I1882:L1882"/>
    <mergeCell ref="P1882:U1882"/>
    <mergeCell ref="I1883:L1883"/>
    <mergeCell ref="P1883:U1883"/>
    <mergeCell ref="I1888:L1888"/>
    <mergeCell ref="N1888:N1889"/>
    <mergeCell ref="O1888:O1889"/>
    <mergeCell ref="P1888:P1889"/>
    <mergeCell ref="Q1888:Q1889"/>
    <mergeCell ref="R1888:R1889"/>
    <mergeCell ref="S1888:S1889"/>
    <mergeCell ref="T1888:T1889"/>
    <mergeCell ref="V1888:V1889"/>
    <mergeCell ref="I1889:L1889"/>
    <mergeCell ref="I1891:L1891"/>
    <mergeCell ref="N1891:N1892"/>
    <mergeCell ref="O1891:O1892"/>
    <mergeCell ref="P1891:P1892"/>
    <mergeCell ref="Q1891:Q1892"/>
    <mergeCell ref="R1891:R1892"/>
    <mergeCell ref="S1891:S1892"/>
    <mergeCell ref="T1891:T1892"/>
    <mergeCell ref="V1891:V1892"/>
    <mergeCell ref="I1892:L1892"/>
    <mergeCell ref="I1895:L1896"/>
    <mergeCell ref="N1895:S1895"/>
    <mergeCell ref="N1896:S1896"/>
    <mergeCell ref="I1900:L1900"/>
    <mergeCell ref="P1900:U1900"/>
    <mergeCell ref="I1901:L1901"/>
    <mergeCell ref="P1901:U1901"/>
    <mergeCell ref="I1902:L1902"/>
    <mergeCell ref="P1902:U1902"/>
    <mergeCell ref="I1903:L1903"/>
    <mergeCell ref="P1903:U1903"/>
    <mergeCell ref="I1904:L1904"/>
    <mergeCell ref="P1904:U1904"/>
    <mergeCell ref="I1909:L1909"/>
    <mergeCell ref="N1909:N1910"/>
    <mergeCell ref="O1909:O1910"/>
    <mergeCell ref="P1909:P1910"/>
    <mergeCell ref="Q1909:Q1910"/>
    <mergeCell ref="R1909:R1910"/>
    <mergeCell ref="S1909:S1910"/>
    <mergeCell ref="T1909:T1910"/>
    <mergeCell ref="V1909:V1910"/>
    <mergeCell ref="I1910:L1910"/>
    <mergeCell ref="I1912:L1912"/>
    <mergeCell ref="N1912:N1913"/>
    <mergeCell ref="O1912:O1913"/>
    <mergeCell ref="P1912:P1913"/>
    <mergeCell ref="Q1912:Q1913"/>
    <mergeCell ref="R1912:R1913"/>
    <mergeCell ref="S1912:S1913"/>
    <mergeCell ref="T1912:T1913"/>
    <mergeCell ref="V1912:V1913"/>
    <mergeCell ref="I1913:L1913"/>
    <mergeCell ref="I1916:L1917"/>
    <mergeCell ref="N1916:S1916"/>
    <mergeCell ref="N1917:S1917"/>
    <mergeCell ref="I1921:L1921"/>
    <mergeCell ref="P1921:U1921"/>
    <mergeCell ref="I1922:L1922"/>
    <mergeCell ref="P1922:U1922"/>
    <mergeCell ref="I1923:L1923"/>
    <mergeCell ref="P1923:U1923"/>
    <mergeCell ref="I1924:L1924"/>
    <mergeCell ref="P1924:U1924"/>
    <mergeCell ref="I1925:L1925"/>
    <mergeCell ref="P1925:U1925"/>
    <mergeCell ref="I1930:L1930"/>
    <mergeCell ref="N1930:N1931"/>
    <mergeCell ref="O1930:O1931"/>
    <mergeCell ref="P1930:P1931"/>
    <mergeCell ref="Q1930:Q1931"/>
    <mergeCell ref="R1930:R1931"/>
    <mergeCell ref="S1930:S1931"/>
    <mergeCell ref="T1930:T1931"/>
    <mergeCell ref="V1930:V1931"/>
    <mergeCell ref="I1931:L1931"/>
    <mergeCell ref="I1933:L1933"/>
    <mergeCell ref="N1933:N1934"/>
    <mergeCell ref="O1933:O1934"/>
    <mergeCell ref="P1933:P1934"/>
    <mergeCell ref="Q1933:Q1934"/>
    <mergeCell ref="R1933:R1934"/>
    <mergeCell ref="S1933:S1934"/>
    <mergeCell ref="T1933:T1934"/>
    <mergeCell ref="V1933:V1934"/>
    <mergeCell ref="I1934:L1934"/>
    <mergeCell ref="I1937:L1938"/>
    <mergeCell ref="N1937:S1937"/>
    <mergeCell ref="N1938:S1938"/>
    <mergeCell ref="I1942:L1942"/>
    <mergeCell ref="P1942:U1942"/>
    <mergeCell ref="I1943:L1943"/>
    <mergeCell ref="P1943:U1943"/>
    <mergeCell ref="I1944:L1944"/>
    <mergeCell ref="P1944:U1944"/>
    <mergeCell ref="I1945:L1945"/>
    <mergeCell ref="P1945:U1945"/>
    <mergeCell ref="I1946:L1946"/>
    <mergeCell ref="P1946:U1946"/>
    <mergeCell ref="I1951:L1951"/>
    <mergeCell ref="N1951:N1952"/>
    <mergeCell ref="O1951:O1952"/>
    <mergeCell ref="P1951:P1952"/>
    <mergeCell ref="Q1951:Q1952"/>
    <mergeCell ref="R1951:R1952"/>
    <mergeCell ref="S1951:S1952"/>
    <mergeCell ref="T1951:T1952"/>
    <mergeCell ref="V1951:V1952"/>
    <mergeCell ref="I1952:L1952"/>
    <mergeCell ref="I1954:L1954"/>
    <mergeCell ref="N1954:N1955"/>
    <mergeCell ref="O1954:O1955"/>
    <mergeCell ref="P1954:P1955"/>
    <mergeCell ref="Q1954:Q1955"/>
    <mergeCell ref="R1954:R1955"/>
    <mergeCell ref="S1954:S1955"/>
    <mergeCell ref="T1954:T1955"/>
    <mergeCell ref="V1954:V1955"/>
    <mergeCell ref="I1955:L1955"/>
    <mergeCell ref="I1958:L1959"/>
    <mergeCell ref="N1958:S1958"/>
    <mergeCell ref="N1959:S1959"/>
    <mergeCell ref="I1963:L1963"/>
    <mergeCell ref="P1963:U1963"/>
    <mergeCell ref="I1964:L1964"/>
    <mergeCell ref="P1964:U1964"/>
    <mergeCell ref="I1965:L1965"/>
    <mergeCell ref="P1965:U1965"/>
    <mergeCell ref="I1966:L1966"/>
    <mergeCell ref="P1966:U1966"/>
    <mergeCell ref="I1967:L1967"/>
    <mergeCell ref="P1967:U1967"/>
    <mergeCell ref="I1972:L1972"/>
    <mergeCell ref="N1972:N1973"/>
    <mergeCell ref="O1972:O1973"/>
    <mergeCell ref="P1972:P1973"/>
    <mergeCell ref="Q1972:Q1973"/>
    <mergeCell ref="R1972:R1973"/>
    <mergeCell ref="S1972:S1973"/>
    <mergeCell ref="T1972:T1973"/>
    <mergeCell ref="V1972:V1973"/>
    <mergeCell ref="I1973:L1973"/>
    <mergeCell ref="I1975:L1975"/>
    <mergeCell ref="N1975:N1976"/>
    <mergeCell ref="O1975:O1976"/>
    <mergeCell ref="P1975:P1976"/>
    <mergeCell ref="Q1975:Q1976"/>
    <mergeCell ref="R1975:R1976"/>
    <mergeCell ref="S1975:S1976"/>
    <mergeCell ref="T1975:T1976"/>
    <mergeCell ref="V1975:V1976"/>
    <mergeCell ref="I1976:L1976"/>
    <mergeCell ref="I1979:L1980"/>
    <mergeCell ref="N1979:S1979"/>
    <mergeCell ref="N1980:S1980"/>
    <mergeCell ref="I1984:L1984"/>
    <mergeCell ref="P1984:U1984"/>
    <mergeCell ref="I1985:L1985"/>
    <mergeCell ref="P1985:U1985"/>
    <mergeCell ref="I1986:L1986"/>
    <mergeCell ref="P1986:U1986"/>
    <mergeCell ref="I1987:L1987"/>
    <mergeCell ref="P1987:U1987"/>
    <mergeCell ref="I1988:L1988"/>
    <mergeCell ref="P1988:U1988"/>
    <mergeCell ref="I1993:L1993"/>
    <mergeCell ref="N1993:N1994"/>
    <mergeCell ref="O1993:O1994"/>
    <mergeCell ref="P1993:P1994"/>
    <mergeCell ref="Q1993:Q1994"/>
    <mergeCell ref="R1993:R1994"/>
    <mergeCell ref="S1993:S1994"/>
    <mergeCell ref="T1993:T1994"/>
    <mergeCell ref="V1993:V1994"/>
    <mergeCell ref="I1994:L1994"/>
    <mergeCell ref="I1996:L1996"/>
    <mergeCell ref="N1996:N1997"/>
    <mergeCell ref="O1996:O1997"/>
    <mergeCell ref="P1996:P1997"/>
    <mergeCell ref="Q1996:Q1997"/>
    <mergeCell ref="R1996:R1997"/>
    <mergeCell ref="S1996:S1997"/>
    <mergeCell ref="T1996:T1997"/>
    <mergeCell ref="V1996:V1997"/>
    <mergeCell ref="I1997:L1997"/>
    <mergeCell ref="I2000:L2001"/>
    <mergeCell ref="N2000:S2000"/>
    <mergeCell ref="N2001:S2001"/>
    <mergeCell ref="I2005:L2005"/>
    <mergeCell ref="P2005:U2005"/>
    <mergeCell ref="I2006:L2006"/>
    <mergeCell ref="P2006:U2006"/>
    <mergeCell ref="I2007:L2007"/>
    <mergeCell ref="P2007:U2007"/>
    <mergeCell ref="I2008:L2008"/>
    <mergeCell ref="P2008:U2008"/>
    <mergeCell ref="I2009:L2009"/>
    <mergeCell ref="P2009:U2009"/>
    <mergeCell ref="I2014:L2014"/>
    <mergeCell ref="N2014:N2015"/>
    <mergeCell ref="O2014:O2015"/>
    <mergeCell ref="P2014:P2015"/>
    <mergeCell ref="Q2014:Q2015"/>
    <mergeCell ref="R2014:R2015"/>
    <mergeCell ref="S2014:S2015"/>
    <mergeCell ref="T2014:T2015"/>
    <mergeCell ref="V2014:V2015"/>
    <mergeCell ref="I2015:L2015"/>
    <mergeCell ref="I2017:L2017"/>
    <mergeCell ref="N2017:N2018"/>
    <mergeCell ref="O2017:O2018"/>
    <mergeCell ref="P2017:P2018"/>
    <mergeCell ref="Q2017:Q2018"/>
    <mergeCell ref="R2017:R2018"/>
    <mergeCell ref="S2017:S2018"/>
    <mergeCell ref="T2017:T2018"/>
    <mergeCell ref="V2017:V2018"/>
    <mergeCell ref="I2018:L2018"/>
    <mergeCell ref="I2021:L2022"/>
    <mergeCell ref="N2021:S2021"/>
    <mergeCell ref="N2022:S2022"/>
    <mergeCell ref="I2026:L2026"/>
    <mergeCell ref="P2026:U2026"/>
    <mergeCell ref="I2027:L2027"/>
    <mergeCell ref="P2027:U2027"/>
    <mergeCell ref="I2028:L2028"/>
    <mergeCell ref="P2028:U2028"/>
    <mergeCell ref="I2029:L2029"/>
    <mergeCell ref="P2029:U2029"/>
    <mergeCell ref="I2030:L2030"/>
    <mergeCell ref="P2030:U2030"/>
    <mergeCell ref="H2035:H2036"/>
    <mergeCell ref="I2035:L2036"/>
    <mergeCell ref="N2035:N2036"/>
    <mergeCell ref="O2035:O2036"/>
    <mergeCell ref="P2035:P2036"/>
    <mergeCell ref="Q2035:Q2036"/>
    <mergeCell ref="R2035:R2036"/>
    <mergeCell ref="S2035:S2036"/>
    <mergeCell ref="T2035:T2036"/>
    <mergeCell ref="V2035:V2036"/>
    <mergeCell ref="H2038:H2039"/>
    <mergeCell ref="I2038:L2039"/>
    <mergeCell ref="N2038:N2039"/>
    <mergeCell ref="O2038:O2039"/>
    <mergeCell ref="P2038:P2039"/>
    <mergeCell ref="Q2038:Q2039"/>
    <mergeCell ref="R2038:R2039"/>
    <mergeCell ref="S2038:S2039"/>
    <mergeCell ref="T2038:T2039"/>
    <mergeCell ref="V2038:V2039"/>
    <mergeCell ref="I2042:L2043"/>
    <mergeCell ref="N2042:S2043"/>
    <mergeCell ref="I2047:L2047"/>
    <mergeCell ref="P2047:U2047"/>
    <mergeCell ref="I2048:L2048"/>
    <mergeCell ref="P2048:U2048"/>
    <mergeCell ref="I2049:L2049"/>
    <mergeCell ref="P2049:U2049"/>
    <mergeCell ref="I2050:L2050"/>
    <mergeCell ref="P2050:U2050"/>
    <mergeCell ref="H2055:H2056"/>
    <mergeCell ref="I2055:L2056"/>
    <mergeCell ref="N2055:N2056"/>
    <mergeCell ref="O2055:O2056"/>
    <mergeCell ref="P2055:P2056"/>
    <mergeCell ref="Q2055:Q2056"/>
    <mergeCell ref="R2055:R2056"/>
    <mergeCell ref="S2055:S2056"/>
    <mergeCell ref="T2055:T2056"/>
    <mergeCell ref="V2055:V2056"/>
    <mergeCell ref="H2058:H2059"/>
    <mergeCell ref="I2058:L2059"/>
    <mergeCell ref="N2058:N2059"/>
    <mergeCell ref="O2058:O2059"/>
    <mergeCell ref="P2058:P2059"/>
    <mergeCell ref="Q2058:Q2059"/>
    <mergeCell ref="R2058:R2059"/>
    <mergeCell ref="S2058:S2059"/>
    <mergeCell ref="T2058:T2059"/>
    <mergeCell ref="V2058:V2059"/>
    <mergeCell ref="I2062:L2063"/>
    <mergeCell ref="N2062:S2063"/>
    <mergeCell ref="I2067:L2067"/>
    <mergeCell ref="P2067:U2067"/>
    <mergeCell ref="I2068:L2068"/>
    <mergeCell ref="P2068:U2068"/>
    <mergeCell ref="I2069:L2069"/>
    <mergeCell ref="P2069:U2069"/>
    <mergeCell ref="I2070:L2070"/>
    <mergeCell ref="P2070:U2070"/>
    <mergeCell ref="H2075:H2076"/>
    <mergeCell ref="I2075:L2076"/>
    <mergeCell ref="N2075:N2076"/>
    <mergeCell ref="O2075:O2076"/>
    <mergeCell ref="P2075:P2076"/>
    <mergeCell ref="Q2075:Q2076"/>
    <mergeCell ref="R2075:R2076"/>
    <mergeCell ref="S2075:S2076"/>
    <mergeCell ref="T2075:T2076"/>
    <mergeCell ref="V2075:V2076"/>
    <mergeCell ref="H2078:H2079"/>
    <mergeCell ref="I2078:L2079"/>
    <mergeCell ref="N2078:N2079"/>
    <mergeCell ref="O2078:O2079"/>
    <mergeCell ref="P2078:P2079"/>
    <mergeCell ref="Q2078:Q2079"/>
    <mergeCell ref="R2078:R2079"/>
    <mergeCell ref="S2078:S2079"/>
    <mergeCell ref="T2078:T2079"/>
    <mergeCell ref="V2078:V2079"/>
    <mergeCell ref="I2082:L2083"/>
    <mergeCell ref="N2082:S2083"/>
    <mergeCell ref="I2087:L2087"/>
    <mergeCell ref="P2087:U2087"/>
    <mergeCell ref="I2088:L2088"/>
    <mergeCell ref="P2088:U2088"/>
    <mergeCell ref="I2089:L2089"/>
    <mergeCell ref="P2089:U2089"/>
    <mergeCell ref="I2090:L2090"/>
    <mergeCell ref="P2090:U2090"/>
    <mergeCell ref="H2095:H2096"/>
    <mergeCell ref="I2095:L2096"/>
    <mergeCell ref="N2095:N2096"/>
    <mergeCell ref="O2095:O2096"/>
    <mergeCell ref="P2095:P2096"/>
    <mergeCell ref="Q2095:Q2096"/>
    <mergeCell ref="R2095:R2096"/>
    <mergeCell ref="S2095:S2096"/>
    <mergeCell ref="T2095:T2096"/>
    <mergeCell ref="V2095:V2096"/>
    <mergeCell ref="H2098:H2099"/>
    <mergeCell ref="I2098:L2099"/>
    <mergeCell ref="N2098:N2099"/>
    <mergeCell ref="O2098:O2099"/>
    <mergeCell ref="P2098:P2099"/>
    <mergeCell ref="Q2098:Q2099"/>
    <mergeCell ref="R2098:R2099"/>
    <mergeCell ref="S2098:S2099"/>
    <mergeCell ref="T2098:T2099"/>
    <mergeCell ref="V2098:V2099"/>
    <mergeCell ref="I2102:L2103"/>
    <mergeCell ref="N2102:S2103"/>
    <mergeCell ref="I2107:L2107"/>
    <mergeCell ref="P2107:U2107"/>
    <mergeCell ref="I2108:L2108"/>
    <mergeCell ref="P2108:U2108"/>
    <mergeCell ref="I2109:L2109"/>
    <mergeCell ref="P2109:U2109"/>
    <mergeCell ref="I2110:L2110"/>
    <mergeCell ref="P2110:U2110"/>
    <mergeCell ref="H2115:H2116"/>
    <mergeCell ref="I2115:L2116"/>
    <mergeCell ref="N2115:N2116"/>
    <mergeCell ref="O2115:O2116"/>
    <mergeCell ref="P2115:P2116"/>
    <mergeCell ref="Q2115:Q2116"/>
    <mergeCell ref="R2115:R2116"/>
    <mergeCell ref="S2115:S2116"/>
    <mergeCell ref="T2115:T2116"/>
    <mergeCell ref="V2115:V2116"/>
    <mergeCell ref="H2118:H2119"/>
    <mergeCell ref="I2118:L2119"/>
    <mergeCell ref="N2118:N2119"/>
    <mergeCell ref="O2118:O2119"/>
    <mergeCell ref="P2118:P2119"/>
    <mergeCell ref="Q2118:Q2119"/>
    <mergeCell ref="R2118:R2119"/>
    <mergeCell ref="S2118:S2119"/>
    <mergeCell ref="T2118:T2119"/>
    <mergeCell ref="V2118:V2119"/>
    <mergeCell ref="I2122:L2123"/>
    <mergeCell ref="N2122:S2123"/>
    <mergeCell ref="I2127:L2127"/>
    <mergeCell ref="P2127:U2127"/>
    <mergeCell ref="I2128:L2128"/>
    <mergeCell ref="P2128:U2128"/>
    <mergeCell ref="I2129:L2129"/>
    <mergeCell ref="P2129:U2129"/>
    <mergeCell ref="I2130:L2130"/>
    <mergeCell ref="P2130:U2130"/>
    <mergeCell ref="H2135:H2136"/>
    <mergeCell ref="I2135:L2136"/>
    <mergeCell ref="N2135:N2136"/>
    <mergeCell ref="O2135:O2136"/>
    <mergeCell ref="P2135:P2136"/>
    <mergeCell ref="Q2135:Q2136"/>
    <mergeCell ref="R2135:R2136"/>
    <mergeCell ref="S2135:S2136"/>
    <mergeCell ref="T2135:T2136"/>
    <mergeCell ref="V2135:V2136"/>
    <mergeCell ref="H2138:H2139"/>
    <mergeCell ref="I2138:L2139"/>
    <mergeCell ref="N2138:N2139"/>
    <mergeCell ref="O2138:O2139"/>
    <mergeCell ref="P2138:P2139"/>
    <mergeCell ref="Q2138:Q2139"/>
    <mergeCell ref="R2138:R2139"/>
    <mergeCell ref="S2138:S2139"/>
    <mergeCell ref="T2138:T2139"/>
    <mergeCell ref="V2138:V2139"/>
    <mergeCell ref="I2142:L2143"/>
    <mergeCell ref="N2142:S2143"/>
    <mergeCell ref="I2147:L2147"/>
    <mergeCell ref="P2147:U2147"/>
    <mergeCell ref="I2148:L2148"/>
    <mergeCell ref="P2148:U2148"/>
    <mergeCell ref="I2149:L2149"/>
    <mergeCell ref="P2149:U2149"/>
    <mergeCell ref="I2150:L2150"/>
    <mergeCell ref="P2150:U2150"/>
    <mergeCell ref="H2155:H2156"/>
    <mergeCell ref="I2155:L2156"/>
    <mergeCell ref="N2155:N2156"/>
    <mergeCell ref="O2155:O2156"/>
    <mergeCell ref="P2155:P2156"/>
    <mergeCell ref="Q2155:Q2156"/>
    <mergeCell ref="R2155:R2156"/>
    <mergeCell ref="S2155:S2156"/>
    <mergeCell ref="T2155:T2156"/>
    <mergeCell ref="V2155:V2156"/>
    <mergeCell ref="H2158:H2159"/>
    <mergeCell ref="I2158:L2159"/>
    <mergeCell ref="N2158:N2159"/>
    <mergeCell ref="O2158:O2159"/>
    <mergeCell ref="P2158:P2159"/>
    <mergeCell ref="Q2158:Q2159"/>
    <mergeCell ref="R2158:R2159"/>
    <mergeCell ref="S2158:S2159"/>
    <mergeCell ref="T2158:T2159"/>
    <mergeCell ref="V2158:V2159"/>
    <mergeCell ref="I2162:L2163"/>
    <mergeCell ref="N2162:S2163"/>
    <mergeCell ref="I2167:L2167"/>
    <mergeCell ref="P2167:U2167"/>
    <mergeCell ref="I2168:L2168"/>
    <mergeCell ref="P2168:U2168"/>
    <mergeCell ref="I2169:L2169"/>
    <mergeCell ref="P2169:U2169"/>
    <mergeCell ref="I2170:L2170"/>
    <mergeCell ref="P2170:U2170"/>
    <mergeCell ref="H2175:H2176"/>
    <mergeCell ref="I2175:L2176"/>
    <mergeCell ref="N2175:N2176"/>
    <mergeCell ref="O2175:O2176"/>
    <mergeCell ref="P2175:P2176"/>
    <mergeCell ref="Q2175:Q2176"/>
    <mergeCell ref="R2175:R2176"/>
    <mergeCell ref="S2175:S2176"/>
    <mergeCell ref="T2175:T2176"/>
    <mergeCell ref="V2175:V2176"/>
    <mergeCell ref="H2178:H2179"/>
    <mergeCell ref="I2178:L2179"/>
    <mergeCell ref="N2178:N2179"/>
    <mergeCell ref="O2178:O2179"/>
    <mergeCell ref="P2178:P2179"/>
    <mergeCell ref="Q2178:Q2179"/>
    <mergeCell ref="R2178:R2179"/>
    <mergeCell ref="S2178:S2179"/>
    <mergeCell ref="T2178:T2179"/>
    <mergeCell ref="V2178:V2179"/>
    <mergeCell ref="I2182:L2183"/>
    <mergeCell ref="N2182:S2183"/>
    <mergeCell ref="I2187:L2187"/>
    <mergeCell ref="P2187:U2187"/>
    <mergeCell ref="I2188:L2188"/>
    <mergeCell ref="P2188:U2188"/>
    <mergeCell ref="I2189:L2189"/>
    <mergeCell ref="P2189:U2189"/>
    <mergeCell ref="I2190:L2190"/>
    <mergeCell ref="P2190:U2190"/>
    <mergeCell ref="H2195:H2196"/>
    <mergeCell ref="I2195:L2196"/>
    <mergeCell ref="N2195:N2196"/>
    <mergeCell ref="O2195:O2196"/>
    <mergeCell ref="P2195:P2196"/>
    <mergeCell ref="Q2195:Q2196"/>
    <mergeCell ref="R2195:R2196"/>
    <mergeCell ref="S2195:S2196"/>
    <mergeCell ref="T2195:T2196"/>
    <mergeCell ref="V2195:V2196"/>
    <mergeCell ref="H2198:H2199"/>
    <mergeCell ref="I2198:L2199"/>
    <mergeCell ref="N2198:N2199"/>
    <mergeCell ref="O2198:O2199"/>
    <mergeCell ref="P2198:P2199"/>
    <mergeCell ref="Q2198:Q2199"/>
    <mergeCell ref="R2198:R2199"/>
    <mergeCell ref="S2198:S2199"/>
    <mergeCell ref="T2198:T2199"/>
    <mergeCell ref="V2198:V2199"/>
    <mergeCell ref="I2202:L2203"/>
    <mergeCell ref="N2202:S2203"/>
    <mergeCell ref="I2207:L2207"/>
    <mergeCell ref="P2207:U2207"/>
    <mergeCell ref="I2208:L2208"/>
    <mergeCell ref="P2208:U2208"/>
    <mergeCell ref="I2209:L2209"/>
    <mergeCell ref="P2209:U2209"/>
    <mergeCell ref="I2210:L2210"/>
    <mergeCell ref="P2210:U2210"/>
    <mergeCell ref="H2215:H2216"/>
    <mergeCell ref="I2215:L2216"/>
    <mergeCell ref="N2215:N2216"/>
    <mergeCell ref="O2215:O2216"/>
    <mergeCell ref="P2215:P2216"/>
    <mergeCell ref="Q2215:Q2216"/>
    <mergeCell ref="R2215:R2216"/>
    <mergeCell ref="S2215:S2216"/>
    <mergeCell ref="T2215:T2216"/>
    <mergeCell ref="V2215:V2216"/>
    <mergeCell ref="H2218:H2219"/>
    <mergeCell ref="I2218:L2219"/>
    <mergeCell ref="N2218:N2219"/>
    <mergeCell ref="O2218:O2219"/>
    <mergeCell ref="P2218:P2219"/>
    <mergeCell ref="Q2218:Q2219"/>
    <mergeCell ref="R2218:R2219"/>
    <mergeCell ref="S2218:S2219"/>
    <mergeCell ref="T2218:T2219"/>
    <mergeCell ref="V2218:V2219"/>
    <mergeCell ref="I2222:L2223"/>
    <mergeCell ref="N2222:S2223"/>
    <mergeCell ref="I2227:L2227"/>
    <mergeCell ref="P2227:U2227"/>
    <mergeCell ref="I2228:L2228"/>
    <mergeCell ref="P2228:U2228"/>
    <mergeCell ref="I2229:L2229"/>
    <mergeCell ref="P2229:U2229"/>
    <mergeCell ref="I2230:L2230"/>
    <mergeCell ref="P2230:U2230"/>
    <mergeCell ref="H2235:H2236"/>
    <mergeCell ref="I2235:L2236"/>
    <mergeCell ref="N2235:N2236"/>
    <mergeCell ref="O2235:O2236"/>
    <mergeCell ref="P2235:P2236"/>
    <mergeCell ref="Q2235:Q2236"/>
    <mergeCell ref="R2235:R2236"/>
    <mergeCell ref="S2235:S2236"/>
    <mergeCell ref="T2235:T2236"/>
    <mergeCell ref="V2235:V2236"/>
    <mergeCell ref="H2238:H2239"/>
    <mergeCell ref="I2238:L2239"/>
    <mergeCell ref="N2238:N2239"/>
    <mergeCell ref="O2238:O2239"/>
    <mergeCell ref="P2238:P2239"/>
    <mergeCell ref="Q2238:Q2239"/>
    <mergeCell ref="R2238:R2239"/>
    <mergeCell ref="S2238:S2239"/>
    <mergeCell ref="T2238:T2239"/>
    <mergeCell ref="V2238:V2239"/>
    <mergeCell ref="I2242:L2243"/>
    <mergeCell ref="N2242:S2243"/>
    <mergeCell ref="I2247:L2247"/>
    <mergeCell ref="P2247:U2247"/>
    <mergeCell ref="I2248:L2248"/>
    <mergeCell ref="P2248:U2248"/>
    <mergeCell ref="I2249:L2249"/>
    <mergeCell ref="P2249:U2249"/>
    <mergeCell ref="I2250:L2250"/>
    <mergeCell ref="P2250:U2250"/>
    <mergeCell ref="H2255:H2256"/>
    <mergeCell ref="I2255:L2256"/>
    <mergeCell ref="N2255:N2256"/>
    <mergeCell ref="O2255:O2256"/>
    <mergeCell ref="P2255:P2256"/>
    <mergeCell ref="Q2255:Q2256"/>
    <mergeCell ref="R2255:R2256"/>
    <mergeCell ref="S2255:S2256"/>
    <mergeCell ref="T2255:T2256"/>
    <mergeCell ref="V2255:V2256"/>
    <mergeCell ref="H2258:H2259"/>
    <mergeCell ref="I2258:L2259"/>
    <mergeCell ref="N2258:N2259"/>
    <mergeCell ref="O2258:O2259"/>
    <mergeCell ref="P2258:P2259"/>
    <mergeCell ref="Q2258:Q2259"/>
    <mergeCell ref="R2258:R2259"/>
    <mergeCell ref="S2258:S2259"/>
    <mergeCell ref="T2258:T2259"/>
    <mergeCell ref="V2258:V2259"/>
    <mergeCell ref="I2262:L2263"/>
    <mergeCell ref="N2262:S2263"/>
    <mergeCell ref="I2267:L2267"/>
    <mergeCell ref="P2267:U2267"/>
    <mergeCell ref="I2268:L2268"/>
    <mergeCell ref="P2268:U2268"/>
    <mergeCell ref="I2269:L2269"/>
    <mergeCell ref="P2269:U2269"/>
    <mergeCell ref="I2270:L2270"/>
    <mergeCell ref="P2270:U2270"/>
    <mergeCell ref="H2275:H2276"/>
    <mergeCell ref="I2275:L2276"/>
    <mergeCell ref="N2275:N2276"/>
    <mergeCell ref="O2275:O2276"/>
    <mergeCell ref="P2275:P2276"/>
    <mergeCell ref="Q2275:Q2276"/>
    <mergeCell ref="R2275:R2276"/>
    <mergeCell ref="S2275:S2276"/>
    <mergeCell ref="T2275:T2276"/>
    <mergeCell ref="V2275:V2276"/>
    <mergeCell ref="H2278:H2279"/>
    <mergeCell ref="I2278:L2279"/>
    <mergeCell ref="N2278:N2279"/>
    <mergeCell ref="O2278:O2279"/>
    <mergeCell ref="P2278:P2279"/>
    <mergeCell ref="Q2278:Q2279"/>
    <mergeCell ref="R2278:R2279"/>
    <mergeCell ref="S2278:S2279"/>
    <mergeCell ref="T2278:T2279"/>
    <mergeCell ref="V2278:V2279"/>
    <mergeCell ref="I2282:L2283"/>
    <mergeCell ref="N2282:S2283"/>
    <mergeCell ref="I2287:L2287"/>
    <mergeCell ref="P2287:U2287"/>
    <mergeCell ref="I2288:L2288"/>
    <mergeCell ref="P2288:U2288"/>
    <mergeCell ref="I2289:L2289"/>
    <mergeCell ref="P2289:U2289"/>
    <mergeCell ref="I2290:L2290"/>
    <mergeCell ref="P2290:U2290"/>
    <mergeCell ref="H2295:H2296"/>
    <mergeCell ref="I2295:L2296"/>
    <mergeCell ref="N2295:N2296"/>
    <mergeCell ref="O2295:O2296"/>
    <mergeCell ref="P2295:P2296"/>
    <mergeCell ref="Q2295:Q2296"/>
    <mergeCell ref="R2295:R2296"/>
    <mergeCell ref="S2295:S2296"/>
    <mergeCell ref="T2295:T2296"/>
    <mergeCell ref="V2295:V2296"/>
    <mergeCell ref="H2298:H2299"/>
    <mergeCell ref="I2298:L2299"/>
    <mergeCell ref="N2298:N2299"/>
    <mergeCell ref="O2298:O2299"/>
    <mergeCell ref="P2298:P2299"/>
    <mergeCell ref="Q2298:Q2299"/>
    <mergeCell ref="R2298:R2299"/>
    <mergeCell ref="S2298:S2299"/>
    <mergeCell ref="T2298:T2299"/>
    <mergeCell ref="V2298:V2299"/>
    <mergeCell ref="I2302:L2303"/>
    <mergeCell ref="N2302:S2303"/>
    <mergeCell ref="I2307:L2307"/>
    <mergeCell ref="P2307:U2307"/>
    <mergeCell ref="I2308:L2308"/>
    <mergeCell ref="P2308:U2308"/>
    <mergeCell ref="I2309:L2309"/>
    <mergeCell ref="P2309:U2309"/>
    <mergeCell ref="I2310:L2310"/>
    <mergeCell ref="P2310:U2310"/>
    <mergeCell ref="H2315:H2316"/>
    <mergeCell ref="I2315:L2316"/>
    <mergeCell ref="N2315:N2316"/>
    <mergeCell ref="O2315:O2316"/>
    <mergeCell ref="P2315:P2316"/>
    <mergeCell ref="Q2315:Q2316"/>
    <mergeCell ref="R2315:R2316"/>
    <mergeCell ref="S2315:S2316"/>
    <mergeCell ref="T2315:T2316"/>
    <mergeCell ref="V2315:V2316"/>
    <mergeCell ref="H2318:H2319"/>
    <mergeCell ref="I2318:L2319"/>
    <mergeCell ref="N2318:N2319"/>
    <mergeCell ref="O2318:O2319"/>
    <mergeCell ref="P2318:P2319"/>
    <mergeCell ref="Q2318:Q2319"/>
    <mergeCell ref="R2318:R2319"/>
    <mergeCell ref="S2318:S2319"/>
    <mergeCell ref="T2318:T2319"/>
    <mergeCell ref="V2318:V2319"/>
    <mergeCell ref="I2322:L2323"/>
    <mergeCell ref="N2322:S2323"/>
    <mergeCell ref="I2327:L2327"/>
    <mergeCell ref="P2327:U2327"/>
    <mergeCell ref="I2328:L2328"/>
    <mergeCell ref="P2328:U2328"/>
    <mergeCell ref="I2329:L2329"/>
    <mergeCell ref="P2329:U2329"/>
    <mergeCell ref="I2330:L2330"/>
    <mergeCell ref="P2330:U2330"/>
    <mergeCell ref="H2335:H2336"/>
    <mergeCell ref="I2335:L2336"/>
    <mergeCell ref="N2335:N2336"/>
    <mergeCell ref="O2335:O2336"/>
    <mergeCell ref="P2335:P2336"/>
    <mergeCell ref="Q2335:Q2336"/>
    <mergeCell ref="R2335:R2336"/>
    <mergeCell ref="S2335:S2336"/>
    <mergeCell ref="T2335:T2336"/>
    <mergeCell ref="V2335:V2336"/>
    <mergeCell ref="H2338:H2339"/>
    <mergeCell ref="I2338:L2339"/>
    <mergeCell ref="N2338:N2339"/>
    <mergeCell ref="O2338:O2339"/>
    <mergeCell ref="P2338:P2339"/>
    <mergeCell ref="Q2338:Q2339"/>
    <mergeCell ref="R2338:R2339"/>
    <mergeCell ref="S2338:S2339"/>
    <mergeCell ref="T2338:T2339"/>
    <mergeCell ref="V2338:V2339"/>
    <mergeCell ref="I2342:L2343"/>
    <mergeCell ref="N2342:S2343"/>
    <mergeCell ref="I2347:L2347"/>
    <mergeCell ref="P2347:U2347"/>
    <mergeCell ref="I2348:L2348"/>
    <mergeCell ref="P2348:U2348"/>
    <mergeCell ref="I2349:L2349"/>
    <mergeCell ref="P2349:U2349"/>
    <mergeCell ref="I2350:L2350"/>
    <mergeCell ref="P2350:U2350"/>
    <mergeCell ref="H2355:H2356"/>
    <mergeCell ref="I2355:L2356"/>
    <mergeCell ref="N2355:N2356"/>
    <mergeCell ref="O2355:O2356"/>
    <mergeCell ref="P2355:P2356"/>
    <mergeCell ref="Q2355:Q2356"/>
    <mergeCell ref="R2355:R2356"/>
    <mergeCell ref="S2355:S2356"/>
    <mergeCell ref="T2355:T2356"/>
    <mergeCell ref="V2355:V2356"/>
    <mergeCell ref="H2358:H2359"/>
    <mergeCell ref="I2358:L2359"/>
    <mergeCell ref="N2358:N2359"/>
    <mergeCell ref="O2358:O2359"/>
    <mergeCell ref="P2358:P2359"/>
    <mergeCell ref="Q2358:Q2359"/>
    <mergeCell ref="R2358:R2359"/>
    <mergeCell ref="S2358:S2359"/>
    <mergeCell ref="T2358:T2359"/>
    <mergeCell ref="V2358:V2359"/>
    <mergeCell ref="I2362:L2363"/>
    <mergeCell ref="N2362:S2363"/>
    <mergeCell ref="I2367:L2367"/>
    <mergeCell ref="P2367:U2367"/>
    <mergeCell ref="I2368:L2368"/>
    <mergeCell ref="P2368:U2368"/>
    <mergeCell ref="I2369:L2369"/>
    <mergeCell ref="P2369:U2369"/>
    <mergeCell ref="I2370:L2370"/>
    <mergeCell ref="P2370:U2370"/>
    <mergeCell ref="H2375:H2376"/>
    <mergeCell ref="I2375:L2376"/>
    <mergeCell ref="N2375:N2376"/>
    <mergeCell ref="O2375:O2376"/>
    <mergeCell ref="P2375:P2376"/>
    <mergeCell ref="Q2375:Q2376"/>
    <mergeCell ref="R2375:R2376"/>
    <mergeCell ref="S2375:S2376"/>
    <mergeCell ref="T2375:T2376"/>
    <mergeCell ref="V2375:V2376"/>
    <mergeCell ref="H2378:H2379"/>
    <mergeCell ref="I2378:L2379"/>
    <mergeCell ref="N2378:N2379"/>
    <mergeCell ref="O2378:O2379"/>
    <mergeCell ref="P2378:P2379"/>
    <mergeCell ref="Q2378:Q2379"/>
    <mergeCell ref="R2378:R2379"/>
    <mergeCell ref="S2378:S2379"/>
    <mergeCell ref="T2378:T2379"/>
    <mergeCell ref="V2378:V2379"/>
    <mergeCell ref="I2382:L2383"/>
    <mergeCell ref="N2382:S2383"/>
    <mergeCell ref="I2387:L2387"/>
    <mergeCell ref="P2387:U2387"/>
    <mergeCell ref="I2388:L2388"/>
    <mergeCell ref="P2388:U2388"/>
    <mergeCell ref="I2389:L2389"/>
    <mergeCell ref="P2389:U2389"/>
    <mergeCell ref="I2390:L2390"/>
    <mergeCell ref="P2390:U2390"/>
    <mergeCell ref="H2395:H2396"/>
    <mergeCell ref="I2395:L2396"/>
    <mergeCell ref="N2395:N2396"/>
    <mergeCell ref="O2395:O2396"/>
    <mergeCell ref="P2395:P2396"/>
    <mergeCell ref="Q2395:Q2396"/>
    <mergeCell ref="R2395:R2396"/>
    <mergeCell ref="S2395:S2396"/>
    <mergeCell ref="T2395:T2396"/>
    <mergeCell ref="V2395:V2396"/>
    <mergeCell ref="H2398:H2399"/>
    <mergeCell ref="I2398:L2399"/>
    <mergeCell ref="N2398:N2399"/>
    <mergeCell ref="O2398:O2399"/>
    <mergeCell ref="P2398:P2399"/>
    <mergeCell ref="Q2398:Q2399"/>
    <mergeCell ref="R2398:R2399"/>
    <mergeCell ref="S2398:S2399"/>
    <mergeCell ref="T2398:T2399"/>
    <mergeCell ref="V2398:V2399"/>
    <mergeCell ref="I2402:L2403"/>
    <mergeCell ref="N2402:S2403"/>
    <mergeCell ref="I2407:L2407"/>
    <mergeCell ref="P2407:U2407"/>
    <mergeCell ref="I2408:L2408"/>
    <mergeCell ref="P2408:U2408"/>
    <mergeCell ref="I2409:L2409"/>
    <mergeCell ref="P2409:U2409"/>
    <mergeCell ref="I2410:L2410"/>
    <mergeCell ref="P2410:U2410"/>
    <mergeCell ref="H2415:H2416"/>
    <mergeCell ref="I2415:L2416"/>
    <mergeCell ref="N2415:N2416"/>
    <mergeCell ref="O2415:O2416"/>
    <mergeCell ref="P2415:P2416"/>
    <mergeCell ref="Q2415:Q2416"/>
    <mergeCell ref="R2415:R2416"/>
    <mergeCell ref="S2415:S2416"/>
    <mergeCell ref="T2415:T2416"/>
    <mergeCell ref="V2415:V2416"/>
    <mergeCell ref="H2418:H2419"/>
    <mergeCell ref="I2418:L2419"/>
    <mergeCell ref="N2418:N2419"/>
    <mergeCell ref="O2418:O2419"/>
    <mergeCell ref="P2418:P2419"/>
    <mergeCell ref="Q2418:Q2419"/>
    <mergeCell ref="R2418:R2419"/>
    <mergeCell ref="S2418:S2419"/>
    <mergeCell ref="T2418:T2419"/>
    <mergeCell ref="V2418:V2419"/>
    <mergeCell ref="I2422:L2423"/>
    <mergeCell ref="N2422:S2423"/>
    <mergeCell ref="I2427:L2427"/>
    <mergeCell ref="P2427:U2427"/>
    <mergeCell ref="I2428:L2428"/>
    <mergeCell ref="P2428:U2428"/>
    <mergeCell ref="I2429:L2429"/>
    <mergeCell ref="P2429:U2429"/>
    <mergeCell ref="I2430:L2430"/>
    <mergeCell ref="P2430:U2430"/>
    <mergeCell ref="H2435:H2436"/>
    <mergeCell ref="I2435:L2436"/>
    <mergeCell ref="N2435:N2436"/>
    <mergeCell ref="O2435:O2436"/>
    <mergeCell ref="P2435:P2436"/>
    <mergeCell ref="Q2435:Q2436"/>
    <mergeCell ref="R2435:R2436"/>
    <mergeCell ref="S2435:S2436"/>
    <mergeCell ref="T2435:T2436"/>
    <mergeCell ref="V2435:V2436"/>
    <mergeCell ref="H2438:H2439"/>
    <mergeCell ref="I2438:L2439"/>
    <mergeCell ref="N2438:N2439"/>
    <mergeCell ref="O2438:O2439"/>
    <mergeCell ref="P2438:P2439"/>
    <mergeCell ref="Q2438:Q2439"/>
    <mergeCell ref="R2438:R2439"/>
    <mergeCell ref="S2438:S2439"/>
    <mergeCell ref="T2438:T2439"/>
    <mergeCell ref="V2438:V2439"/>
    <mergeCell ref="I2442:L2443"/>
    <mergeCell ref="N2442:S2443"/>
    <mergeCell ref="I2447:L2447"/>
    <mergeCell ref="P2447:U2447"/>
    <mergeCell ref="I2448:L2448"/>
    <mergeCell ref="P2448:U2448"/>
    <mergeCell ref="I2449:L2449"/>
    <mergeCell ref="P2449:U2449"/>
    <mergeCell ref="I2450:L2450"/>
    <mergeCell ref="P2450:U2450"/>
    <mergeCell ref="H2455:H2456"/>
    <mergeCell ref="I2455:L2456"/>
    <mergeCell ref="N2455:N2456"/>
    <mergeCell ref="O2455:O2456"/>
    <mergeCell ref="P2455:P2456"/>
    <mergeCell ref="Q2455:Q2456"/>
    <mergeCell ref="R2455:R2456"/>
    <mergeCell ref="S2455:S2456"/>
    <mergeCell ref="T2455:T2456"/>
    <mergeCell ref="V2455:V2456"/>
    <mergeCell ref="H2458:H2459"/>
    <mergeCell ref="I2458:L2459"/>
    <mergeCell ref="N2458:N2459"/>
    <mergeCell ref="O2458:O2459"/>
    <mergeCell ref="P2458:P2459"/>
    <mergeCell ref="Q2458:Q2459"/>
    <mergeCell ref="R2458:R2459"/>
    <mergeCell ref="S2458:S2459"/>
    <mergeCell ref="T2458:T2459"/>
    <mergeCell ref="V2458:V2459"/>
    <mergeCell ref="I2462:L2463"/>
    <mergeCell ref="N2462:S2463"/>
    <mergeCell ref="I2467:L2467"/>
    <mergeCell ref="P2467:U2467"/>
    <mergeCell ref="I2468:L2468"/>
    <mergeCell ref="P2468:U2468"/>
    <mergeCell ref="I2469:L2469"/>
    <mergeCell ref="P2469:U2469"/>
    <mergeCell ref="I2470:L2470"/>
    <mergeCell ref="P2470:U2470"/>
    <mergeCell ref="H2475:H2476"/>
    <mergeCell ref="I2475:L2476"/>
    <mergeCell ref="N2475:N2476"/>
    <mergeCell ref="O2475:O2476"/>
    <mergeCell ref="P2475:P2476"/>
    <mergeCell ref="Q2475:Q2476"/>
    <mergeCell ref="R2475:R2476"/>
    <mergeCell ref="S2475:S2476"/>
    <mergeCell ref="T2475:T2476"/>
    <mergeCell ref="V2475:V2476"/>
    <mergeCell ref="H2478:H2479"/>
    <mergeCell ref="I2478:L2479"/>
    <mergeCell ref="N2478:N2479"/>
    <mergeCell ref="O2478:O2479"/>
    <mergeCell ref="P2478:P2479"/>
    <mergeCell ref="Q2478:Q2479"/>
    <mergeCell ref="R2478:R2479"/>
    <mergeCell ref="S2478:S2479"/>
    <mergeCell ref="T2478:T2479"/>
    <mergeCell ref="V2478:V2479"/>
    <mergeCell ref="I2482:L2483"/>
    <mergeCell ref="N2482:S2483"/>
    <mergeCell ref="I2487:L2487"/>
    <mergeCell ref="P2487:U2487"/>
    <mergeCell ref="I2488:L2488"/>
    <mergeCell ref="P2488:U2488"/>
    <mergeCell ref="I2489:L2489"/>
    <mergeCell ref="P2489:U2489"/>
    <mergeCell ref="I2490:L2490"/>
    <mergeCell ref="P2490:U2490"/>
    <mergeCell ref="H2495:H2496"/>
    <mergeCell ref="I2495:L2496"/>
    <mergeCell ref="N2495:N2496"/>
    <mergeCell ref="O2495:O2496"/>
    <mergeCell ref="P2495:P2496"/>
    <mergeCell ref="Q2495:Q2496"/>
    <mergeCell ref="R2495:R2496"/>
    <mergeCell ref="S2495:S2496"/>
    <mergeCell ref="T2495:T2496"/>
    <mergeCell ref="V2495:V2496"/>
    <mergeCell ref="H2498:H2499"/>
    <mergeCell ref="I2498:L2499"/>
    <mergeCell ref="N2498:N2499"/>
    <mergeCell ref="O2498:O2499"/>
    <mergeCell ref="P2498:P2499"/>
    <mergeCell ref="Q2498:Q2499"/>
    <mergeCell ref="R2498:R2499"/>
    <mergeCell ref="S2498:S2499"/>
    <mergeCell ref="T2498:T2499"/>
    <mergeCell ref="V2498:V2499"/>
    <mergeCell ref="I2502:L2503"/>
    <mergeCell ref="N2502:S2503"/>
    <mergeCell ref="I2507:L2507"/>
    <mergeCell ref="P2507:U2507"/>
    <mergeCell ref="I2508:L2508"/>
    <mergeCell ref="P2508:U2508"/>
    <mergeCell ref="I2509:L2509"/>
    <mergeCell ref="P2509:U2509"/>
    <mergeCell ref="I2510:L2510"/>
    <mergeCell ref="P2510:U2510"/>
    <mergeCell ref="I2515:L2515"/>
    <mergeCell ref="N2515:N2516"/>
    <mergeCell ref="O2515:O2516"/>
    <mergeCell ref="P2515:P2516"/>
    <mergeCell ref="Q2515:Q2516"/>
    <mergeCell ref="R2515:R2516"/>
    <mergeCell ref="S2515:S2516"/>
    <mergeCell ref="T2515:T2516"/>
    <mergeCell ref="V2515:V2516"/>
    <mergeCell ref="I2516:L2516"/>
    <mergeCell ref="I2518:L2518"/>
    <mergeCell ref="N2518:N2519"/>
    <mergeCell ref="O2518:O2519"/>
    <mergeCell ref="P2518:P2519"/>
    <mergeCell ref="Q2518:Q2519"/>
    <mergeCell ref="R2518:R2519"/>
    <mergeCell ref="S2518:S2519"/>
    <mergeCell ref="T2518:T2519"/>
    <mergeCell ref="V2518:V2519"/>
    <mergeCell ref="I2519:L2519"/>
    <mergeCell ref="I2522:L2523"/>
    <mergeCell ref="N2522:S2522"/>
    <mergeCell ref="N2523:S2523"/>
    <mergeCell ref="I2527:L2527"/>
    <mergeCell ref="P2527:U2527"/>
    <mergeCell ref="I2528:L2528"/>
    <mergeCell ref="P2528:U2528"/>
    <mergeCell ref="I2529:L2529"/>
    <mergeCell ref="P2529:U2529"/>
    <mergeCell ref="I2530:L2530"/>
    <mergeCell ref="P2530:U2530"/>
    <mergeCell ref="I2531:L2531"/>
    <mergeCell ref="P2531:U2531"/>
    <mergeCell ref="I2536:L2536"/>
    <mergeCell ref="N2536:N2537"/>
    <mergeCell ref="O2536:O2537"/>
    <mergeCell ref="P2536:P2537"/>
    <mergeCell ref="Q2536:Q2537"/>
    <mergeCell ref="R2536:R2537"/>
    <mergeCell ref="S2536:S2537"/>
    <mergeCell ref="T2536:T2537"/>
    <mergeCell ref="V2536:V2537"/>
    <mergeCell ref="I2537:L2537"/>
    <mergeCell ref="I2539:L2539"/>
    <mergeCell ref="N2539:N2540"/>
    <mergeCell ref="O2539:O2540"/>
    <mergeCell ref="P2539:P2540"/>
    <mergeCell ref="Q2539:Q2540"/>
    <mergeCell ref="R2539:R2540"/>
    <mergeCell ref="S2539:S2540"/>
    <mergeCell ref="T2539:T2540"/>
    <mergeCell ref="V2539:V2540"/>
    <mergeCell ref="I2540:L2540"/>
    <mergeCell ref="I2543:L2544"/>
    <mergeCell ref="N2543:S2543"/>
    <mergeCell ref="N2544:S2544"/>
    <mergeCell ref="I2548:L2548"/>
    <mergeCell ref="P2548:U2548"/>
    <mergeCell ref="I2549:L2549"/>
    <mergeCell ref="P2549:U2549"/>
    <mergeCell ref="I2550:L2550"/>
    <mergeCell ref="P2550:U2550"/>
    <mergeCell ref="I2551:L2551"/>
    <mergeCell ref="P2551:U2551"/>
    <mergeCell ref="I2552:L2552"/>
    <mergeCell ref="P2552:U2552"/>
    <mergeCell ref="I2557:L2557"/>
    <mergeCell ref="N2557:N2558"/>
    <mergeCell ref="O2557:O2558"/>
    <mergeCell ref="P2557:P2558"/>
    <mergeCell ref="Q2557:Q2558"/>
    <mergeCell ref="R2557:R2558"/>
    <mergeCell ref="S2557:S2558"/>
    <mergeCell ref="T2557:T2558"/>
    <mergeCell ref="V2557:V2558"/>
    <mergeCell ref="I2558:L2558"/>
    <mergeCell ref="I2560:L2560"/>
    <mergeCell ref="N2560:N2561"/>
    <mergeCell ref="O2560:O2561"/>
    <mergeCell ref="P2560:P2561"/>
    <mergeCell ref="Q2560:Q2561"/>
    <mergeCell ref="R2560:R2561"/>
    <mergeCell ref="S2560:S2561"/>
    <mergeCell ref="T2560:T2561"/>
    <mergeCell ref="V2560:V2561"/>
    <mergeCell ref="I2561:L2561"/>
    <mergeCell ref="I2564:L2565"/>
    <mergeCell ref="N2564:S2564"/>
    <mergeCell ref="N2565:S2565"/>
    <mergeCell ref="I2569:L2569"/>
    <mergeCell ref="P2569:U2569"/>
    <mergeCell ref="I2570:L2570"/>
    <mergeCell ref="P2570:U2570"/>
    <mergeCell ref="I2571:L2571"/>
    <mergeCell ref="P2571:U2571"/>
    <mergeCell ref="I2572:L2572"/>
    <mergeCell ref="P2572:U2572"/>
    <mergeCell ref="I2573:L2573"/>
    <mergeCell ref="P2573:U2573"/>
    <mergeCell ref="I2578:L2578"/>
    <mergeCell ref="N2578:N2579"/>
    <mergeCell ref="O2578:O2579"/>
    <mergeCell ref="P2578:P2579"/>
    <mergeCell ref="Q2578:Q2579"/>
    <mergeCell ref="R2578:R2579"/>
    <mergeCell ref="S2578:S2579"/>
    <mergeCell ref="T2578:T2579"/>
    <mergeCell ref="V2578:V2579"/>
    <mergeCell ref="I2579:L2579"/>
    <mergeCell ref="I2581:L2581"/>
    <mergeCell ref="N2581:N2582"/>
    <mergeCell ref="O2581:O2582"/>
    <mergeCell ref="P2581:P2582"/>
    <mergeCell ref="Q2581:Q2582"/>
    <mergeCell ref="R2581:R2582"/>
    <mergeCell ref="S2581:S2582"/>
    <mergeCell ref="T2581:T2582"/>
    <mergeCell ref="V2581:V2582"/>
    <mergeCell ref="I2582:L2582"/>
    <mergeCell ref="I2585:L2586"/>
    <mergeCell ref="N2585:S2585"/>
    <mergeCell ref="N2586:S2586"/>
    <mergeCell ref="I2590:L2590"/>
    <mergeCell ref="P2590:U2590"/>
    <mergeCell ref="I2591:L2591"/>
    <mergeCell ref="P2591:U2591"/>
    <mergeCell ref="I2592:L2592"/>
    <mergeCell ref="P2592:U2592"/>
    <mergeCell ref="I2593:L2593"/>
    <mergeCell ref="P2593:U2593"/>
    <mergeCell ref="I2594:L2594"/>
    <mergeCell ref="P2594:U2594"/>
    <mergeCell ref="I2599:L2599"/>
    <mergeCell ref="N2599:N2600"/>
    <mergeCell ref="O2599:O2600"/>
    <mergeCell ref="P2599:P2600"/>
    <mergeCell ref="Q2599:Q2600"/>
    <mergeCell ref="R2599:R2600"/>
    <mergeCell ref="S2599:S2600"/>
    <mergeCell ref="T2599:T2600"/>
    <mergeCell ref="V2599:V2600"/>
    <mergeCell ref="I2600:L2600"/>
    <mergeCell ref="I2602:L2602"/>
    <mergeCell ref="N2602:N2603"/>
    <mergeCell ref="O2602:O2603"/>
    <mergeCell ref="P2602:P2603"/>
    <mergeCell ref="Q2602:Q2603"/>
    <mergeCell ref="R2602:R2603"/>
    <mergeCell ref="S2602:S2603"/>
    <mergeCell ref="T2602:T2603"/>
    <mergeCell ref="V2602:V2603"/>
    <mergeCell ref="I2603:L2603"/>
    <mergeCell ref="I2606:L2607"/>
    <mergeCell ref="N2606:S2606"/>
    <mergeCell ref="N2607:S2607"/>
    <mergeCell ref="I2611:L2611"/>
    <mergeCell ref="P2611:U2611"/>
    <mergeCell ref="I2612:L2612"/>
    <mergeCell ref="P2612:U2612"/>
    <mergeCell ref="I2613:L2613"/>
    <mergeCell ref="P2613:U2613"/>
    <mergeCell ref="I2614:L2614"/>
    <mergeCell ref="P2614:U2614"/>
    <mergeCell ref="I2615:L2615"/>
    <mergeCell ref="P2615:U2615"/>
    <mergeCell ref="I2620:L2620"/>
    <mergeCell ref="N2620:N2621"/>
    <mergeCell ref="O2620:O2621"/>
    <mergeCell ref="P2620:P2621"/>
    <mergeCell ref="Q2620:Q2621"/>
    <mergeCell ref="R2620:R2621"/>
    <mergeCell ref="S2620:S2621"/>
    <mergeCell ref="T2620:T2621"/>
    <mergeCell ref="V2620:V2621"/>
    <mergeCell ref="I2621:L2621"/>
    <mergeCell ref="I2623:L2623"/>
    <mergeCell ref="N2623:N2624"/>
    <mergeCell ref="O2623:O2624"/>
    <mergeCell ref="P2623:P2624"/>
    <mergeCell ref="Q2623:Q2624"/>
    <mergeCell ref="R2623:R2624"/>
    <mergeCell ref="S2623:S2624"/>
    <mergeCell ref="T2623:T2624"/>
    <mergeCell ref="V2623:V2624"/>
    <mergeCell ref="I2624:L2624"/>
    <mergeCell ref="I2627:L2628"/>
    <mergeCell ref="N2627:S2627"/>
    <mergeCell ref="N2628:S2628"/>
    <mergeCell ref="I2632:L2632"/>
    <mergeCell ref="P2632:U2632"/>
    <mergeCell ref="I2633:L2633"/>
    <mergeCell ref="P2633:U2633"/>
    <mergeCell ref="I2634:L2634"/>
    <mergeCell ref="P2634:U2634"/>
    <mergeCell ref="I2635:L2635"/>
    <mergeCell ref="P2635:U2635"/>
    <mergeCell ref="I2636:L2636"/>
    <mergeCell ref="P2636:U2636"/>
    <mergeCell ref="I2641:L2641"/>
    <mergeCell ref="N2641:N2642"/>
    <mergeCell ref="O2641:O2642"/>
    <mergeCell ref="P2641:P2642"/>
    <mergeCell ref="Q2641:Q2642"/>
    <mergeCell ref="R2641:R2642"/>
    <mergeCell ref="S2641:S2642"/>
    <mergeCell ref="T2641:T2642"/>
    <mergeCell ref="V2641:V2642"/>
    <mergeCell ref="I2642:L2642"/>
    <mergeCell ref="I2644:L2644"/>
    <mergeCell ref="N2644:N2645"/>
    <mergeCell ref="O2644:O2645"/>
    <mergeCell ref="P2644:P2645"/>
    <mergeCell ref="Q2644:Q2645"/>
    <mergeCell ref="R2644:R2645"/>
    <mergeCell ref="S2644:S2645"/>
    <mergeCell ref="T2644:T2645"/>
    <mergeCell ref="V2644:V2645"/>
    <mergeCell ref="I2645:L2645"/>
    <mergeCell ref="I2648:L2649"/>
    <mergeCell ref="N2648:S2648"/>
    <mergeCell ref="N2649:S2649"/>
    <mergeCell ref="I2653:L2653"/>
    <mergeCell ref="P2653:U2653"/>
    <mergeCell ref="I2654:L2654"/>
    <mergeCell ref="P2654:U2654"/>
    <mergeCell ref="I2655:L2655"/>
    <mergeCell ref="P2655:U2655"/>
    <mergeCell ref="I2656:L2656"/>
    <mergeCell ref="P2656:U2656"/>
    <mergeCell ref="I2657:L2657"/>
    <mergeCell ref="P2657:U2657"/>
    <mergeCell ref="I2662:L2662"/>
    <mergeCell ref="N2662:N2663"/>
    <mergeCell ref="O2662:O2663"/>
    <mergeCell ref="P2662:P2663"/>
    <mergeCell ref="Q2662:Q2663"/>
    <mergeCell ref="R2662:R2663"/>
    <mergeCell ref="S2662:S2663"/>
    <mergeCell ref="T2662:T2663"/>
    <mergeCell ref="V2662:V2663"/>
    <mergeCell ref="I2663:L2663"/>
    <mergeCell ref="I2665:L2665"/>
    <mergeCell ref="N2665:N2666"/>
    <mergeCell ref="O2665:O2666"/>
    <mergeCell ref="P2665:P2666"/>
    <mergeCell ref="Q2665:Q2666"/>
    <mergeCell ref="R2665:R2666"/>
    <mergeCell ref="S2665:S2666"/>
    <mergeCell ref="T2665:T2666"/>
    <mergeCell ref="V2665:V2666"/>
    <mergeCell ref="I2666:L2666"/>
    <mergeCell ref="I2669:L2670"/>
    <mergeCell ref="N2669:S2669"/>
    <mergeCell ref="N2670:S2670"/>
    <mergeCell ref="I2674:L2674"/>
    <mergeCell ref="P2674:U2674"/>
    <mergeCell ref="I2675:L2675"/>
    <mergeCell ref="P2675:U2675"/>
    <mergeCell ref="I2676:L2676"/>
    <mergeCell ref="P2676:U2676"/>
    <mergeCell ref="I2677:L2677"/>
    <mergeCell ref="P2677:U2677"/>
    <mergeCell ref="I2678:L2678"/>
    <mergeCell ref="P2678:U2678"/>
    <mergeCell ref="I2683:L2683"/>
    <mergeCell ref="N2683:N2684"/>
    <mergeCell ref="O2683:O2684"/>
    <mergeCell ref="P2683:P2684"/>
    <mergeCell ref="Q2683:Q2684"/>
    <mergeCell ref="R2683:R2684"/>
    <mergeCell ref="S2683:S2684"/>
    <mergeCell ref="T2683:T2684"/>
    <mergeCell ref="V2683:V2684"/>
    <mergeCell ref="I2684:L2684"/>
    <mergeCell ref="I2686:L2686"/>
    <mergeCell ref="N2686:N2687"/>
    <mergeCell ref="O2686:O2687"/>
    <mergeCell ref="P2686:P2687"/>
    <mergeCell ref="Q2686:Q2687"/>
    <mergeCell ref="R2686:R2687"/>
    <mergeCell ref="S2686:S2687"/>
    <mergeCell ref="T2686:T2687"/>
    <mergeCell ref="V2686:V2687"/>
    <mergeCell ref="I2687:L2687"/>
    <mergeCell ref="I2690:L2691"/>
    <mergeCell ref="N2690:S2690"/>
    <mergeCell ref="N2691:S2691"/>
    <mergeCell ref="I2695:L2695"/>
    <mergeCell ref="P2695:U2695"/>
    <mergeCell ref="I2696:L2696"/>
    <mergeCell ref="P2696:U2696"/>
    <mergeCell ref="I2697:L2697"/>
    <mergeCell ref="P2697:U2697"/>
    <mergeCell ref="I2698:L2698"/>
    <mergeCell ref="P2698:U2698"/>
    <mergeCell ref="I2699:L2699"/>
    <mergeCell ref="P2699:U2699"/>
    <mergeCell ref="I2704:L2704"/>
    <mergeCell ref="N2704:N2705"/>
    <mergeCell ref="O2704:O2705"/>
    <mergeCell ref="P2704:P2705"/>
    <mergeCell ref="Q2704:Q2705"/>
    <mergeCell ref="R2704:R2705"/>
    <mergeCell ref="S2704:S2705"/>
    <mergeCell ref="T2704:T2705"/>
    <mergeCell ref="V2704:V2705"/>
    <mergeCell ref="I2705:L2705"/>
    <mergeCell ref="I2707:L2707"/>
    <mergeCell ref="N2707:N2708"/>
    <mergeCell ref="O2707:O2708"/>
    <mergeCell ref="P2707:P2708"/>
    <mergeCell ref="Q2707:Q2708"/>
    <mergeCell ref="R2707:R2708"/>
    <mergeCell ref="S2707:S2708"/>
    <mergeCell ref="T2707:T2708"/>
    <mergeCell ref="V2707:V2708"/>
    <mergeCell ref="I2708:L2708"/>
    <mergeCell ref="I2711:L2712"/>
    <mergeCell ref="N2711:S2711"/>
    <mergeCell ref="N2712:S2712"/>
    <mergeCell ref="I2716:L2716"/>
    <mergeCell ref="P2716:U2716"/>
    <mergeCell ref="I2717:L2717"/>
    <mergeCell ref="P2717:U2717"/>
    <mergeCell ref="I2718:L2718"/>
    <mergeCell ref="P2718:U2718"/>
    <mergeCell ref="I2719:L2719"/>
    <mergeCell ref="P2719:U2719"/>
    <mergeCell ref="I2720:L2720"/>
    <mergeCell ref="P2720:U2720"/>
    <mergeCell ref="I2725:L2725"/>
    <mergeCell ref="N2725:N2726"/>
    <mergeCell ref="O2725:O2726"/>
    <mergeCell ref="P2725:P2726"/>
    <mergeCell ref="Q2725:Q2726"/>
    <mergeCell ref="R2725:R2726"/>
    <mergeCell ref="S2725:S2726"/>
    <mergeCell ref="T2725:T2726"/>
    <mergeCell ref="V2725:V2726"/>
    <mergeCell ref="I2726:L2726"/>
    <mergeCell ref="I2728:L2728"/>
    <mergeCell ref="N2728:N2729"/>
    <mergeCell ref="O2728:O2729"/>
    <mergeCell ref="P2728:P2729"/>
    <mergeCell ref="Q2728:Q2729"/>
    <mergeCell ref="R2728:R2729"/>
    <mergeCell ref="S2728:S2729"/>
    <mergeCell ref="T2728:T2729"/>
    <mergeCell ref="V2728:V2729"/>
    <mergeCell ref="I2729:L2729"/>
    <mergeCell ref="I2732:L2733"/>
    <mergeCell ref="N2732:S2732"/>
    <mergeCell ref="N2733:S2733"/>
    <mergeCell ref="I2737:L2737"/>
    <mergeCell ref="P2737:U2737"/>
    <mergeCell ref="I2738:L2738"/>
    <mergeCell ref="P2738:U2738"/>
    <mergeCell ref="I2739:L2739"/>
    <mergeCell ref="P2739:U2739"/>
    <mergeCell ref="I2740:L2740"/>
    <mergeCell ref="P2740:U2740"/>
    <mergeCell ref="I2741:L2741"/>
    <mergeCell ref="P2741:U2741"/>
    <mergeCell ref="I2746:L2746"/>
    <mergeCell ref="N2746:N2747"/>
    <mergeCell ref="O2746:O2747"/>
    <mergeCell ref="P2746:P2747"/>
    <mergeCell ref="Q2746:Q2747"/>
    <mergeCell ref="R2746:R2747"/>
    <mergeCell ref="S2746:S2747"/>
    <mergeCell ref="T2746:T2747"/>
    <mergeCell ref="V2746:V2747"/>
    <mergeCell ref="I2747:L2747"/>
    <mergeCell ref="I2749:L2749"/>
    <mergeCell ref="N2749:N2750"/>
    <mergeCell ref="O2749:O2750"/>
    <mergeCell ref="P2749:P2750"/>
    <mergeCell ref="Q2749:Q2750"/>
    <mergeCell ref="R2749:R2750"/>
    <mergeCell ref="S2749:S2750"/>
    <mergeCell ref="T2749:T2750"/>
    <mergeCell ref="V2749:V2750"/>
    <mergeCell ref="I2750:L2750"/>
    <mergeCell ref="I2753:L2754"/>
    <mergeCell ref="N2753:S2753"/>
    <mergeCell ref="N2754:S2754"/>
    <mergeCell ref="I2758:L2758"/>
    <mergeCell ref="P2758:U2758"/>
    <mergeCell ref="I2759:L2759"/>
    <mergeCell ref="P2759:U2759"/>
    <mergeCell ref="I2760:L2760"/>
    <mergeCell ref="P2760:U2760"/>
    <mergeCell ref="I2761:L2761"/>
    <mergeCell ref="P2761:U2761"/>
    <mergeCell ref="I2762:L2762"/>
    <mergeCell ref="P2762:U2762"/>
    <mergeCell ref="I2767:L2767"/>
    <mergeCell ref="N2767:N2768"/>
    <mergeCell ref="O2767:O2768"/>
    <mergeCell ref="P2767:P2768"/>
    <mergeCell ref="Q2767:Q2768"/>
    <mergeCell ref="R2767:R2768"/>
    <mergeCell ref="S2767:S2768"/>
    <mergeCell ref="T2767:T2768"/>
    <mergeCell ref="V2767:V2768"/>
    <mergeCell ref="I2768:L2768"/>
    <mergeCell ref="I2770:L2770"/>
    <mergeCell ref="N2770:N2771"/>
    <mergeCell ref="O2770:O2771"/>
    <mergeCell ref="P2770:P2771"/>
    <mergeCell ref="Q2770:Q2771"/>
    <mergeCell ref="R2770:R2771"/>
    <mergeCell ref="S2770:S2771"/>
    <mergeCell ref="T2770:T2771"/>
    <mergeCell ref="V2770:V2771"/>
    <mergeCell ref="I2771:L2771"/>
    <mergeCell ref="I2774:L2775"/>
    <mergeCell ref="N2774:S2774"/>
    <mergeCell ref="N2775:S2775"/>
    <mergeCell ref="I2779:L2779"/>
    <mergeCell ref="P2779:U2779"/>
    <mergeCell ref="I2780:L2780"/>
    <mergeCell ref="P2780:U2780"/>
    <mergeCell ref="I2781:L2781"/>
    <mergeCell ref="P2781:U2781"/>
    <mergeCell ref="I2782:L2782"/>
    <mergeCell ref="P2782:U2782"/>
    <mergeCell ref="I2783:L2783"/>
    <mergeCell ref="P2783:U2783"/>
    <mergeCell ref="I2788:L2788"/>
    <mergeCell ref="N2788:N2789"/>
    <mergeCell ref="O2788:O2789"/>
    <mergeCell ref="P2788:P2789"/>
    <mergeCell ref="Q2788:Q2789"/>
    <mergeCell ref="R2788:R2789"/>
    <mergeCell ref="S2788:S2789"/>
    <mergeCell ref="T2788:T2789"/>
    <mergeCell ref="V2788:V2789"/>
    <mergeCell ref="I2789:L2789"/>
    <mergeCell ref="I2791:L2791"/>
    <mergeCell ref="N2791:N2792"/>
    <mergeCell ref="O2791:O2792"/>
    <mergeCell ref="P2791:P2792"/>
    <mergeCell ref="Q2791:Q2792"/>
    <mergeCell ref="R2791:R2792"/>
    <mergeCell ref="S2791:S2792"/>
    <mergeCell ref="T2791:T2792"/>
    <mergeCell ref="V2791:V2792"/>
    <mergeCell ref="I2792:L2792"/>
    <mergeCell ref="I2795:L2796"/>
    <mergeCell ref="N2795:S2795"/>
    <mergeCell ref="N2796:S2796"/>
    <mergeCell ref="I2800:L2800"/>
    <mergeCell ref="P2800:U2800"/>
    <mergeCell ref="I2801:L2801"/>
    <mergeCell ref="P2801:U2801"/>
    <mergeCell ref="I2802:L2802"/>
    <mergeCell ref="P2802:U2802"/>
    <mergeCell ref="I2803:L2803"/>
    <mergeCell ref="P2803:U2803"/>
    <mergeCell ref="I2804:L2804"/>
    <mergeCell ref="P2804:U2804"/>
    <mergeCell ref="I2809:L2809"/>
    <mergeCell ref="N2809:N2810"/>
    <mergeCell ref="O2809:O2810"/>
    <mergeCell ref="P2809:P2810"/>
    <mergeCell ref="Q2809:Q2810"/>
    <mergeCell ref="R2809:R2810"/>
    <mergeCell ref="S2809:S2810"/>
    <mergeCell ref="T2809:T2810"/>
    <mergeCell ref="V2809:V2810"/>
    <mergeCell ref="I2810:L2810"/>
    <mergeCell ref="I2812:L2812"/>
    <mergeCell ref="N2812:N2813"/>
    <mergeCell ref="O2812:O2813"/>
    <mergeCell ref="P2812:P2813"/>
    <mergeCell ref="Q2812:Q2813"/>
    <mergeCell ref="R2812:R2813"/>
    <mergeCell ref="S2812:S2813"/>
    <mergeCell ref="T2812:T2813"/>
    <mergeCell ref="V2812:V2813"/>
    <mergeCell ref="I2813:L2813"/>
    <mergeCell ref="I2816:L2817"/>
    <mergeCell ref="N2816:S2816"/>
    <mergeCell ref="N2817:S2817"/>
    <mergeCell ref="I2821:L2821"/>
    <mergeCell ref="P2821:U2821"/>
    <mergeCell ref="I2822:L2822"/>
    <mergeCell ref="P2822:U2822"/>
    <mergeCell ref="I2823:L2823"/>
    <mergeCell ref="P2823:U2823"/>
    <mergeCell ref="I2824:L2824"/>
    <mergeCell ref="P2824:U2824"/>
    <mergeCell ref="I2825:L2825"/>
    <mergeCell ref="P2825:U2825"/>
    <mergeCell ref="I2830:L2830"/>
    <mergeCell ref="N2830:N2831"/>
    <mergeCell ref="O2830:O2831"/>
    <mergeCell ref="P2830:P2831"/>
    <mergeCell ref="Q2830:Q2831"/>
    <mergeCell ref="R2830:R2831"/>
    <mergeCell ref="S2830:S2831"/>
    <mergeCell ref="T2830:T2831"/>
    <mergeCell ref="V2830:V2831"/>
    <mergeCell ref="I2831:L2831"/>
    <mergeCell ref="I2833:L2833"/>
    <mergeCell ref="N2833:N2834"/>
    <mergeCell ref="O2833:O2834"/>
    <mergeCell ref="P2833:P2834"/>
    <mergeCell ref="Q2833:Q2834"/>
    <mergeCell ref="R2833:R2834"/>
    <mergeCell ref="S2833:S2834"/>
    <mergeCell ref="T2833:T2834"/>
    <mergeCell ref="V2833:V2834"/>
    <mergeCell ref="I2834:L2834"/>
    <mergeCell ref="I2837:L2838"/>
    <mergeCell ref="N2837:S2837"/>
    <mergeCell ref="N2838:S2838"/>
    <mergeCell ref="I2842:L2842"/>
    <mergeCell ref="P2842:U2842"/>
    <mergeCell ref="I2843:L2843"/>
    <mergeCell ref="P2843:U2843"/>
    <mergeCell ref="I2844:L2844"/>
    <mergeCell ref="P2844:U2844"/>
    <mergeCell ref="I2845:L2845"/>
    <mergeCell ref="P2845:U2845"/>
    <mergeCell ref="I2846:L2846"/>
    <mergeCell ref="P2846:U2846"/>
    <mergeCell ref="H2851:H2852"/>
    <mergeCell ref="I2851:L2852"/>
    <mergeCell ref="N2851:N2852"/>
    <mergeCell ref="O2851:O2852"/>
    <mergeCell ref="P2851:P2852"/>
    <mergeCell ref="Q2851:Q2852"/>
    <mergeCell ref="R2851:R2852"/>
    <mergeCell ref="S2851:S2852"/>
    <mergeCell ref="T2851:T2852"/>
    <mergeCell ref="V2851:V2852"/>
    <mergeCell ref="H2854:H2855"/>
    <mergeCell ref="I2854:L2855"/>
    <mergeCell ref="N2854:N2855"/>
    <mergeCell ref="O2854:O2855"/>
    <mergeCell ref="P2854:P2855"/>
    <mergeCell ref="Q2854:Q2855"/>
    <mergeCell ref="R2854:R2855"/>
    <mergeCell ref="S2854:S2855"/>
    <mergeCell ref="T2854:T2855"/>
    <mergeCell ref="V2854:V2855"/>
    <mergeCell ref="I2858:L2859"/>
    <mergeCell ref="N2858:S2859"/>
    <mergeCell ref="I2863:L2863"/>
    <mergeCell ref="P2863:U2863"/>
    <mergeCell ref="I2864:L2864"/>
    <mergeCell ref="P2864:U2864"/>
    <mergeCell ref="I2865:L2865"/>
    <mergeCell ref="P2865:U2865"/>
    <mergeCell ref="I2866:L2866"/>
    <mergeCell ref="P2866:U2866"/>
    <mergeCell ref="H2871:H2872"/>
    <mergeCell ref="I2871:L2872"/>
    <mergeCell ref="N2871:N2872"/>
    <mergeCell ref="O2871:O2872"/>
    <mergeCell ref="P2871:P2872"/>
    <mergeCell ref="Q2871:Q2872"/>
    <mergeCell ref="R2871:R2872"/>
    <mergeCell ref="S2871:S2872"/>
    <mergeCell ref="T2871:T2872"/>
    <mergeCell ref="V2871:V2872"/>
    <mergeCell ref="H2874:H2875"/>
    <mergeCell ref="I2874:L2875"/>
    <mergeCell ref="N2874:N2875"/>
    <mergeCell ref="O2874:O2875"/>
    <mergeCell ref="P2874:P2875"/>
    <mergeCell ref="Q2874:Q2875"/>
    <mergeCell ref="R2874:R2875"/>
    <mergeCell ref="S2874:S2875"/>
    <mergeCell ref="T2874:T2875"/>
    <mergeCell ref="V2874:V2875"/>
    <mergeCell ref="I2878:L2879"/>
    <mergeCell ref="N2878:S2879"/>
    <mergeCell ref="I2883:L2883"/>
    <mergeCell ref="P2883:U2883"/>
    <mergeCell ref="I2884:L2884"/>
    <mergeCell ref="P2884:U2884"/>
    <mergeCell ref="I2885:L2885"/>
    <mergeCell ref="P2885:U2885"/>
    <mergeCell ref="I2886:L2886"/>
    <mergeCell ref="P2886:U2886"/>
    <mergeCell ref="H2891:H2892"/>
    <mergeCell ref="I2891:L2892"/>
    <mergeCell ref="N2891:N2892"/>
    <mergeCell ref="O2891:O2892"/>
    <mergeCell ref="P2891:P2892"/>
    <mergeCell ref="Q2891:Q2892"/>
    <mergeCell ref="R2891:R2892"/>
    <mergeCell ref="S2891:S2892"/>
    <mergeCell ref="T2891:T2892"/>
    <mergeCell ref="V2891:V2892"/>
    <mergeCell ref="H2894:H2895"/>
    <mergeCell ref="I2894:L2895"/>
    <mergeCell ref="N2894:N2895"/>
    <mergeCell ref="O2894:O2895"/>
    <mergeCell ref="P2894:P2895"/>
    <mergeCell ref="Q2894:Q2895"/>
    <mergeCell ref="R2894:R2895"/>
    <mergeCell ref="S2894:S2895"/>
    <mergeCell ref="T2894:T2895"/>
    <mergeCell ref="V2894:V2895"/>
    <mergeCell ref="I2898:L2899"/>
    <mergeCell ref="N2898:S2899"/>
    <mergeCell ref="I2903:L2903"/>
    <mergeCell ref="P2903:U2903"/>
    <mergeCell ref="I2904:L2904"/>
    <mergeCell ref="P2904:U2904"/>
    <mergeCell ref="I2905:L2905"/>
    <mergeCell ref="P2905:U2905"/>
    <mergeCell ref="I2906:L2906"/>
    <mergeCell ref="P2906:U2906"/>
    <mergeCell ref="H2911:H2912"/>
    <mergeCell ref="I2911:L2912"/>
    <mergeCell ref="N2911:N2912"/>
    <mergeCell ref="O2911:O2912"/>
    <mergeCell ref="P2911:P2912"/>
    <mergeCell ref="Q2911:Q2912"/>
    <mergeCell ref="R2911:R2912"/>
    <mergeCell ref="S2911:S2912"/>
    <mergeCell ref="T2911:T2912"/>
    <mergeCell ref="V2911:V2912"/>
    <mergeCell ref="H2914:H2915"/>
    <mergeCell ref="I2914:L2915"/>
    <mergeCell ref="N2914:N2915"/>
    <mergeCell ref="O2914:O2915"/>
    <mergeCell ref="P2914:P2915"/>
    <mergeCell ref="Q2914:Q2915"/>
    <mergeCell ref="R2914:R2915"/>
    <mergeCell ref="S2914:S2915"/>
    <mergeCell ref="T2914:T2915"/>
    <mergeCell ref="V2914:V2915"/>
    <mergeCell ref="I2918:L2919"/>
    <mergeCell ref="N2918:S2919"/>
    <mergeCell ref="I2923:L2923"/>
    <mergeCell ref="P2923:U2923"/>
    <mergeCell ref="I2924:L2924"/>
    <mergeCell ref="P2924:U2924"/>
    <mergeCell ref="I2925:L2925"/>
    <mergeCell ref="P2925:U2925"/>
    <mergeCell ref="I2926:L2926"/>
    <mergeCell ref="P2926:U2926"/>
    <mergeCell ref="I2931:L2931"/>
    <mergeCell ref="N2931:N2932"/>
    <mergeCell ref="O2931:O2932"/>
    <mergeCell ref="P2931:P2932"/>
    <mergeCell ref="Q2931:Q2932"/>
    <mergeCell ref="R2931:R2932"/>
    <mergeCell ref="S2931:S2932"/>
    <mergeCell ref="T2931:T2932"/>
    <mergeCell ref="V2931:V2932"/>
    <mergeCell ref="I2932:L2932"/>
    <mergeCell ref="I2934:L2934"/>
    <mergeCell ref="N2934:N2935"/>
    <mergeCell ref="O2934:O2935"/>
    <mergeCell ref="P2934:P2935"/>
    <mergeCell ref="Q2934:Q2935"/>
    <mergeCell ref="R2934:R2935"/>
    <mergeCell ref="S2934:S2935"/>
    <mergeCell ref="T2934:T2935"/>
    <mergeCell ref="V2934:V2935"/>
    <mergeCell ref="I2935:L2935"/>
    <mergeCell ref="I2938:L2939"/>
    <mergeCell ref="N2938:S2938"/>
    <mergeCell ref="N2939:S2939"/>
    <mergeCell ref="I2943:L2943"/>
    <mergeCell ref="P2943:U2943"/>
    <mergeCell ref="I2944:L2944"/>
    <mergeCell ref="P2944:U2944"/>
    <mergeCell ref="I2945:L2945"/>
    <mergeCell ref="P2945:U2945"/>
    <mergeCell ref="I2946:L2946"/>
    <mergeCell ref="P2946:U2946"/>
    <mergeCell ref="I2947:L2947"/>
    <mergeCell ref="P2947:U2947"/>
    <mergeCell ref="I2952:L2952"/>
    <mergeCell ref="N2952:N2953"/>
    <mergeCell ref="O2952:O2953"/>
    <mergeCell ref="P2952:P2953"/>
    <mergeCell ref="Q2952:Q2953"/>
    <mergeCell ref="R2952:R2953"/>
    <mergeCell ref="S2952:S2953"/>
    <mergeCell ref="T2952:T2953"/>
    <mergeCell ref="V2952:V2953"/>
    <mergeCell ref="I2953:L2953"/>
    <mergeCell ref="I2955:L2955"/>
    <mergeCell ref="N2955:N2956"/>
    <mergeCell ref="O2955:O2956"/>
    <mergeCell ref="P2955:P2956"/>
    <mergeCell ref="Q2955:Q2956"/>
    <mergeCell ref="R2955:R2956"/>
    <mergeCell ref="S2955:S2956"/>
    <mergeCell ref="T2955:T2956"/>
    <mergeCell ref="V2955:V2956"/>
    <mergeCell ref="I2956:L2956"/>
    <mergeCell ref="I2959:L2960"/>
    <mergeCell ref="N2959:S2959"/>
    <mergeCell ref="N2960:S2960"/>
    <mergeCell ref="I2964:L2964"/>
    <mergeCell ref="P2964:U2964"/>
    <mergeCell ref="I2965:L2965"/>
    <mergeCell ref="P2965:U2965"/>
    <mergeCell ref="I2966:L2966"/>
    <mergeCell ref="P2966:U2966"/>
    <mergeCell ref="I2967:L2967"/>
    <mergeCell ref="P2967:U2967"/>
    <mergeCell ref="I2968:L2968"/>
    <mergeCell ref="P2968:U2968"/>
    <mergeCell ref="H2973:H2974"/>
    <mergeCell ref="I2973:L2974"/>
    <mergeCell ref="N2973:N2974"/>
    <mergeCell ref="O2973:O2974"/>
    <mergeCell ref="P2973:P2974"/>
    <mergeCell ref="Q2973:Q2974"/>
    <mergeCell ref="R2973:R2974"/>
    <mergeCell ref="S2973:S2974"/>
    <mergeCell ref="T2973:T2974"/>
    <mergeCell ref="V2973:V2974"/>
    <mergeCell ref="H2976:H2977"/>
    <mergeCell ref="I2976:L2977"/>
    <mergeCell ref="N2976:N2977"/>
    <mergeCell ref="O2976:O2977"/>
    <mergeCell ref="P2976:P2977"/>
    <mergeCell ref="Q2976:Q2977"/>
    <mergeCell ref="R2976:R2977"/>
    <mergeCell ref="S2976:S2977"/>
    <mergeCell ref="T2976:T2977"/>
    <mergeCell ref="V2976:V2977"/>
    <mergeCell ref="I2980:L2981"/>
    <mergeCell ref="N2980:S2981"/>
    <mergeCell ref="I2985:L2985"/>
    <mergeCell ref="P2985:U2985"/>
    <mergeCell ref="I2986:L2986"/>
    <mergeCell ref="P2986:U2986"/>
    <mergeCell ref="I2987:L2987"/>
    <mergeCell ref="P2987:U2987"/>
    <mergeCell ref="I2988:L2988"/>
    <mergeCell ref="P2988:U2988"/>
    <mergeCell ref="H2993:H2994"/>
    <mergeCell ref="I2993:L2994"/>
    <mergeCell ref="N2993:N2994"/>
    <mergeCell ref="O2993:O2994"/>
    <mergeCell ref="P2993:P2994"/>
    <mergeCell ref="Q2993:Q2994"/>
    <mergeCell ref="R2993:R2994"/>
    <mergeCell ref="S2993:S2994"/>
    <mergeCell ref="T2993:T2994"/>
    <mergeCell ref="V2993:V2994"/>
    <mergeCell ref="H2996:H2997"/>
    <mergeCell ref="I2996:L2997"/>
    <mergeCell ref="N2996:N2997"/>
    <mergeCell ref="O2996:O2997"/>
    <mergeCell ref="P2996:P2997"/>
    <mergeCell ref="Q2996:Q2997"/>
    <mergeCell ref="R2996:R2997"/>
    <mergeCell ref="S2996:S2997"/>
    <mergeCell ref="T2996:T2997"/>
    <mergeCell ref="V2996:V2997"/>
    <mergeCell ref="I3000:L3001"/>
    <mergeCell ref="N3000:S3001"/>
    <mergeCell ref="I3005:L3005"/>
    <mergeCell ref="P3005:U3005"/>
    <mergeCell ref="I3006:L3006"/>
    <mergeCell ref="P3006:U3006"/>
    <mergeCell ref="I3007:L3007"/>
    <mergeCell ref="P3007:U3007"/>
    <mergeCell ref="I3008:L3008"/>
    <mergeCell ref="P3008:U3008"/>
    <mergeCell ref="I3013:L3013"/>
    <mergeCell ref="N3013:N3014"/>
    <mergeCell ref="O3013:O3014"/>
    <mergeCell ref="P3013:P3014"/>
    <mergeCell ref="Q3013:Q3014"/>
    <mergeCell ref="R3013:R3014"/>
    <mergeCell ref="S3013:S3014"/>
    <mergeCell ref="T3013:T3014"/>
    <mergeCell ref="V3013:V3014"/>
    <mergeCell ref="I3014:L3014"/>
    <mergeCell ref="I3016:L3016"/>
    <mergeCell ref="N3016:N3017"/>
    <mergeCell ref="O3016:O3017"/>
    <mergeCell ref="P3016:P3017"/>
    <mergeCell ref="Q3016:Q3017"/>
    <mergeCell ref="R3016:R3017"/>
    <mergeCell ref="S3016:S3017"/>
    <mergeCell ref="T3016:T3017"/>
    <mergeCell ref="V3016:V3017"/>
    <mergeCell ref="I3017:L3017"/>
    <mergeCell ref="I3020:L3021"/>
    <mergeCell ref="N3020:S3020"/>
    <mergeCell ref="N3021:S3021"/>
    <mergeCell ref="I3025:L3025"/>
    <mergeCell ref="P3025:U3025"/>
    <mergeCell ref="I3026:L3026"/>
    <mergeCell ref="P3026:U3026"/>
    <mergeCell ref="I3027:L3027"/>
    <mergeCell ref="P3027:U3027"/>
    <mergeCell ref="I3028:L3028"/>
    <mergeCell ref="P3028:U3028"/>
    <mergeCell ref="I3029:L3029"/>
    <mergeCell ref="P3029:U3029"/>
    <mergeCell ref="I3034:L3034"/>
    <mergeCell ref="N3034:N3035"/>
    <mergeCell ref="O3034:O3035"/>
    <mergeCell ref="P3034:P3035"/>
    <mergeCell ref="Q3034:Q3035"/>
    <mergeCell ref="R3034:R3035"/>
    <mergeCell ref="S3034:S3035"/>
    <mergeCell ref="T3034:T3035"/>
    <mergeCell ref="V3034:V3035"/>
    <mergeCell ref="I3035:L3035"/>
    <mergeCell ref="I3037:L3037"/>
    <mergeCell ref="N3037:N3038"/>
    <mergeCell ref="O3037:O3038"/>
    <mergeCell ref="P3037:P3038"/>
    <mergeCell ref="Q3037:Q3038"/>
    <mergeCell ref="R3037:R3038"/>
    <mergeCell ref="S3037:S3038"/>
    <mergeCell ref="T3037:T3038"/>
    <mergeCell ref="V3037:V3038"/>
    <mergeCell ref="I3038:L3038"/>
    <mergeCell ref="I3041:L3042"/>
    <mergeCell ref="N3041:S3041"/>
    <mergeCell ref="N3042:S3042"/>
    <mergeCell ref="I3046:L3046"/>
    <mergeCell ref="P3046:U3046"/>
    <mergeCell ref="I3047:L3047"/>
    <mergeCell ref="P3047:U3047"/>
    <mergeCell ref="I3048:L3048"/>
    <mergeCell ref="P3048:U3048"/>
    <mergeCell ref="I3049:L3049"/>
    <mergeCell ref="P3049:U3049"/>
    <mergeCell ref="I3050:L3050"/>
    <mergeCell ref="P3050:U3050"/>
    <mergeCell ref="I3055:L3055"/>
    <mergeCell ref="N3055:N3056"/>
    <mergeCell ref="O3055:O3056"/>
    <mergeCell ref="P3055:P3056"/>
    <mergeCell ref="Q3055:Q3056"/>
    <mergeCell ref="R3055:R3056"/>
    <mergeCell ref="S3055:S3056"/>
    <mergeCell ref="T3055:T3056"/>
    <mergeCell ref="V3055:V3056"/>
    <mergeCell ref="I3056:L3056"/>
    <mergeCell ref="I3069:L3069"/>
    <mergeCell ref="P3069:U3069"/>
    <mergeCell ref="I3070:L3070"/>
    <mergeCell ref="P3070:U3070"/>
    <mergeCell ref="I3071:L3071"/>
    <mergeCell ref="P3071:U3071"/>
    <mergeCell ref="I3058:L3058"/>
    <mergeCell ref="N3058:N3059"/>
    <mergeCell ref="O3058:O3059"/>
    <mergeCell ref="P3058:P3059"/>
    <mergeCell ref="Q3058:Q3059"/>
    <mergeCell ref="R3058:R3059"/>
    <mergeCell ref="S3058:S3059"/>
    <mergeCell ref="T3058:T3059"/>
    <mergeCell ref="V3058:V3059"/>
    <mergeCell ref="I3059:L3059"/>
    <mergeCell ref="I3062:L3063"/>
    <mergeCell ref="N3062:S3062"/>
    <mergeCell ref="N3063:S3063"/>
    <mergeCell ref="I3067:L3067"/>
    <mergeCell ref="P3067:U3067"/>
    <mergeCell ref="I3068:L3068"/>
    <mergeCell ref="P3068:U3068"/>
  </mergeCells>
  <pageMargins left="0.54" right="0.15" top="0.17" bottom="0.18" header="0.14000000000000001" footer="0.14000000000000001"/>
  <pageSetup paperSize="9" scale="26" orientation="portrait" horizontalDpi="300" verticalDpi="300" r:id="rId1"/>
  <rowBreaks count="50" manualBreakCount="50">
    <brk id="63" min="4" max="22" man="1"/>
    <brk id="123" min="4" max="22" man="1"/>
    <brk id="183" min="4" max="22" man="1"/>
    <brk id="243" min="4" max="22" man="1"/>
    <brk id="303" min="4" max="22" man="1"/>
    <brk id="363" min="4" max="22" man="1"/>
    <brk id="423" min="4" max="22" man="1"/>
    <brk id="483" min="4" max="22" man="1"/>
    <brk id="543" min="4" max="22" man="1"/>
    <brk id="603" min="4" max="22" man="1"/>
    <brk id="663" min="4" max="22" man="1"/>
    <brk id="723" min="4" max="22" man="1"/>
    <brk id="783" min="4" max="22" man="1"/>
    <brk id="843" min="4" max="22" man="1"/>
    <brk id="903" min="4" max="22" man="1"/>
    <brk id="963" min="4" max="22" man="1"/>
    <brk id="1023" min="4" max="22" man="1"/>
    <brk id="1083" min="4" max="22" man="1"/>
    <brk id="1143" min="4" max="22" man="1"/>
    <brk id="1203" min="4" max="22" man="1"/>
    <brk id="1263" min="4" max="22" man="1"/>
    <brk id="1323" min="4" max="22" man="1"/>
    <brk id="1383" min="4" max="22" man="1"/>
    <brk id="1443" min="4" max="22" man="1"/>
    <brk id="1506" min="4" max="22" man="1"/>
    <brk id="1569" min="4" max="22" man="1"/>
    <brk id="1632" min="4" max="22" man="1"/>
    <brk id="1695" min="4" max="22" man="1"/>
    <brk id="1758" min="4" max="22" man="1"/>
    <brk id="1821" min="4" max="22" man="1"/>
    <brk id="1884" min="4" max="22" man="1"/>
    <brk id="1947" min="4" max="22" man="1"/>
    <brk id="2010" min="4" max="22" man="1"/>
    <brk id="2071" min="4" max="22" man="1"/>
    <brk id="2131" min="4" max="22" man="1"/>
    <brk id="2191" min="4" max="22" man="1"/>
    <brk id="2251" min="4" max="22" man="1"/>
    <brk id="2311" min="4" max="22" man="1"/>
    <brk id="2371" min="4" max="22" man="1"/>
    <brk id="2431" min="4" max="22" man="1"/>
    <brk id="2491" min="4" max="22" man="1"/>
    <brk id="2553" min="4" max="22" man="1"/>
    <brk id="2616" min="4" max="22" man="1"/>
    <brk id="2679" min="4" max="22" man="1"/>
    <brk id="2742" min="4" max="22" man="1"/>
    <brk id="2805" min="4" max="22" man="1"/>
    <brk id="2867" min="4" max="22" man="1"/>
    <brk id="2927" min="4" max="22" man="1"/>
    <brk id="2989" min="4" max="22" man="1"/>
    <brk id="3051" min="4" max="22" man="1"/>
  </rowBreaks>
  <colBreaks count="1" manualBreakCount="1">
    <brk id="23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>
  <dimension ref="A1:AX539"/>
  <sheetViews>
    <sheetView showGridLines="0" view="pageBreakPreview" zoomScale="30" zoomScaleNormal="80" zoomScaleSheetLayoutView="30" workbookViewId="0">
      <selection activeCell="T91" sqref="T91"/>
    </sheetView>
  </sheetViews>
  <sheetFormatPr defaultRowHeight="36"/>
  <cols>
    <col min="1" max="1" width="7.7109375" customWidth="1"/>
    <col min="2" max="4" width="14" hidden="1" customWidth="1"/>
    <col min="5" max="6" width="16.42578125" style="299" customWidth="1"/>
    <col min="7" max="7" width="14.5703125" style="299" customWidth="1"/>
    <col min="8" max="8" width="11.7109375" style="299" customWidth="1"/>
    <col min="9" max="9" width="9.140625" customWidth="1"/>
    <col min="10" max="10" width="69.5703125" customWidth="1"/>
    <col min="11" max="11" width="67.85546875" customWidth="1"/>
    <col min="12" max="12" width="15.28515625" style="1" customWidth="1"/>
    <col min="13" max="16" width="30.7109375" style="1" customWidth="1"/>
    <col min="17" max="17" width="15.5703125" style="1" customWidth="1"/>
    <col min="18" max="18" width="20" style="1" customWidth="1"/>
    <col min="19" max="19" width="18.140625" style="1" customWidth="1"/>
    <col min="20" max="20" width="15.140625" style="1" customWidth="1"/>
    <col min="21" max="22" width="9.140625" hidden="1" customWidth="1"/>
    <col min="23" max="23" width="9.42578125" hidden="1" customWidth="1"/>
    <col min="24" max="24" width="8.140625" hidden="1" customWidth="1"/>
    <col min="25" max="40" width="9.140625" hidden="1" customWidth="1"/>
    <col min="41" max="41" width="6.5703125" hidden="1" customWidth="1"/>
    <col min="42" max="42" width="8" style="45" hidden="1" customWidth="1"/>
    <col min="43" max="43" width="9.140625" style="45" hidden="1" customWidth="1"/>
    <col min="44" max="48" width="9.140625" hidden="1" customWidth="1"/>
  </cols>
  <sheetData>
    <row r="1" spans="1:46" s="4" customFormat="1" ht="128.25" customHeight="1">
      <c r="E1" s="527" t="str">
        <f>CONCATENATE("Majstrovstvá Slovenska jednotlivcov, kategória ",'startova listina'!D3,", ročník ",'startova listina'!I3,", dvojhra chlapcov")</f>
        <v>Majstrovstvá Slovenska jednotlivcov, kategória Mladší žiaci, ročník 2014, dvojhra chlapcov</v>
      </c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  <c r="R1" s="528"/>
      <c r="S1" s="528"/>
      <c r="T1" s="528"/>
      <c r="AP1" s="42"/>
      <c r="AQ1" s="42"/>
    </row>
    <row r="2" spans="1:46" s="4" customFormat="1" ht="88.5" customHeight="1">
      <c r="E2" s="299"/>
      <c r="F2" s="300"/>
      <c r="G2" s="300"/>
      <c r="H2" s="299"/>
      <c r="K2" s="355" t="s">
        <v>506</v>
      </c>
      <c r="L2" s="5"/>
      <c r="M2" s="5"/>
      <c r="N2" s="5"/>
      <c r="O2" s="5"/>
      <c r="P2" s="5"/>
      <c r="Q2" s="5"/>
      <c r="R2" s="5"/>
      <c r="S2" s="5"/>
      <c r="T2" s="5"/>
      <c r="AP2" s="42"/>
      <c r="AQ2" s="42"/>
    </row>
    <row r="3" spans="1:46" s="2" customFormat="1" ht="47.25" thickBot="1">
      <c r="A3" s="2" t="s">
        <v>11</v>
      </c>
      <c r="B3" s="2" t="s">
        <v>11</v>
      </c>
      <c r="C3" s="2" t="s">
        <v>113</v>
      </c>
      <c r="E3" s="299"/>
      <c r="F3" s="299"/>
      <c r="G3" s="299"/>
      <c r="H3" s="299"/>
      <c r="I3" s="217">
        <v>1</v>
      </c>
      <c r="J3" s="217" t="s">
        <v>13</v>
      </c>
      <c r="K3" s="217" t="s">
        <v>12</v>
      </c>
      <c r="L3" s="12"/>
      <c r="M3" s="12"/>
      <c r="N3" s="12"/>
      <c r="O3" s="12"/>
      <c r="P3" s="12"/>
      <c r="Q3" s="12"/>
      <c r="R3" s="16"/>
      <c r="S3" s="12"/>
      <c r="T3" s="12"/>
      <c r="AD3" s="8" t="s">
        <v>76</v>
      </c>
      <c r="AE3" s="8"/>
      <c r="AF3" s="8"/>
      <c r="AG3" s="8" t="s">
        <v>77</v>
      </c>
      <c r="AH3" s="8"/>
      <c r="AI3" s="8" t="s">
        <v>78</v>
      </c>
      <c r="AJ3" s="8"/>
      <c r="AK3" s="8"/>
      <c r="AL3" s="8" t="s">
        <v>77</v>
      </c>
      <c r="AP3" s="43"/>
      <c r="AQ3" s="43" t="s">
        <v>114</v>
      </c>
    </row>
    <row r="4" spans="1:46" s="8" customFormat="1" ht="39.950000000000003" customHeight="1" thickBot="1">
      <c r="A4" s="8" t="s">
        <v>47</v>
      </c>
      <c r="B4" s="8" t="s">
        <v>48</v>
      </c>
      <c r="E4" s="301" t="s">
        <v>14</v>
      </c>
      <c r="F4" s="302" t="s">
        <v>67</v>
      </c>
      <c r="G4" s="302" t="s">
        <v>15</v>
      </c>
      <c r="H4" s="303" t="s">
        <v>16</v>
      </c>
      <c r="I4" s="211"/>
      <c r="J4" s="212" t="s">
        <v>17</v>
      </c>
      <c r="K4" s="213" t="s">
        <v>5</v>
      </c>
      <c r="L4" s="207" t="s">
        <v>44</v>
      </c>
      <c r="M4" s="214">
        <v>1</v>
      </c>
      <c r="N4" s="214">
        <v>2</v>
      </c>
      <c r="O4" s="214">
        <v>3</v>
      </c>
      <c r="P4" s="215">
        <v>4</v>
      </c>
      <c r="Q4" s="216" t="s">
        <v>18</v>
      </c>
      <c r="R4" s="214" t="s">
        <v>45</v>
      </c>
      <c r="S4" s="214" t="s">
        <v>19</v>
      </c>
      <c r="T4" s="215" t="s">
        <v>46</v>
      </c>
      <c r="AD4" s="19">
        <v>1</v>
      </c>
      <c r="AE4" s="19">
        <v>2</v>
      </c>
      <c r="AF4" s="19">
        <v>3</v>
      </c>
      <c r="AG4" s="19"/>
      <c r="AH4" s="19"/>
      <c r="AI4" s="19">
        <v>1</v>
      </c>
      <c r="AJ4" s="19">
        <v>2</v>
      </c>
      <c r="AK4" s="19">
        <v>3</v>
      </c>
      <c r="AP4" s="44"/>
      <c r="AQ4" s="44"/>
    </row>
    <row r="5" spans="1:46" s="8" customFormat="1" ht="39.950000000000003" customHeight="1">
      <c r="A5" s="8" t="str">
        <f>CONCATENATE("CH",K3,E5)</f>
        <v>CHA1-3</v>
      </c>
      <c r="B5" s="8" t="str">
        <f>CONCATENATE("CH",I3,I5)</f>
        <v>CH11</v>
      </c>
      <c r="C5" s="8" t="str">
        <f>CONCATENATE(K3,T5)</f>
        <v>A1</v>
      </c>
      <c r="E5" s="304" t="s">
        <v>20</v>
      </c>
      <c r="F5" s="305" t="str">
        <f>IF(ISERROR(VLOOKUP(A5,'zoznam zapasov'!$A$5:$K$78,9,0))=TRUE,"",VLOOKUP(A5,'zoznam zapasov'!$A$5:$K$78,9,0))</f>
        <v>So</v>
      </c>
      <c r="G5" s="305" t="str">
        <f>IF(ISERROR(VLOOKUP(A5,'zoznam zapasov'!$A$5:$K$78,10,0))=TRUE,"",VLOOKUP(A5,'zoznam zapasov'!$A$5:$K$78,10,0))</f>
        <v>9.55</v>
      </c>
      <c r="H5" s="306">
        <f>IF(ISERROR(VLOOKUP(A5,'zoznam zapasov'!$A$5:$K$78,11,0))=TRUE,"",VLOOKUP(A5,'zoznam zapasov'!$A$5:$K$78,11,0))</f>
        <v>1</v>
      </c>
      <c r="I5" s="525">
        <v>1</v>
      </c>
      <c r="J5" s="516" t="str">
        <f>IF(ISERROR(VLOOKUP(B5,vylosovanie!$A$8:$J$39,6,0))=TRUE,"",VLOOKUP(B5,vylosovanie!$A$8:$J$39,6,0))</f>
        <v>DIKO Dalibor</v>
      </c>
      <c r="K5" s="517" t="str">
        <f>IF(ISERROR(VLOOKUP(B5,vylosovanie!$A$8:$J$39,8,0))=TRUE,"",VLOOKUP(B5,vylosovanie!$A$8:$J$39,8,0))</f>
        <v>TJ ORAVAN NÁMESTOVO</v>
      </c>
      <c r="L5" s="518">
        <f>IF(ISERROR(VLOOKUP(B5,vylosovanie!$A$8:$J$39,9,0))=TRUE,"",VLOOKUP(B5,vylosovanie!$A$8:$J$39,9,0))</f>
        <v>1</v>
      </c>
      <c r="M5" s="523"/>
      <c r="N5" s="31" t="str">
        <f>VLOOKUP(A7,'zapisy k stolom'!$A$5:$AV$1444,26,0)</f>
        <v>3:1</v>
      </c>
      <c r="O5" s="31" t="str">
        <f>VLOOKUP(A5,'zapisy k stolom'!$A$5:$AV$1444,26,0)</f>
        <v>3:0</v>
      </c>
      <c r="P5" s="31" t="str">
        <f>VLOOKUP(A9,'zapisy k stolom'!$A$5:$AV$1444,26,0)</f>
        <v>3:0</v>
      </c>
      <c r="Q5" s="510">
        <f>IF(SUM(Z5:AB5)=0,"",SUM(Z5:AB5))</f>
        <v>6</v>
      </c>
      <c r="R5" s="519" t="str">
        <f>IF(CONCATENATE(AG5,":",AL5)="0:0","",CONCATENATE(AG5,":",AL5))</f>
        <v>9:1</v>
      </c>
      <c r="S5" s="510">
        <f>IF(ISERROR(AG5/AL5)=TRUE,"",AG5/AL5)</f>
        <v>9</v>
      </c>
      <c r="T5" s="510">
        <f>IF(AT5&gt;1,"",IF(ISERROR(RANK(Q5,Q5:Q12,0))=TRUE,"",RANK(Q5,Q5:Q12,0)))</f>
        <v>1</v>
      </c>
      <c r="Z5" s="34">
        <f>IF(LEFT(N5,1)="x",0,IF(LEFT(N5,1)&gt;RIGHT(N5,1),2,IF(LEFT(N5,1)&lt;RIGHT(N5,1),1,"")))</f>
        <v>2</v>
      </c>
      <c r="AA5" s="34">
        <f>IF(LEFT(O5,1)="x",0,IF(LEFT(O5,1)&gt;RIGHT(O5,1),2,IF(LEFT(O5,1)&lt;RIGHT(O5,1),1,"")))</f>
        <v>2</v>
      </c>
      <c r="AB5" s="34">
        <f>IF(LEFT(P5,1)="x",0,IF(LEFT(P5,1)&gt;RIGHT(P5,1),2,IF(LEFT(P5,1)&lt;RIGHT(P5,1),1,"")))</f>
        <v>2</v>
      </c>
      <c r="AD5" s="34" t="str">
        <f>IF(LEFT(O5,1)="x",0,LEFT(O5,1))</f>
        <v>3</v>
      </c>
      <c r="AE5" s="34" t="str">
        <f>IF(LEFT(P5,1)="x",0,LEFT(P5,1))</f>
        <v>3</v>
      </c>
      <c r="AF5" s="34" t="str">
        <f>IF(LEFT(N5,1)="x",0,LEFT(N5,1))</f>
        <v>3</v>
      </c>
      <c r="AG5" s="8">
        <f>IF(ISERROR(VALUE(AD5))=TRUE,0,VALUE(AD5))+IF(ISERROR(VALUE(AE5))=TRUE,0,VALUE(AE5))+IF(ISERROR(VALUE(AF5))=TRUE,0,VALUE(AF5))</f>
        <v>9</v>
      </c>
      <c r="AI5" s="34" t="str">
        <f>IF(RIGHT(O5,1)="x",0,RIGHT(O5,1))</f>
        <v>0</v>
      </c>
      <c r="AJ5" s="34" t="str">
        <f>IF(RIGHT(P5,1)="x",0,RIGHT(P5,1))</f>
        <v>0</v>
      </c>
      <c r="AK5" s="34" t="str">
        <f>IF(RIGHT(N5,1)="x",0,RIGHT(N5,1))</f>
        <v>1</v>
      </c>
      <c r="AL5" s="8">
        <f>IF(ISERROR(VALUE(AI5))=TRUE,0,VALUE(AI5))+IF(ISERROR(VALUE(AJ5))=TRUE,0,VALUE(AJ5))+IF(ISERROR(VALUE(AK5))=TRUE,0,VALUE(AK5))</f>
        <v>1</v>
      </c>
      <c r="AP5" s="46">
        <f>IF(LEFT(N5,1)="x",1,0)</f>
        <v>0</v>
      </c>
      <c r="AQ5" s="46">
        <f t="shared" ref="AQ5:AR5" si="0">IF(LEFT(O5,1)="x",1,0)</f>
        <v>0</v>
      </c>
      <c r="AR5" s="46">
        <f t="shared" si="0"/>
        <v>0</v>
      </c>
      <c r="AT5" s="8">
        <f>SUM(AP5:AR5)</f>
        <v>0</v>
      </c>
    </row>
    <row r="6" spans="1:46" s="8" customFormat="1" ht="30" customHeight="1" thickBot="1">
      <c r="A6" s="8" t="str">
        <f>CONCATENATE("CH",K3,E6)</f>
        <v>CHA2-4</v>
      </c>
      <c r="E6" s="304" t="s">
        <v>21</v>
      </c>
      <c r="F6" s="305" t="str">
        <f>IF(ISERROR(VLOOKUP(A6,'zoznam zapasov'!$A$5:$K$78,9,0))=TRUE,"",VLOOKUP(A6,'zoznam zapasov'!$A$5:$K$78,9,0))</f>
        <v>So</v>
      </c>
      <c r="G6" s="305" t="str">
        <f>IF(ISERROR(VLOOKUP(A6,'zoznam zapasov'!$A$5:$K$78,10,0))=TRUE,"",VLOOKUP(A6,'zoznam zapasov'!$A$5:$K$78,10,0))</f>
        <v>9.55</v>
      </c>
      <c r="H6" s="306">
        <f>IF(ISERROR(VLOOKUP(A6,'zoznam zapasov'!$A$5:$K$78,11,0))=TRUE,"",VLOOKUP(A6,'zoznam zapasov'!$A$5:$K$78,11,0))</f>
        <v>2</v>
      </c>
      <c r="I6" s="525"/>
      <c r="J6" s="516"/>
      <c r="K6" s="517"/>
      <c r="L6" s="518"/>
      <c r="M6" s="524"/>
      <c r="N6" s="32" t="str">
        <f>VLOOKUP(A7,'zapisy k stolom'!$A$5:$AV$1444,48,0)</f>
        <v>11,-14,6,6,,,</v>
      </c>
      <c r="O6" s="32" t="str">
        <f>VLOOKUP(A5,'zapisy k stolom'!$A$5:$AV$1444,48,0)</f>
        <v>11,10,7,,,,</v>
      </c>
      <c r="P6" s="32" t="str">
        <f>VLOOKUP(A9,'zapisy k stolom'!$A$5:$AV$1444,48,0)</f>
        <v>1,1,3,,,,</v>
      </c>
      <c r="Q6" s="511"/>
      <c r="R6" s="520"/>
      <c r="S6" s="511"/>
      <c r="T6" s="511"/>
      <c r="AP6" s="44"/>
      <c r="AQ6" s="44"/>
    </row>
    <row r="7" spans="1:46" s="8" customFormat="1" ht="39.950000000000003" customHeight="1">
      <c r="A7" s="8" t="str">
        <f>CONCATENATE("CH",K3,E7)</f>
        <v>CHA1-2</v>
      </c>
      <c r="B7" s="8" t="str">
        <f>CONCATENATE("CH",I3,I7)</f>
        <v>CH12</v>
      </c>
      <c r="C7" s="8" t="str">
        <f>CONCATENATE(K3,T7)</f>
        <v>A2</v>
      </c>
      <c r="E7" s="304" t="s">
        <v>22</v>
      </c>
      <c r="F7" s="305" t="str">
        <f>IF(ISERROR(VLOOKUP(A7,'zoznam zapasov'!$A$5:$K$78,9,0))=TRUE,"",VLOOKUP(A7,'zoznam zapasov'!$A$5:$K$78,9,0))</f>
        <v>So</v>
      </c>
      <c r="G7" s="305" t="str">
        <f>IF(ISERROR(VLOOKUP(A7,'zoznam zapasov'!$A$5:$K$78,10,0))=TRUE,"",VLOOKUP(A7,'zoznam zapasov'!$A$5:$K$78,10,0))</f>
        <v>11.10</v>
      </c>
      <c r="H7" s="306">
        <f>IF(ISERROR(VLOOKUP(A7,'zoznam zapasov'!$A$5:$K$78,11,0))=TRUE,"",VLOOKUP(A7,'zoznam zapasov'!$A$5:$K$78,11,0))</f>
        <v>1</v>
      </c>
      <c r="I7" s="514">
        <v>2</v>
      </c>
      <c r="J7" s="516" t="str">
        <f>IF(ISERROR(VLOOKUP(B7,vylosovanie!$A$8:$J$39,6,0))=TRUE,"",VLOOKUP(B7,vylosovanie!$A$8:$J$39,6,0))</f>
        <v>IVANČO Félix</v>
      </c>
      <c r="K7" s="517" t="str">
        <f>IF(ISERROR(VLOOKUP(B7,vylosovanie!$A$8:$J$39,8,0))=TRUE,"",VLOOKUP(B7,vylosovanie!$A$8:$J$39,8,0))</f>
        <v>MSK MALACKY</v>
      </c>
      <c r="L7" s="518">
        <f>IF(ISERROR(VLOOKUP(B7,vylosovanie!$A$8:$J$39,9,0))=TRUE,"",VLOOKUP(B7,vylosovanie!$A$8:$J$39,9,0))</f>
        <v>12</v>
      </c>
      <c r="M7" s="526" t="str">
        <f>IF(LEN(N5)=1,":",CONCATENATE(RIGHT(N5,1),":",LEFT(N5,1)))</f>
        <v>1:3</v>
      </c>
      <c r="N7" s="523"/>
      <c r="O7" s="31" t="str">
        <f>VLOOKUP(A10,'zapisy k stolom'!$A$5:$AV$1444,26,0)</f>
        <v>3:2</v>
      </c>
      <c r="P7" s="31" t="str">
        <f>VLOOKUP(A6,'zapisy k stolom'!$A$5:$AV$1444,26,0)</f>
        <v>3:1</v>
      </c>
      <c r="Q7" s="510">
        <f t="shared" ref="Q7" si="1">IF(SUM(Z7:AB7)=0,"",SUM(Z7:AB7))</f>
        <v>5</v>
      </c>
      <c r="R7" s="519" t="str">
        <f t="shared" ref="R7" si="2">IF(CONCATENATE(AG7,":",AL7)="0:0","",CONCATENATE(AG7,":",AL7))</f>
        <v>7:6</v>
      </c>
      <c r="S7" s="510">
        <f t="shared" ref="S7" si="3">IF(ISERROR(AG7/AL7)=TRUE,"",AG7/AL7)</f>
        <v>1.1666666666666667</v>
      </c>
      <c r="T7" s="510">
        <f>IF(AT7&gt;1,"",IF(ISERROR(RANK(Q7,Q5:Q12,0))=TRUE,"",RANK(Q7,Q5:Q12,0)))</f>
        <v>2</v>
      </c>
      <c r="Z7" s="34">
        <f>IF(LEFT(M7,1)="x",0,IF(LEFT(M7,1)&gt;RIGHT(M7,1),2,IF(LEFT(M7,1)&lt;RIGHT(M7,1),1,"")))</f>
        <v>1</v>
      </c>
      <c r="AA7" s="34">
        <f>IF(LEFT(O7,1)="x",0,IF(LEFT(O7,1)&gt;RIGHT(O7,1),2,IF(LEFT(O7,1)&lt;RIGHT(O7,1),1,"")))</f>
        <v>2</v>
      </c>
      <c r="AB7" s="34">
        <f>IF(LEFT(P7,1)="x",0,IF(LEFT(P7,1)&gt;RIGHT(P7,1),2,IF(LEFT(P7,1)&lt;RIGHT(P7,1),1,"")))</f>
        <v>2</v>
      </c>
      <c r="AD7" s="34">
        <f>IF(LEFT(M7,1)="x",0,VALUE(LEFT(M7,1)))</f>
        <v>1</v>
      </c>
      <c r="AE7" s="34">
        <f>IF(LEFT(P7,1)="x",0,VALUE(LEFT(P7,1)))</f>
        <v>3</v>
      </c>
      <c r="AF7" s="34">
        <f>IF(LEFT(O7,1)="x",0,VALUE(LEFT(O7,1)))</f>
        <v>3</v>
      </c>
      <c r="AG7" s="8">
        <f>IF(ISERROR(VALUE(AD7))=TRUE,0,VALUE(AD7))+IF(ISERROR(VALUE(AE7))=TRUE,0,VALUE(AE7))+IF(ISERROR(VALUE(AF7))=TRUE,0,VALUE(AF7))</f>
        <v>7</v>
      </c>
      <c r="AI7" s="34">
        <f>IF(RIGHT(M7,1)="x",0,VALUE(RIGHT(M7,1)))</f>
        <v>3</v>
      </c>
      <c r="AJ7" s="34">
        <f>IF(RIGHT(P7,1)="x",0,VALUE(RIGHT(P7,1)))</f>
        <v>1</v>
      </c>
      <c r="AK7" s="34">
        <f>IF(RIGHT(O7,1)="x",0,VALUE(RIGHT(O7,1)))</f>
        <v>2</v>
      </c>
      <c r="AL7" s="8">
        <f>IF(ISERROR(VALUE(AI7))=TRUE,0,VALUE(AI7))+IF(ISERROR(VALUE(AJ7))=TRUE,0,VALUE(AJ7))+IF(ISERROR(VALUE(AK7))=TRUE,0,VALUE(AK7))</f>
        <v>6</v>
      </c>
      <c r="AP7" s="46">
        <f>IF(LEFT(M7,1)="x",1,0)</f>
        <v>0</v>
      </c>
      <c r="AQ7" s="46">
        <f t="shared" ref="AQ7" si="4">IF(LEFT(O7,1)="x",1,0)</f>
        <v>0</v>
      </c>
      <c r="AR7" s="46">
        <f t="shared" ref="AR7" si="5">IF(LEFT(P7,1)="x",1,0)</f>
        <v>0</v>
      </c>
      <c r="AT7" s="8">
        <f>SUM(AP7:AR7)</f>
        <v>0</v>
      </c>
    </row>
    <row r="8" spans="1:46" s="8" customFormat="1" ht="30" customHeight="1" thickBot="1">
      <c r="A8" s="8" t="str">
        <f>CONCATENATE("CH",K3,E8)</f>
        <v>CHA3-4</v>
      </c>
      <c r="E8" s="304" t="s">
        <v>23</v>
      </c>
      <c r="F8" s="305" t="str">
        <f>IF(ISERROR(VLOOKUP(A8,'zoznam zapasov'!$A$5:$K$78,9,0))=TRUE,"",VLOOKUP(A8,'zoznam zapasov'!$A$5:$K$78,9,0))</f>
        <v>So</v>
      </c>
      <c r="G8" s="305" t="str">
        <f>IF(ISERROR(VLOOKUP(A8,'zoznam zapasov'!$A$5:$K$78,10,0))=TRUE,"",VLOOKUP(A8,'zoznam zapasov'!$A$5:$K$78,10,0))</f>
        <v>11.10</v>
      </c>
      <c r="H8" s="306">
        <f>IF(ISERROR(VLOOKUP(A8,'zoznam zapasov'!$A$5:$K$78,11,0))=TRUE,"",VLOOKUP(A8,'zoznam zapasov'!$A$5:$K$78,11,0))</f>
        <v>2</v>
      </c>
      <c r="I8" s="515"/>
      <c r="J8" s="516"/>
      <c r="K8" s="517"/>
      <c r="L8" s="518"/>
      <c r="M8" s="522"/>
      <c r="N8" s="524"/>
      <c r="O8" s="32" t="str">
        <f>VLOOKUP(A10,'zapisy k stolom'!$A$5:$AV$1444,48,0)</f>
        <v>-7,7,-8,3,6,,</v>
      </c>
      <c r="P8" s="32" t="str">
        <f>VLOOKUP(A6,'zapisy k stolom'!$A$5:$AV$1444,48,0)</f>
        <v>-9,12,9,7,,,</v>
      </c>
      <c r="Q8" s="511"/>
      <c r="R8" s="520"/>
      <c r="S8" s="511"/>
      <c r="T8" s="511"/>
      <c r="AP8" s="44"/>
      <c r="AQ8" s="44"/>
    </row>
    <row r="9" spans="1:46" s="8" customFormat="1" ht="39.950000000000003" customHeight="1">
      <c r="A9" s="8" t="str">
        <f>CONCATENATE("CH",K3,E9)</f>
        <v>CHA1-4</v>
      </c>
      <c r="B9" s="8" t="str">
        <f>CONCATENATE("CH",I3,I9)</f>
        <v>CH13</v>
      </c>
      <c r="C9" s="8" t="str">
        <f>CONCATENATE(K3,T9)</f>
        <v>A4</v>
      </c>
      <c r="E9" s="304" t="s">
        <v>24</v>
      </c>
      <c r="F9" s="305" t="str">
        <f>IF(ISERROR(VLOOKUP(A9,'zoznam zapasov'!$A$5:$K$78,9,0))=TRUE,"",VLOOKUP(A9,'zoznam zapasov'!$A$5:$K$78,9,0))</f>
        <v>So</v>
      </c>
      <c r="G9" s="305" t="str">
        <f>IF(ISERROR(VLOOKUP(A9,'zoznam zapasov'!$A$5:$K$78,10,0))=TRUE,"",VLOOKUP(A9,'zoznam zapasov'!$A$5:$K$78,10,0))</f>
        <v>12.25</v>
      </c>
      <c r="H9" s="306">
        <f>IF(ISERROR(VLOOKUP(A9,'zoznam zapasov'!$A$5:$K$78,11,0))=TRUE,"",VLOOKUP(A9,'zoznam zapasov'!$A$5:$K$78,11,0))</f>
        <v>1</v>
      </c>
      <c r="I9" s="514">
        <v>3</v>
      </c>
      <c r="J9" s="516" t="str">
        <f>IF(ISERROR(VLOOKUP(B9,vylosovanie!$A$8:$J$39,6,0))=TRUE,"",VLOOKUP(B9,vylosovanie!$A$8:$J$39,6,0))</f>
        <v>MIKLUŠČÁK Benjamín</v>
      </c>
      <c r="K9" s="517" t="str">
        <f>IF(ISERROR(VLOOKUP(B9,vylosovanie!$A$8:$J$39,8,0))=TRUE,"",VLOOKUP(B9,vylosovanie!$A$8:$J$39,8,0))</f>
        <v>ŠKST KARLOVA VES</v>
      </c>
      <c r="L9" s="518">
        <f>IF(ISERROR(VLOOKUP(B9,vylosovanie!$A$8:$J$39,9,0))=TRUE,"",VLOOKUP(B9,vylosovanie!$A$8:$J$39,9,0))</f>
        <v>22</v>
      </c>
      <c r="M9" s="521" t="str">
        <f>IF(LEN(O5)=1,":",CONCATENATE(RIGHT(O5,1),":",LEFT(O5,1)))</f>
        <v>0:3</v>
      </c>
      <c r="N9" s="521" t="str">
        <f>IF(LEN(O7)=1,":",CONCATENATE(RIGHT(O7,1),":",LEFT(O7,1)))</f>
        <v>2:3</v>
      </c>
      <c r="O9" s="523"/>
      <c r="P9" s="31" t="str">
        <f>VLOOKUP(A8,'zapisy k stolom'!$A$5:$AV$1444,26,0)</f>
        <v>1:3</v>
      </c>
      <c r="Q9" s="510">
        <f t="shared" ref="Q9" si="6">IF(SUM(Z9:AB9)=0,"",SUM(Z9:AB9))</f>
        <v>3</v>
      </c>
      <c r="R9" s="519" t="str">
        <f t="shared" ref="R9" si="7">IF(CONCATENATE(AG9,":",AL9)="0:0","",CONCATENATE(AG9,":",AL9))</f>
        <v>3:9</v>
      </c>
      <c r="S9" s="510">
        <f t="shared" ref="S9" si="8">IF(ISERROR(AG9/AL9)=TRUE,"",AG9/AL9)</f>
        <v>0.33333333333333331</v>
      </c>
      <c r="T9" s="510">
        <f>IF(AT9&gt;1,"",IF(ISERROR(RANK(Q9,Q5:Q12,0))=TRUE,"",RANK(Q9,Q5:Q12,0)))</f>
        <v>4</v>
      </c>
      <c r="Z9" s="34">
        <f>IF(LEFT(M9,1)="x",0,IF(LEFT(M9,1)&gt;RIGHT(M9,1),2,IF(LEFT(M9,1)&lt;RIGHT(M9,1),1,"")))</f>
        <v>1</v>
      </c>
      <c r="AA9" s="34">
        <f>IF(LEFT(N9,1)="x",0,IF(LEFT(N9,1)&gt;RIGHT(N9,1),2,IF(LEFT(N9,1)&lt;RIGHT(N9,1),1,"")))</f>
        <v>1</v>
      </c>
      <c r="AB9" s="34">
        <f>IF(LEFT(P9,1)="x",0,IF(LEFT(P9,1)&gt;RIGHT(P9,1),2,IF(LEFT(P9,1)&lt;RIGHT(P9,1),1,"")))</f>
        <v>1</v>
      </c>
      <c r="AD9" s="34">
        <f>IF(LEFT(N9,1)="x",0,VALUE(LEFT(N9,1)))</f>
        <v>2</v>
      </c>
      <c r="AE9" s="34">
        <f>IF(LEFT(M9,1)="x",0,VALUE(LEFT(M9,1)))</f>
        <v>0</v>
      </c>
      <c r="AF9" s="34">
        <f>IF(LEFT(P9,1)="x",0,VALUE(LEFT(P9,1)))</f>
        <v>1</v>
      </c>
      <c r="AG9" s="8">
        <f>IF(ISERROR(VALUE(AD9))=TRUE,0,VALUE(AD9))+IF(ISERROR(VALUE(AE9))=TRUE,0,VALUE(AE9))+IF(ISERROR(VALUE(AF9))=TRUE,0,VALUE(AF9))</f>
        <v>3</v>
      </c>
      <c r="AI9" s="34">
        <f>IF(RIGHT(M9,1)="x",0,VALUE(RIGHT(M9,1)))</f>
        <v>3</v>
      </c>
      <c r="AJ9" s="34">
        <f>IF(RIGHT(N9,1)="x",0,VALUE(RIGHT(N9,1)))</f>
        <v>3</v>
      </c>
      <c r="AK9" s="34">
        <f>IF(RIGHT(P9,1)="x",0,VALUE(RIGHT(P9,1)))</f>
        <v>3</v>
      </c>
      <c r="AL9" s="8">
        <f>IF(ISERROR(VALUE(AI9))=TRUE,0,VALUE(AI9))+IF(ISERROR(VALUE(AJ9))=TRUE,0,VALUE(AJ9))+IF(ISERROR(VALUE(AK9))=TRUE,0,VALUE(AK9))</f>
        <v>9</v>
      </c>
      <c r="AP9" s="46">
        <f>IF(LEFT(M9,1)="x",1,0)</f>
        <v>0</v>
      </c>
      <c r="AQ9" s="46">
        <f>IF(LEFT(N9,1)="x",1,0)</f>
        <v>0</v>
      </c>
      <c r="AR9" s="46">
        <f t="shared" ref="AR9" si="9">IF(LEFT(P9,1)="x",1,0)</f>
        <v>0</v>
      </c>
      <c r="AT9" s="8">
        <f>SUM(AP9:AR9)</f>
        <v>0</v>
      </c>
    </row>
    <row r="10" spans="1:46" s="8" customFormat="1" ht="30" customHeight="1" thickBot="1">
      <c r="A10" s="8" t="str">
        <f>CONCATENATE("CH",K3,E10)</f>
        <v>CHA2-3</v>
      </c>
      <c r="E10" s="304" t="s">
        <v>25</v>
      </c>
      <c r="F10" s="305" t="str">
        <f>IF(ISERROR(VLOOKUP(A10,'zoznam zapasov'!$A$5:$K$78,9,0))=TRUE,"",VLOOKUP(A10,'zoznam zapasov'!$A$5:$K$78,9,0))</f>
        <v>So</v>
      </c>
      <c r="G10" s="305" t="str">
        <f>IF(ISERROR(VLOOKUP(A10,'zoznam zapasov'!$A$5:$K$78,10,0))=TRUE,"",VLOOKUP(A10,'zoznam zapasov'!$A$5:$K$78,10,0))</f>
        <v>12.25</v>
      </c>
      <c r="H10" s="306">
        <f>IF(ISERROR(VLOOKUP(A10,'zoznam zapasov'!$A$5:$K$78,11,0))=TRUE,"",VLOOKUP(A10,'zoznam zapasov'!$A$5:$K$78,11,0))</f>
        <v>2</v>
      </c>
      <c r="I10" s="515"/>
      <c r="J10" s="516"/>
      <c r="K10" s="517"/>
      <c r="L10" s="518"/>
      <c r="M10" s="522"/>
      <c r="N10" s="522"/>
      <c r="O10" s="524"/>
      <c r="P10" s="32" t="str">
        <f>VLOOKUP(A8,'zapisy k stolom'!$A$5:$AV$1444,48,0)</f>
        <v>-3,7,-11,-8,,,</v>
      </c>
      <c r="Q10" s="511"/>
      <c r="R10" s="520"/>
      <c r="S10" s="511"/>
      <c r="T10" s="511"/>
      <c r="AP10" s="44"/>
      <c r="AQ10" s="44"/>
    </row>
    <row r="11" spans="1:46" s="8" customFormat="1" ht="39.950000000000003" customHeight="1">
      <c r="B11" s="8" t="str">
        <f>CONCATENATE("CH",I3,I11)</f>
        <v>CH14</v>
      </c>
      <c r="C11" s="8" t="str">
        <f>CONCATENATE(K3,T11)</f>
        <v>A3</v>
      </c>
      <c r="E11" s="304"/>
      <c r="F11" s="305"/>
      <c r="G11" s="305"/>
      <c r="H11" s="306"/>
      <c r="I11" s="514">
        <v>4</v>
      </c>
      <c r="J11" s="516" t="str">
        <f>IF(ISERROR(VLOOKUP(B11,vylosovanie!$A$8:$J$39,6,0))=TRUE,"",VLOOKUP(B11,vylosovanie!$A$8:$J$39,6,0))</f>
        <v>MARUNIAK Martin</v>
      </c>
      <c r="K11" s="517" t="str">
        <f>IF(ISERROR(VLOOKUP(B11,vylosovanie!$A$8:$J$39,8,0))=TRUE,"",VLOOKUP(B11,vylosovanie!$A$8:$J$39,8,0))</f>
        <v>MSTK VTJ MARTIN</v>
      </c>
      <c r="L11" s="518">
        <f>IF(ISERROR(VLOOKUP(B11,vylosovanie!$A$8:$J$39,9,0))=TRUE,"",VLOOKUP(B11,vylosovanie!$A$8:$J$39,9,0))</f>
        <v>29</v>
      </c>
      <c r="M11" s="521" t="str">
        <f>IF(LEN(P5)=1,":",CONCATENATE(RIGHT(P5,1),":",LEFT(P5,1)))</f>
        <v>0:3</v>
      </c>
      <c r="N11" s="521" t="str">
        <f>IF(LEN(P7)=1,":",CONCATENATE(RIGHT(P7,1),":",LEFT(P7,1)))</f>
        <v>1:3</v>
      </c>
      <c r="O11" s="521" t="str">
        <f>IF(LEN(P9)=1,":",CONCATENATE(RIGHT(P9,1),":",LEFT(P9,1)))</f>
        <v>3:1</v>
      </c>
      <c r="P11" s="523"/>
      <c r="Q11" s="510">
        <f t="shared" ref="Q11" si="10">IF(SUM(Z11:AB11)=0,"",SUM(Z11:AB11))</f>
        <v>4</v>
      </c>
      <c r="R11" s="519" t="str">
        <f t="shared" ref="R11" si="11">IF(CONCATENATE(AG11,":",AL11)="0:0","",CONCATENATE(AG11,":",AL11))</f>
        <v>4:7</v>
      </c>
      <c r="S11" s="510">
        <f t="shared" ref="S11" si="12">IF(ISERROR(AG11/AL11)=TRUE,"",AG11/AL11)</f>
        <v>0.5714285714285714</v>
      </c>
      <c r="T11" s="510">
        <f>IF(AT11&gt;1,"",IF(ISERROR(RANK(Q11,Q5:Q12,0))=TRUE,"",RANK(Q11,Q5:Q12,0)))</f>
        <v>3</v>
      </c>
      <c r="Z11" s="34">
        <f>IF(LEFT(M11,1)="x",0,IF(LEFT(M11,1)&gt;RIGHT(M11,1),2,IF(LEFT(M11,1)&lt;RIGHT(M11,1),1,"")))</f>
        <v>1</v>
      </c>
      <c r="AA11" s="34">
        <f>IF(LEFT(N11,1)="x",0,IF(LEFT(N11,1)&gt;RIGHT(N11,1),2,IF(LEFT(N11,1)&lt;RIGHT(N11,1),1,"")))</f>
        <v>1</v>
      </c>
      <c r="AB11" s="34">
        <f>IF(LEFT(O11,1)="x",0,IF(LEFT(O11,1)&gt;RIGHT(O11,1),2,IF(LEFT(O11,1)&lt;RIGHT(O11,1),1,"")))</f>
        <v>2</v>
      </c>
      <c r="AD11" s="34">
        <f>IF(LEFT(M11,1)="x",0,VALUE(LEFT(M11,1)))</f>
        <v>0</v>
      </c>
      <c r="AE11" s="34">
        <f>IF(LEFT(N11,1)="x",0,VALUE(LEFT(N11,1)))</f>
        <v>1</v>
      </c>
      <c r="AF11" s="34">
        <f>IF(LEFT(O11,1)="x",0,VALUE(LEFT(O11,1)))</f>
        <v>3</v>
      </c>
      <c r="AG11" s="8">
        <f>IF(ISERROR(VALUE(AD11))=TRUE,0,VALUE(AD11))+IF(ISERROR(VALUE(AE11))=TRUE,0,VALUE(AE11))+IF(ISERROR(VALUE(AF11))=TRUE,0,VALUE(AF11))</f>
        <v>4</v>
      </c>
      <c r="AI11" s="34">
        <f>IF(RIGHT(M11,1)="x",0,VALUE(RIGHT(M11,1)))</f>
        <v>3</v>
      </c>
      <c r="AJ11" s="34">
        <f>IF(RIGHT(N11,1)="x",0,VALUE(RIGHT(N11,1)))</f>
        <v>3</v>
      </c>
      <c r="AK11" s="34">
        <f>IF(RIGHT(O11,1)="x",0,VALUE(RIGHT(O11,1)))</f>
        <v>1</v>
      </c>
      <c r="AL11" s="8">
        <f>IF(ISERROR(VALUE(AI11))=TRUE,0,VALUE(AI11))+IF(ISERROR(VALUE(AJ11))=TRUE,0,VALUE(AJ11))+IF(ISERROR(VALUE(AK11))=TRUE,0,VALUE(AK11))</f>
        <v>7</v>
      </c>
      <c r="AP11" s="46">
        <f>IF(LEFT(M11,1)="x",1,0)</f>
        <v>0</v>
      </c>
      <c r="AQ11" s="46">
        <f>IF(LEFT(N11,1)="x",1,0)</f>
        <v>0</v>
      </c>
      <c r="AR11" s="46">
        <f>IF(LEFT(O11,1)="x",1,0)</f>
        <v>0</v>
      </c>
      <c r="AT11" s="8">
        <f>SUM(AP11:AR11)</f>
        <v>0</v>
      </c>
    </row>
    <row r="12" spans="1:46" s="8" customFormat="1" ht="30" customHeight="1" thickBot="1">
      <c r="C12" s="8" t="str">
        <f t="shared" ref="C12" si="13">CONCATENATE(K10,T12)</f>
        <v/>
      </c>
      <c r="E12" s="304"/>
      <c r="F12" s="305"/>
      <c r="G12" s="305"/>
      <c r="H12" s="306"/>
      <c r="I12" s="515"/>
      <c r="J12" s="516"/>
      <c r="K12" s="517"/>
      <c r="L12" s="518"/>
      <c r="M12" s="522"/>
      <c r="N12" s="522"/>
      <c r="O12" s="522"/>
      <c r="P12" s="524"/>
      <c r="Q12" s="511"/>
      <c r="R12" s="520"/>
      <c r="S12" s="511"/>
      <c r="T12" s="511"/>
      <c r="AP12" s="44"/>
      <c r="AQ12" s="44"/>
    </row>
    <row r="13" spans="1:46" s="8" customFormat="1" ht="24.75" customHeight="1">
      <c r="E13" s="299"/>
      <c r="F13" s="299"/>
      <c r="G13" s="299"/>
      <c r="H13" s="299"/>
      <c r="I13" s="11"/>
      <c r="J13" s="11"/>
      <c r="K13" s="11"/>
      <c r="L13" s="12"/>
      <c r="M13" s="12"/>
      <c r="N13" s="12"/>
      <c r="O13" s="12"/>
      <c r="P13" s="12"/>
      <c r="Q13" s="12"/>
      <c r="R13" s="12"/>
      <c r="S13" s="12"/>
      <c r="T13" s="12"/>
      <c r="AP13" s="44"/>
      <c r="AQ13" s="44"/>
    </row>
    <row r="14" spans="1:46" s="2" customFormat="1" ht="47.25" thickBot="1">
      <c r="A14" s="2" t="s">
        <v>11</v>
      </c>
      <c r="E14" s="299"/>
      <c r="F14" s="299"/>
      <c r="G14" s="299"/>
      <c r="H14" s="299"/>
      <c r="I14" s="217">
        <v>2</v>
      </c>
      <c r="J14" s="217" t="s">
        <v>13</v>
      </c>
      <c r="K14" s="217" t="s">
        <v>18</v>
      </c>
      <c r="L14" s="12"/>
      <c r="M14" s="12"/>
      <c r="N14" s="12"/>
      <c r="O14" s="12"/>
      <c r="P14" s="12"/>
      <c r="Q14" s="12"/>
      <c r="R14" s="16"/>
      <c r="S14" s="12"/>
      <c r="T14" s="12"/>
      <c r="AO14" s="8"/>
      <c r="AP14" s="43"/>
      <c r="AQ14" s="43"/>
    </row>
    <row r="15" spans="1:46" s="8" customFormat="1" ht="39.950000000000003" customHeight="1" thickBot="1">
      <c r="E15" s="301" t="s">
        <v>14</v>
      </c>
      <c r="F15" s="302" t="s">
        <v>67</v>
      </c>
      <c r="G15" s="302" t="s">
        <v>15</v>
      </c>
      <c r="H15" s="303" t="s">
        <v>16</v>
      </c>
      <c r="I15" s="211"/>
      <c r="J15" s="212" t="s">
        <v>17</v>
      </c>
      <c r="K15" s="213" t="s">
        <v>5</v>
      </c>
      <c r="L15" s="207" t="s">
        <v>44</v>
      </c>
      <c r="M15" s="214">
        <v>1</v>
      </c>
      <c r="N15" s="214">
        <v>2</v>
      </c>
      <c r="O15" s="214">
        <v>3</v>
      </c>
      <c r="P15" s="215">
        <v>4</v>
      </c>
      <c r="Q15" s="216" t="s">
        <v>18</v>
      </c>
      <c r="R15" s="214" t="s">
        <v>45</v>
      </c>
      <c r="S15" s="214" t="s">
        <v>19</v>
      </c>
      <c r="T15" s="215" t="s">
        <v>46</v>
      </c>
      <c r="AD15" s="8" t="s">
        <v>76</v>
      </c>
      <c r="AG15" s="8" t="s">
        <v>77</v>
      </c>
      <c r="AI15" s="8" t="s">
        <v>78</v>
      </c>
      <c r="AL15" s="8" t="s">
        <v>77</v>
      </c>
      <c r="AP15" s="44"/>
      <c r="AQ15" s="44"/>
    </row>
    <row r="16" spans="1:46" s="8" customFormat="1" ht="39.950000000000003" customHeight="1">
      <c r="A16" s="8" t="str">
        <f>CONCATENATE("CH",K14,E16)</f>
        <v>CHB1-3</v>
      </c>
      <c r="B16" s="8" t="str">
        <f>CONCATENATE("CH",I14,I16)</f>
        <v>CH21</v>
      </c>
      <c r="C16" s="8" t="str">
        <f>CONCATENATE(K14,T16)</f>
        <v>B1</v>
      </c>
      <c r="E16" s="304" t="s">
        <v>20</v>
      </c>
      <c r="F16" s="305" t="str">
        <f>IF(ISERROR(VLOOKUP(A16,'zoznam zapasov'!$A$5:$K$78,9,0))=TRUE,"",VLOOKUP(A16,'zoznam zapasov'!$A$5:$K$78,9,0))</f>
        <v>So</v>
      </c>
      <c r="G16" s="305" t="str">
        <f>IF(ISERROR(VLOOKUP(A16,'zoznam zapasov'!$A$5:$K$78,10,0))=TRUE,"",VLOOKUP(A16,'zoznam zapasov'!$A$5:$K$78,10,0))</f>
        <v>9.55</v>
      </c>
      <c r="H16" s="306">
        <f>IF(ISERROR(VLOOKUP(A16,'zoznam zapasov'!$A$5:$K$78,11,0))=TRUE,"",VLOOKUP(A16,'zoznam zapasov'!$A$5:$K$78,11,0))</f>
        <v>3</v>
      </c>
      <c r="I16" s="525">
        <v>1</v>
      </c>
      <c r="J16" s="516" t="str">
        <f>IF(ISERROR(VLOOKUP(B16,vylosovanie!$A$8:$J$39,6,0))=TRUE,"",VLOOKUP(B16,vylosovanie!$A$8:$J$39,6,0))</f>
        <v>KYSEL Martin</v>
      </c>
      <c r="K16" s="517" t="str">
        <f>IF(ISERROR(VLOOKUP(B16,vylosovanie!$A$8:$J$39,8,0))=TRUE,"",VLOOKUP(B16,vylosovanie!$A$8:$J$39,8,0))</f>
        <v>MSTK TVRDOŠÍN</v>
      </c>
      <c r="L16" s="518">
        <f>IF(ISERROR(VLOOKUP(B16,vylosovanie!$A$8:$J$39,9,0))=TRUE,"",VLOOKUP(B16,vylosovanie!$A$8:$J$39,9,0))</f>
        <v>2</v>
      </c>
      <c r="M16" s="523"/>
      <c r="N16" s="31" t="str">
        <f>VLOOKUP(A18,'zapisy k stolom'!$A$5:$AV$1444,26,0)</f>
        <v>3:0</v>
      </c>
      <c r="O16" s="31" t="str">
        <f>VLOOKUP(A16,'zapisy k stolom'!$A$5:$AV$1444,26,0)</f>
        <v>3:0</v>
      </c>
      <c r="P16" s="31" t="str">
        <f>VLOOKUP(A20,'zapisy k stolom'!$A$5:$AV$1444,26,0)</f>
        <v>3:0</v>
      </c>
      <c r="Q16" s="510">
        <f>IF(SUM(Z16:AB16)=0,"",SUM(Z16:AB16))</f>
        <v>6</v>
      </c>
      <c r="R16" s="519" t="str">
        <f>IF(CONCATENATE(AG16,":",AL16)="0:0","",CONCATENATE(AG16,":",AL16))</f>
        <v>9:0</v>
      </c>
      <c r="S16" s="510" t="str">
        <f>IF(ISERROR(AG16/AL16)=TRUE,"",AG16/AL16)</f>
        <v/>
      </c>
      <c r="T16" s="510">
        <f>IF(AT16&gt;1,"",IF(ISERROR(RANK(Q16,Q16:Q23,0))=TRUE,"",RANK(Q16,Q16:Q23,0)))</f>
        <v>1</v>
      </c>
      <c r="Z16" s="34">
        <f>IF(LEFT(N16,1)="x",0,IF(LEFT(N16,1)&gt;RIGHT(N16,1),2,IF(LEFT(N16,1)&lt;RIGHT(N16,1),1,"")))</f>
        <v>2</v>
      </c>
      <c r="AA16" s="34">
        <f>IF(LEFT(O16,1)="x",0,IF(LEFT(O16,1)&gt;RIGHT(O16,1),2,IF(LEFT(O16,1)&lt;RIGHT(O16,1),1,"")))</f>
        <v>2</v>
      </c>
      <c r="AB16" s="34">
        <f>IF(LEFT(P16,1)="x",0,IF(LEFT(P16,1)&gt;RIGHT(P16,1),2,IF(LEFT(P16,1)&lt;RIGHT(P16,1),1,"")))</f>
        <v>2</v>
      </c>
      <c r="AD16" s="34">
        <f>IF(LEFT(O16,1)="x",0,VALUE(LEFT(O16,1)))</f>
        <v>3</v>
      </c>
      <c r="AE16" s="34">
        <f>IF(LEFT(P16,1)="x",0,VALUE(LEFT(P16,1)))</f>
        <v>3</v>
      </c>
      <c r="AF16" s="34">
        <f>IF(LEFT(N16,1)="x",0,VALUE(LEFT(N16,1)))</f>
        <v>3</v>
      </c>
      <c r="AG16" s="8">
        <f>IF(ISERROR(VALUE(AD16))=TRUE,0,VALUE(AD16))+IF(ISERROR(VALUE(AE16))=TRUE,0,VALUE(AE16))+IF(ISERROR(VALUE(AF16))=TRUE,0,VALUE(AF16))</f>
        <v>9</v>
      </c>
      <c r="AI16" s="34">
        <f>IF(RIGHT(O16,1)="x",0,VALUE(RIGHT(O16,1)))</f>
        <v>0</v>
      </c>
      <c r="AJ16" s="34">
        <f>IF(RIGHT(P16,1)="x",0,VALUE(RIGHT(P16,1)))</f>
        <v>0</v>
      </c>
      <c r="AK16" s="34">
        <f>IF(RIGHT(N16,1)="x",0,VALUE(RIGHT(N16,1)))</f>
        <v>0</v>
      </c>
      <c r="AL16" s="8">
        <f>IF(ISERROR(VALUE(AI16))=TRUE,0,VALUE(AI16))+IF(ISERROR(VALUE(AJ16))=TRUE,0,VALUE(AJ16))+IF(ISERROR(VALUE(AK16))=TRUE,0,VALUE(AK16))</f>
        <v>0</v>
      </c>
      <c r="AP16" s="46">
        <f>IF(LEFT(N16,1)="x",1,0)</f>
        <v>0</v>
      </c>
      <c r="AQ16" s="46">
        <f t="shared" ref="AQ16" si="14">IF(LEFT(O16,1)="x",1,0)</f>
        <v>0</v>
      </c>
      <c r="AR16" s="46">
        <f t="shared" ref="AR16" si="15">IF(LEFT(P16,1)="x",1,0)</f>
        <v>0</v>
      </c>
      <c r="AT16" s="8">
        <f>SUM(AP16:AR16)</f>
        <v>0</v>
      </c>
    </row>
    <row r="17" spans="1:46" s="8" customFormat="1" ht="30" customHeight="1" thickBot="1">
      <c r="A17" s="8" t="str">
        <f>CONCATENATE("CH",K14,E17)</f>
        <v>CHB2-4</v>
      </c>
      <c r="E17" s="304" t="s">
        <v>21</v>
      </c>
      <c r="F17" s="305" t="str">
        <f>IF(ISERROR(VLOOKUP(A17,'zoznam zapasov'!$A$5:$K$78,9,0))=TRUE,"",VLOOKUP(A17,'zoznam zapasov'!$A$5:$K$78,9,0))</f>
        <v>So</v>
      </c>
      <c r="G17" s="305" t="str">
        <f>IF(ISERROR(VLOOKUP(A17,'zoznam zapasov'!$A$5:$K$78,10,0))=TRUE,"",VLOOKUP(A17,'zoznam zapasov'!$A$5:$K$78,10,0))</f>
        <v>9.55</v>
      </c>
      <c r="H17" s="306">
        <f>IF(ISERROR(VLOOKUP(A17,'zoznam zapasov'!$A$5:$K$78,11,0))=TRUE,"",VLOOKUP(A17,'zoznam zapasov'!$A$5:$K$78,11,0))</f>
        <v>4</v>
      </c>
      <c r="I17" s="525"/>
      <c r="J17" s="516"/>
      <c r="K17" s="517"/>
      <c r="L17" s="518"/>
      <c r="M17" s="524"/>
      <c r="N17" s="32" t="str">
        <f>VLOOKUP(A18,'zapisy k stolom'!$A$5:$AV$1444,48,0)</f>
        <v>2,4,8,,,,</v>
      </c>
      <c r="O17" s="32" t="str">
        <f>VLOOKUP(A16,'zapisy k stolom'!$A$5:$AV$1444,48,0)</f>
        <v>6,9,7,,,,</v>
      </c>
      <c r="P17" s="32" t="str">
        <f>VLOOKUP(A20,'zapisy k stolom'!$A$5:$AV$1444,48,0)</f>
        <v>8,7,5,,,,</v>
      </c>
      <c r="Q17" s="511"/>
      <c r="R17" s="520"/>
      <c r="S17" s="511"/>
      <c r="T17" s="511"/>
      <c r="AP17" s="44"/>
      <c r="AQ17" s="44"/>
    </row>
    <row r="18" spans="1:46" s="8" customFormat="1" ht="39.950000000000003" customHeight="1">
      <c r="A18" s="8" t="str">
        <f>CONCATENATE("CH",K14,E18)</f>
        <v>CHB1-2</v>
      </c>
      <c r="B18" s="8" t="str">
        <f>CONCATENATE("CH",I14,I18)</f>
        <v>CH22</v>
      </c>
      <c r="C18" s="8" t="str">
        <f>CONCATENATE(K14,T18)</f>
        <v>B2</v>
      </c>
      <c r="E18" s="304" t="s">
        <v>22</v>
      </c>
      <c r="F18" s="305" t="str">
        <f>IF(ISERROR(VLOOKUP(A18,'zoznam zapasov'!$A$5:$K$78,9,0))=TRUE,"",VLOOKUP(A18,'zoznam zapasov'!$A$5:$K$78,9,0))</f>
        <v>So</v>
      </c>
      <c r="G18" s="305" t="str">
        <f>IF(ISERROR(VLOOKUP(A18,'zoznam zapasov'!$A$5:$K$78,10,0))=TRUE,"",VLOOKUP(A18,'zoznam zapasov'!$A$5:$K$78,10,0))</f>
        <v>11.10</v>
      </c>
      <c r="H18" s="306">
        <f>IF(ISERROR(VLOOKUP(A18,'zoznam zapasov'!$A$5:$K$78,11,0))=TRUE,"",VLOOKUP(A18,'zoznam zapasov'!$A$5:$K$78,11,0))</f>
        <v>3</v>
      </c>
      <c r="I18" s="514">
        <v>2</v>
      </c>
      <c r="J18" s="516" t="str">
        <f>IF(ISERROR(VLOOKUP(B18,vylosovanie!$A$8:$J$39,6,0))=TRUE,"",VLOOKUP(B18,vylosovanie!$A$8:$J$39,6,0))</f>
        <v>SUCHA Tomáš</v>
      </c>
      <c r="K18" s="517" t="str">
        <f>IF(ISERROR(VLOOKUP(B18,vylosovanie!$A$8:$J$39,8,0))=TRUE,"",VLOOKUP(B18,vylosovanie!$A$8:$J$39,8,0))</f>
        <v>ŠKST KARLOVA VES</v>
      </c>
      <c r="L18" s="518">
        <f>IF(ISERROR(VLOOKUP(B18,vylosovanie!$A$8:$J$39,9,0))=TRUE,"",VLOOKUP(B18,vylosovanie!$A$8:$J$39,9,0))</f>
        <v>16</v>
      </c>
      <c r="M18" s="526" t="str">
        <f>IF(LEN(N16)=1,":",CONCATENATE(RIGHT(N16,1),":",LEFT(N16,1)))</f>
        <v>0:3</v>
      </c>
      <c r="N18" s="523"/>
      <c r="O18" s="31" t="str">
        <f>VLOOKUP(A21,'zapisy k stolom'!$A$5:$AV$1444,26,0)</f>
        <v>3:1</v>
      </c>
      <c r="P18" s="31" t="str">
        <f>VLOOKUP(A17,'zapisy k stolom'!$A$5:$AV$1444,26,0)</f>
        <v>3:0</v>
      </c>
      <c r="Q18" s="510">
        <f t="shared" ref="Q18" si="16">IF(SUM(Z18:AB18)=0,"",SUM(Z18:AB18))</f>
        <v>5</v>
      </c>
      <c r="R18" s="519" t="str">
        <f t="shared" ref="R18" si="17">IF(CONCATENATE(AG18,":",AL18)="0:0","",CONCATENATE(AG18,":",AL18))</f>
        <v>6:4</v>
      </c>
      <c r="S18" s="510">
        <f t="shared" ref="S18" si="18">IF(ISERROR(AG18/AL18)=TRUE,"",AG18/AL18)</f>
        <v>1.5</v>
      </c>
      <c r="T18" s="510">
        <f>IF(AT18&gt;1,"",IF(ISERROR(RANK(Q18,Q16:Q23,0))=TRUE,"",RANK(Q18,Q16:Q23,0)))</f>
        <v>2</v>
      </c>
      <c r="Z18" s="34">
        <f>IF(LEFT(M18,1)="x",0,IF(LEFT(M18,1)&gt;RIGHT(M18,1),2,IF(LEFT(M18,1)&lt;RIGHT(M18,1),1,"")))</f>
        <v>1</v>
      </c>
      <c r="AA18" s="34">
        <f>IF(LEFT(O18,1)="x",0,IF(LEFT(O18,1)&gt;RIGHT(O18,1),2,IF(LEFT(O18,1)&lt;RIGHT(O18,1),1,"")))</f>
        <v>2</v>
      </c>
      <c r="AB18" s="34">
        <f>IF(LEFT(P18,1)="x",0,IF(LEFT(P18,1)&gt;RIGHT(P18,1),2,IF(LEFT(P18,1)&lt;RIGHT(P18,1),1,"")))</f>
        <v>2</v>
      </c>
      <c r="AD18" s="34">
        <f>IF(LEFT(M18,1)="x",0,VALUE(LEFT(M18,1)))</f>
        <v>0</v>
      </c>
      <c r="AE18" s="34">
        <f>IF(LEFT(P18,1)="x",0,VALUE(LEFT(P18,1)))</f>
        <v>3</v>
      </c>
      <c r="AF18" s="34">
        <f>IF(LEFT(O18,1)="x",0,VALUE(LEFT(O18,1)))</f>
        <v>3</v>
      </c>
      <c r="AG18" s="8">
        <f>IF(ISERROR(VALUE(AD18))=TRUE,0,VALUE(AD18))+IF(ISERROR(VALUE(AE18))=TRUE,0,VALUE(AE18))+IF(ISERROR(VALUE(AF18))=TRUE,0,VALUE(AF18))</f>
        <v>6</v>
      </c>
      <c r="AI18" s="34">
        <f>IF(RIGHT(M18,1)="x",0,VALUE(RIGHT(M18,1)))</f>
        <v>3</v>
      </c>
      <c r="AJ18" s="34">
        <f>IF(RIGHT(P18,1)="x",0,VALUE(RIGHT(P18,1)))</f>
        <v>0</v>
      </c>
      <c r="AK18" s="34">
        <f>IF(RIGHT(O18,1)="x",0,VALUE(RIGHT(O18,1)))</f>
        <v>1</v>
      </c>
      <c r="AL18" s="8">
        <f>IF(ISERROR(VALUE(AI18))=TRUE,0,VALUE(AI18))+IF(ISERROR(VALUE(AJ18))=TRUE,0,VALUE(AJ18))+IF(ISERROR(VALUE(AK18))=TRUE,0,VALUE(AK18))</f>
        <v>4</v>
      </c>
      <c r="AP18" s="46">
        <f>IF(LEFT(M18,1)="x",1,0)</f>
        <v>0</v>
      </c>
      <c r="AQ18" s="46">
        <f t="shared" ref="AQ18" si="19">IF(LEFT(O18,1)="x",1,0)</f>
        <v>0</v>
      </c>
      <c r="AR18" s="46">
        <f t="shared" ref="AR18" si="20">IF(LEFT(P18,1)="x",1,0)</f>
        <v>0</v>
      </c>
      <c r="AT18" s="8">
        <f>SUM(AP18:AR18)</f>
        <v>0</v>
      </c>
    </row>
    <row r="19" spans="1:46" s="8" customFormat="1" ht="30" customHeight="1" thickBot="1">
      <c r="A19" s="8" t="str">
        <f>CONCATENATE("CH",K14,E19)</f>
        <v>CHB3-4</v>
      </c>
      <c r="E19" s="304" t="s">
        <v>23</v>
      </c>
      <c r="F19" s="305" t="str">
        <f>IF(ISERROR(VLOOKUP(A19,'zoznam zapasov'!$A$5:$K$78,9,0))=TRUE,"",VLOOKUP(A19,'zoznam zapasov'!$A$5:$K$78,9,0))</f>
        <v>So</v>
      </c>
      <c r="G19" s="305" t="str">
        <f>IF(ISERROR(VLOOKUP(A19,'zoznam zapasov'!$A$5:$K$78,10,0))=TRUE,"",VLOOKUP(A19,'zoznam zapasov'!$A$5:$K$78,10,0))</f>
        <v>11.10</v>
      </c>
      <c r="H19" s="306">
        <f>IF(ISERROR(VLOOKUP(A19,'zoznam zapasov'!$A$5:$K$78,11,0))=TRUE,"",VLOOKUP(A19,'zoznam zapasov'!$A$5:$K$78,11,0))</f>
        <v>4</v>
      </c>
      <c r="I19" s="515"/>
      <c r="J19" s="516"/>
      <c r="K19" s="517"/>
      <c r="L19" s="518"/>
      <c r="M19" s="522"/>
      <c r="N19" s="524"/>
      <c r="O19" s="32" t="str">
        <f>VLOOKUP(A21,'zapisy k stolom'!$A$5:$AV$1444,48,0)</f>
        <v>-6,4,8,8,,,</v>
      </c>
      <c r="P19" s="32" t="str">
        <f>VLOOKUP(A17,'zapisy k stolom'!$A$5:$AV$1444,48,0)</f>
        <v>5,8,8,,,,</v>
      </c>
      <c r="Q19" s="511"/>
      <c r="R19" s="520"/>
      <c r="S19" s="511"/>
      <c r="T19" s="511"/>
      <c r="AP19" s="44"/>
      <c r="AQ19" s="44"/>
    </row>
    <row r="20" spans="1:46" s="8" customFormat="1" ht="39.950000000000003" customHeight="1">
      <c r="A20" s="8" t="str">
        <f>CONCATENATE("CH",K14,E20)</f>
        <v>CHB1-4</v>
      </c>
      <c r="B20" s="8" t="str">
        <f>CONCATENATE("CH",I14,I20)</f>
        <v>CH23</v>
      </c>
      <c r="C20" s="8" t="str">
        <f>CONCATENATE(K14,T20)</f>
        <v>B3</v>
      </c>
      <c r="E20" s="304" t="s">
        <v>24</v>
      </c>
      <c r="F20" s="305" t="str">
        <f>IF(ISERROR(VLOOKUP(A20,'zoznam zapasov'!$A$5:$K$78,9,0))=TRUE,"",VLOOKUP(A20,'zoznam zapasov'!$A$5:$K$78,9,0))</f>
        <v>So</v>
      </c>
      <c r="G20" s="305" t="str">
        <f>IF(ISERROR(VLOOKUP(A20,'zoznam zapasov'!$A$5:$K$78,10,0))=TRUE,"",VLOOKUP(A20,'zoznam zapasov'!$A$5:$K$78,10,0))</f>
        <v>12.25</v>
      </c>
      <c r="H20" s="306">
        <f>IF(ISERROR(VLOOKUP(A20,'zoznam zapasov'!$A$5:$K$78,11,0))=TRUE,"",VLOOKUP(A20,'zoznam zapasov'!$A$5:$K$78,11,0))</f>
        <v>3</v>
      </c>
      <c r="I20" s="514">
        <v>3</v>
      </c>
      <c r="J20" s="516" t="str">
        <f>IF(ISERROR(VLOOKUP(B20,vylosovanie!$A$8:$J$39,6,0))=TRUE,"",VLOOKUP(B20,vylosovanie!$A$8:$J$39,6,0))</f>
        <v>KAPUSTA Martin</v>
      </c>
      <c r="K20" s="517" t="str">
        <f>IF(ISERROR(VLOOKUP(B20,vylosovanie!$A$8:$J$39,8,0))=TRUE,"",VLOOKUP(B20,vylosovanie!$A$8:$J$39,8,0))</f>
        <v>MSK ČADCA</v>
      </c>
      <c r="L20" s="518">
        <f>IF(ISERROR(VLOOKUP(B20,vylosovanie!$A$8:$J$39,9,0))=TRUE,"",VLOOKUP(B20,vylosovanie!$A$8:$J$39,9,0))</f>
        <v>20</v>
      </c>
      <c r="M20" s="521" t="str">
        <f>IF(LEN(O16)=1,":",CONCATENATE(RIGHT(O16,1),":",LEFT(O16,1)))</f>
        <v>0:3</v>
      </c>
      <c r="N20" s="521" t="str">
        <f>IF(LEN(O18)=1,":",CONCATENATE(RIGHT(O18,1),":",LEFT(O18,1)))</f>
        <v>1:3</v>
      </c>
      <c r="O20" s="523"/>
      <c r="P20" s="31" t="str">
        <f>VLOOKUP(A19,'zapisy k stolom'!$A$5:$AV$1444,26,0)</f>
        <v>3:0</v>
      </c>
      <c r="Q20" s="510">
        <f t="shared" ref="Q20" si="21">IF(SUM(Z20:AB20)=0,"",SUM(Z20:AB20))</f>
        <v>4</v>
      </c>
      <c r="R20" s="519" t="str">
        <f t="shared" ref="R20" si="22">IF(CONCATENATE(AG20,":",AL20)="0:0","",CONCATENATE(AG20,":",AL20))</f>
        <v>4:6</v>
      </c>
      <c r="S20" s="510">
        <f t="shared" ref="S20" si="23">IF(ISERROR(AG20/AL20)=TRUE,"",AG20/AL20)</f>
        <v>0.66666666666666663</v>
      </c>
      <c r="T20" s="510">
        <f>IF(AT20&gt;1,"",IF(ISERROR(RANK(Q20,Q16:Q23,0))=TRUE,"",RANK(Q20,Q16:Q23,0)))</f>
        <v>3</v>
      </c>
      <c r="Z20" s="34">
        <f>IF(LEFT(M20,1)="x",0,IF(LEFT(M20,1)&gt;RIGHT(M20,1),2,IF(LEFT(M20,1)&lt;RIGHT(M20,1),1,"")))</f>
        <v>1</v>
      </c>
      <c r="AA20" s="34">
        <f>IF(LEFT(N20,1)="x",0,IF(LEFT(N20,1)&gt;RIGHT(N20,1),2,IF(LEFT(N20,1)&lt;RIGHT(N20,1),1,"")))</f>
        <v>1</v>
      </c>
      <c r="AB20" s="34">
        <f>IF(LEFT(P20,1)="x",0,IF(LEFT(P20,1)&gt;RIGHT(P20,1),2,IF(LEFT(P20,1)&lt;RIGHT(P20,1),1,"")))</f>
        <v>2</v>
      </c>
      <c r="AD20" s="34">
        <f>IF(LEFT(N20,1)="x",0,VALUE(LEFT(N20,1)))</f>
        <v>1</v>
      </c>
      <c r="AE20" s="34">
        <f>IF(LEFT(M20,1)="x",0,VALUE(LEFT(M20,1)))</f>
        <v>0</v>
      </c>
      <c r="AF20" s="34">
        <f>IF(LEFT(P20,1)="x",0,VALUE(LEFT(P20,1)))</f>
        <v>3</v>
      </c>
      <c r="AG20" s="8">
        <f>IF(ISERROR(VALUE(AD20))=TRUE,0,VALUE(AD20))+IF(ISERROR(VALUE(AE20))=TRUE,0,VALUE(AE20))+IF(ISERROR(VALUE(AF20))=TRUE,0,VALUE(AF20))</f>
        <v>4</v>
      </c>
      <c r="AI20" s="34">
        <f>IF(RIGHT(M20,1)="x",0,VALUE(RIGHT(M20,1)))</f>
        <v>3</v>
      </c>
      <c r="AJ20" s="34">
        <f>IF(RIGHT(N20,1)="x",0,VALUE(RIGHT(N20,1)))</f>
        <v>3</v>
      </c>
      <c r="AK20" s="34">
        <f>IF(RIGHT(P20,1)="x",0,VALUE(RIGHT(P20,1)))</f>
        <v>0</v>
      </c>
      <c r="AL20" s="8">
        <f>IF(ISERROR(VALUE(AI20))=TRUE,0,VALUE(AI20))+IF(ISERROR(VALUE(AJ20))=TRUE,0,VALUE(AJ20))+IF(ISERROR(VALUE(AK20))=TRUE,0,VALUE(AK20))</f>
        <v>6</v>
      </c>
      <c r="AP20" s="46">
        <f>IF(LEFT(M20,1)="x",1,0)</f>
        <v>0</v>
      </c>
      <c r="AQ20" s="46">
        <f>IF(LEFT(N20,1)="x",1,0)</f>
        <v>0</v>
      </c>
      <c r="AR20" s="46">
        <f t="shared" ref="AR20" si="24">IF(LEFT(P20,1)="x",1,0)</f>
        <v>0</v>
      </c>
      <c r="AT20" s="8">
        <f>SUM(AP20:AR20)</f>
        <v>0</v>
      </c>
    </row>
    <row r="21" spans="1:46" s="8" customFormat="1" ht="30" customHeight="1" thickBot="1">
      <c r="A21" s="8" t="str">
        <f>CONCATENATE("CH",K14,E21)</f>
        <v>CHB2-3</v>
      </c>
      <c r="E21" s="304" t="s">
        <v>25</v>
      </c>
      <c r="F21" s="305" t="str">
        <f>IF(ISERROR(VLOOKUP(A21,'zoznam zapasov'!$A$5:$K$78,9,0))=TRUE,"",VLOOKUP(A21,'zoznam zapasov'!$A$5:$K$78,9,0))</f>
        <v>So</v>
      </c>
      <c r="G21" s="305" t="str">
        <f>IF(ISERROR(VLOOKUP(A21,'zoznam zapasov'!$A$5:$K$78,10,0))=TRUE,"",VLOOKUP(A21,'zoznam zapasov'!$A$5:$K$78,10,0))</f>
        <v>12.25</v>
      </c>
      <c r="H21" s="306">
        <f>IF(ISERROR(VLOOKUP(A21,'zoznam zapasov'!$A$5:$K$78,11,0))=TRUE,"",VLOOKUP(A21,'zoznam zapasov'!$A$5:$K$78,11,0))</f>
        <v>4</v>
      </c>
      <c r="I21" s="515"/>
      <c r="J21" s="516"/>
      <c r="K21" s="517"/>
      <c r="L21" s="518"/>
      <c r="M21" s="522"/>
      <c r="N21" s="522"/>
      <c r="O21" s="524"/>
      <c r="P21" s="32" t="str">
        <f>VLOOKUP(A19,'zapisy k stolom'!$A$5:$AV$1444,48,0)</f>
        <v>7,7,6,,,,</v>
      </c>
      <c r="Q21" s="511"/>
      <c r="R21" s="520"/>
      <c r="S21" s="511"/>
      <c r="T21" s="511"/>
      <c r="AP21" s="44"/>
      <c r="AQ21" s="44"/>
    </row>
    <row r="22" spans="1:46" s="8" customFormat="1" ht="39.950000000000003" customHeight="1">
      <c r="B22" s="8" t="str">
        <f>CONCATENATE("CH",I14,I22)</f>
        <v>CH24</v>
      </c>
      <c r="C22" s="8" t="str">
        <f>CONCATENATE(K14,T22)</f>
        <v>B4</v>
      </c>
      <c r="E22" s="304"/>
      <c r="F22" s="307"/>
      <c r="G22" s="308"/>
      <c r="H22" s="309"/>
      <c r="I22" s="514">
        <v>4</v>
      </c>
      <c r="J22" s="516" t="str">
        <f>IF(ISERROR(VLOOKUP(B22,vylosovanie!$A$8:$J$39,6,0))=TRUE,"",VLOOKUP(B22,vylosovanie!$A$8:$J$39,6,0))</f>
        <v>ZAJAC Jakub</v>
      </c>
      <c r="K22" s="517" t="str">
        <f>IF(ISERROR(VLOOKUP(B22,vylosovanie!$A$8:$J$39,8,0))=TRUE,"",VLOOKUP(B22,vylosovanie!$A$8:$J$39,8,0))</f>
        <v>TJ ORAVAN NÁMESTOVO</v>
      </c>
      <c r="L22" s="518">
        <f>IF(ISERROR(VLOOKUP(B22,vylosovanie!$A$8:$J$39,9,0))=TRUE,"",VLOOKUP(B22,vylosovanie!$A$8:$J$39,9,0))</f>
        <v>30</v>
      </c>
      <c r="M22" s="521" t="str">
        <f>IF(LEN(P16)=1,":",CONCATENATE(RIGHT(P16,1),":",LEFT(P16,1)))</f>
        <v>0:3</v>
      </c>
      <c r="N22" s="521" t="str">
        <f>IF(LEN(P18)=1,":",CONCATENATE(RIGHT(P18,1),":",LEFT(P18,1)))</f>
        <v>0:3</v>
      </c>
      <c r="O22" s="521" t="str">
        <f>IF(LEN(P20)=1,":",CONCATENATE(RIGHT(P20,1),":",LEFT(P20,1)))</f>
        <v>0:3</v>
      </c>
      <c r="P22" s="523"/>
      <c r="Q22" s="510">
        <f t="shared" ref="Q22" si="25">IF(SUM(Z22:AB22)=0,"",SUM(Z22:AB22))</f>
        <v>3</v>
      </c>
      <c r="R22" s="519" t="str">
        <f t="shared" ref="R22" si="26">IF(CONCATENATE(AG22,":",AL22)="0:0","",CONCATENATE(AG22,":",AL22))</f>
        <v>0:9</v>
      </c>
      <c r="S22" s="510">
        <f t="shared" ref="S22" si="27">IF(ISERROR(AG22/AL22)=TRUE,"",AG22/AL22)</f>
        <v>0</v>
      </c>
      <c r="T22" s="510">
        <f>IF(AT22&gt;1,"",IF(ISERROR(RANK(Q22,Q16:Q23,0))=TRUE,"",RANK(Q22,Q16:Q23,0)))</f>
        <v>4</v>
      </c>
      <c r="Z22" s="34">
        <f>IF(LEFT(M22,1)="x",0,IF(LEFT(M22,1)&gt;RIGHT(M22,1),2,IF(LEFT(M22,1)&lt;RIGHT(M22,1),1,"")))</f>
        <v>1</v>
      </c>
      <c r="AA22" s="34">
        <f>IF(LEFT(N22,1)="x",0,IF(LEFT(N22,1)&gt;RIGHT(N22,1),2,IF(LEFT(N22,1)&lt;RIGHT(N22,1),1,"")))</f>
        <v>1</v>
      </c>
      <c r="AB22" s="34">
        <f>IF(LEFT(O22,1)="x",0,IF(LEFT(O22,1)&gt;RIGHT(O22,1),2,IF(LEFT(O22,1)&lt;RIGHT(O22,1),1,"")))</f>
        <v>1</v>
      </c>
      <c r="AD22" s="34">
        <f>IF(LEFT(M22,1)="x",0,VALUE(LEFT(M22,1)))</f>
        <v>0</v>
      </c>
      <c r="AE22" s="34">
        <f>IF(LEFT(N22,1)="x",0,VALUE(LEFT(N22,1)))</f>
        <v>0</v>
      </c>
      <c r="AF22" s="34">
        <f>IF(LEFT(O22,1)="x",0,VALUE(LEFT(O22,1)))</f>
        <v>0</v>
      </c>
      <c r="AG22" s="8">
        <f>IF(ISERROR(VALUE(AD22))=TRUE,0,VALUE(AD22))+IF(ISERROR(VALUE(AE22))=TRUE,0,VALUE(AE22))+IF(ISERROR(VALUE(AF22))=TRUE,0,VALUE(AF22))</f>
        <v>0</v>
      </c>
      <c r="AI22" s="34">
        <f>IF(RIGHT(M22,1)="x",0,VALUE(RIGHT(M22,1)))</f>
        <v>3</v>
      </c>
      <c r="AJ22" s="34">
        <f>IF(RIGHT(N22,1)="x",0,VALUE(RIGHT(N22,1)))</f>
        <v>3</v>
      </c>
      <c r="AK22" s="34">
        <f>IF(RIGHT(O22,1)="x",0,VALUE(RIGHT(O22,1)))</f>
        <v>3</v>
      </c>
      <c r="AL22" s="8">
        <f>IF(ISERROR(VALUE(AI22))=TRUE,0,VALUE(AI22))+IF(ISERROR(VALUE(AJ22))=TRUE,0,VALUE(AJ22))+IF(ISERROR(VALUE(AK22))=TRUE,0,VALUE(AK22))</f>
        <v>9</v>
      </c>
      <c r="AP22" s="46">
        <f>IF(LEFT(M22,1)="x",1,0)</f>
        <v>0</v>
      </c>
      <c r="AQ22" s="46">
        <f>IF(LEFT(N22,1)="x",1,0)</f>
        <v>0</v>
      </c>
      <c r="AR22" s="46">
        <f>IF(LEFT(O22,1)="x",1,0)</f>
        <v>0</v>
      </c>
      <c r="AT22" s="8">
        <f>SUM(AP22:AR22)</f>
        <v>0</v>
      </c>
    </row>
    <row r="23" spans="1:46" s="8" customFormat="1" ht="30" customHeight="1" thickBot="1">
      <c r="E23" s="304"/>
      <c r="F23" s="307"/>
      <c r="G23" s="308"/>
      <c r="H23" s="309"/>
      <c r="I23" s="515"/>
      <c r="J23" s="516"/>
      <c r="K23" s="517"/>
      <c r="L23" s="518"/>
      <c r="M23" s="522"/>
      <c r="N23" s="522"/>
      <c r="O23" s="522"/>
      <c r="P23" s="524"/>
      <c r="Q23" s="511"/>
      <c r="R23" s="520"/>
      <c r="S23" s="511"/>
      <c r="T23" s="511"/>
      <c r="AP23" s="44"/>
      <c r="AQ23" s="44"/>
    </row>
    <row r="24" spans="1:46" s="8" customFormat="1" ht="24.75" customHeight="1">
      <c r="E24" s="299"/>
      <c r="F24" s="299"/>
      <c r="G24" s="299"/>
      <c r="H24" s="299"/>
      <c r="I24" s="11"/>
      <c r="J24" s="11"/>
      <c r="K24" s="11"/>
      <c r="L24" s="12"/>
      <c r="M24" s="12"/>
      <c r="N24" s="12"/>
      <c r="O24" s="12"/>
      <c r="P24" s="12"/>
      <c r="Q24" s="12"/>
      <c r="R24" s="12"/>
      <c r="S24" s="12"/>
      <c r="T24" s="12"/>
      <c r="AP24" s="44"/>
      <c r="AQ24" s="44"/>
    </row>
    <row r="25" spans="1:46" s="2" customFormat="1" ht="47.25" thickBot="1">
      <c r="A25" s="2" t="s">
        <v>11</v>
      </c>
      <c r="E25" s="299"/>
      <c r="F25" s="299"/>
      <c r="G25" s="299"/>
      <c r="H25" s="299"/>
      <c r="I25" s="217">
        <v>3</v>
      </c>
      <c r="J25" s="217" t="s">
        <v>13</v>
      </c>
      <c r="K25" s="217" t="s">
        <v>38</v>
      </c>
      <c r="L25" s="12"/>
      <c r="M25" s="12"/>
      <c r="N25" s="12"/>
      <c r="O25" s="12"/>
      <c r="P25" s="12"/>
      <c r="Q25" s="12"/>
      <c r="R25" s="16"/>
      <c r="S25" s="12"/>
      <c r="T25" s="12"/>
      <c r="AO25" s="8"/>
      <c r="AP25" s="43"/>
      <c r="AQ25" s="43"/>
    </row>
    <row r="26" spans="1:46" s="8" customFormat="1" ht="39.950000000000003" customHeight="1" thickBot="1">
      <c r="E26" s="301" t="s">
        <v>14</v>
      </c>
      <c r="F26" s="302" t="s">
        <v>67</v>
      </c>
      <c r="G26" s="302" t="s">
        <v>15</v>
      </c>
      <c r="H26" s="303" t="s">
        <v>16</v>
      </c>
      <c r="I26" s="211"/>
      <c r="J26" s="212" t="s">
        <v>17</v>
      </c>
      <c r="K26" s="213" t="s">
        <v>5</v>
      </c>
      <c r="L26" s="207" t="s">
        <v>44</v>
      </c>
      <c r="M26" s="214">
        <v>1</v>
      </c>
      <c r="N26" s="214">
        <v>2</v>
      </c>
      <c r="O26" s="214">
        <v>3</v>
      </c>
      <c r="P26" s="215">
        <v>4</v>
      </c>
      <c r="Q26" s="216" t="s">
        <v>18</v>
      </c>
      <c r="R26" s="214" t="s">
        <v>45</v>
      </c>
      <c r="S26" s="214" t="s">
        <v>19</v>
      </c>
      <c r="T26" s="215" t="s">
        <v>46</v>
      </c>
      <c r="AD26" s="8" t="s">
        <v>76</v>
      </c>
      <c r="AG26" s="8" t="s">
        <v>77</v>
      </c>
      <c r="AI26" s="8" t="s">
        <v>78</v>
      </c>
      <c r="AL26" s="8" t="s">
        <v>77</v>
      </c>
      <c r="AP26" s="44"/>
      <c r="AQ26" s="44"/>
    </row>
    <row r="27" spans="1:46" s="8" customFormat="1" ht="39.950000000000003" customHeight="1">
      <c r="A27" s="8" t="str">
        <f>CONCATENATE("CH",K25,E27)</f>
        <v>CHC1-3</v>
      </c>
      <c r="B27" s="8" t="str">
        <f>CONCATENATE("CH",I25,I27)</f>
        <v>CH31</v>
      </c>
      <c r="C27" s="8" t="str">
        <f>CONCATENATE(K25,T27)</f>
        <v>C1</v>
      </c>
      <c r="E27" s="304" t="s">
        <v>20</v>
      </c>
      <c r="F27" s="305" t="str">
        <f>IF(ISERROR(VLOOKUP(A27,'zoznam zapasov'!$A$5:$K$78,9,0))=TRUE,"",VLOOKUP(A27,'zoznam zapasov'!$A$5:$K$78,9,0))</f>
        <v>So</v>
      </c>
      <c r="G27" s="305" t="str">
        <f>IF(ISERROR(VLOOKUP(A27,'zoznam zapasov'!$A$5:$K$78,10,0))=TRUE,"",VLOOKUP(A27,'zoznam zapasov'!$A$5:$K$78,10,0))</f>
        <v>9.55</v>
      </c>
      <c r="H27" s="306">
        <f>IF(ISERROR(VLOOKUP(A27,'zoznam zapasov'!$A$5:$K$78,11,0))=TRUE,"",VLOOKUP(A27,'zoznam zapasov'!$A$5:$K$78,11,0))</f>
        <v>5</v>
      </c>
      <c r="I27" s="525">
        <v>1</v>
      </c>
      <c r="J27" s="516" t="str">
        <f>IF(ISERROR(VLOOKUP(B27,vylosovanie!$A$8:$J$39,6,0))=TRUE,"",VLOOKUP(B27,vylosovanie!$A$8:$J$39,6,0))</f>
        <v>FEČO Samuel</v>
      </c>
      <c r="K27" s="517" t="str">
        <f>IF(ISERROR(VLOOKUP(B27,vylosovanie!$A$8:$J$39,8,0))=TRUE,"",VLOOKUP(B27,vylosovanie!$A$8:$J$39,8,0))</f>
        <v>MŠK VSTK VRANOV NAD TOPĽOU</v>
      </c>
      <c r="L27" s="518">
        <f>IF(ISERROR(VLOOKUP(B27,vylosovanie!$A$8:$J$39,9,0))=TRUE,"",VLOOKUP(B27,vylosovanie!$A$8:$J$39,9,0))</f>
        <v>3</v>
      </c>
      <c r="M27" s="523"/>
      <c r="N27" s="31" t="str">
        <f>VLOOKUP(A29,'zapisy k stolom'!$A$5:$AV$1444,26,0)</f>
        <v>2:3</v>
      </c>
      <c r="O27" s="31" t="str">
        <f>VLOOKUP(A27,'zapisy k stolom'!$A$5:$AV$1444,26,0)</f>
        <v>3:0</v>
      </c>
      <c r="P27" s="31" t="str">
        <f>VLOOKUP(A31,'zapisy k stolom'!$A$5:$AV$1444,26,0)</f>
        <v>3:0</v>
      </c>
      <c r="Q27" s="510">
        <f>IF(SUM(Z27:AB27)=0,"",SUM(Z27:AB27))</f>
        <v>5</v>
      </c>
      <c r="R27" s="519" t="str">
        <f>IF(CONCATENATE(AG27,":",AL27)="0:0","",CONCATENATE(AG27,":",AL27))</f>
        <v>8:3</v>
      </c>
      <c r="S27" s="510">
        <f>IF(ISERROR(AG27/AL27)=TRUE,"",AG27/AL27)</f>
        <v>2.6666666666666665</v>
      </c>
      <c r="T27" s="510">
        <f>IF(AT16&gt;1,"",IF(ISERROR(RANK(Q27,Q27:Q34,0))=TRUE,"",RANK(Q27,Q27:Q34,0)))</f>
        <v>1</v>
      </c>
      <c r="U27" s="99"/>
      <c r="V27" s="512">
        <f>IF(ISERROR(RANK(Q27,Q27:Q34,0))=TRUE,"",RANK(Q27,Q27:Q34,0))</f>
        <v>1</v>
      </c>
      <c r="W27" s="41"/>
      <c r="X27" s="41"/>
      <c r="Z27" s="34">
        <f>IF(LEFT(N27,1)="x",0,IF(LEFT(N27,1)&gt;RIGHT(N27,1),2,IF(LEFT(N27,1)&lt;RIGHT(N27,1),1,"")))</f>
        <v>1</v>
      </c>
      <c r="AA27" s="34">
        <f>IF(LEFT(O27,1)="x",0,IF(LEFT(O27,1)&gt;RIGHT(O27,1),2,IF(LEFT(O27,1)&lt;RIGHT(O27,1),1,"")))</f>
        <v>2</v>
      </c>
      <c r="AB27" s="34">
        <f>IF(LEFT(P27,1)="x",0,IF(LEFT(P27,1)&gt;RIGHT(P27,1),2,IF(LEFT(P27,1)&lt;RIGHT(P27,1),1,"")))</f>
        <v>2</v>
      </c>
      <c r="AD27" s="34">
        <f>IF(LEFT(O27,1)="x",0,VALUE(LEFT(O27,1)))</f>
        <v>3</v>
      </c>
      <c r="AE27" s="34">
        <f>IF(LEFT(P27,1)="x",0,VALUE(LEFT(P27,1)))</f>
        <v>3</v>
      </c>
      <c r="AF27" s="34">
        <f>IF(LEFT(N27,1)="x",0,VALUE(LEFT(N27,1)))</f>
        <v>2</v>
      </c>
      <c r="AG27" s="8">
        <f>IF(ISERROR(VALUE(AD27))=TRUE,0,VALUE(AD27))+IF(ISERROR(VALUE(AE27))=TRUE,0,VALUE(AE27))+IF(ISERROR(VALUE(AF27))=TRUE,0,VALUE(AF27))</f>
        <v>8</v>
      </c>
      <c r="AI27" s="34">
        <f>IF(RIGHT(O27,1)="x",0,VALUE(RIGHT(O27,1)))</f>
        <v>0</v>
      </c>
      <c r="AJ27" s="34">
        <f>IF(RIGHT(P27,1)="x",0,VALUE(RIGHT(P27,1)))</f>
        <v>0</v>
      </c>
      <c r="AK27" s="34">
        <f>IF(RIGHT(N27,1)="x",0,VALUE(RIGHT(N27,1)))</f>
        <v>3</v>
      </c>
      <c r="AL27" s="8">
        <f>IF(ISERROR(VALUE(AI27))=TRUE,0,VALUE(AI27))+IF(ISERROR(VALUE(AJ27))=TRUE,0,VALUE(AJ27))+IF(ISERROR(VALUE(AK27))=TRUE,0,VALUE(AK27))</f>
        <v>3</v>
      </c>
      <c r="AP27" s="46">
        <f>IF(LEFT(N27,1)="x",1,0)</f>
        <v>0</v>
      </c>
      <c r="AQ27" s="46">
        <f t="shared" ref="AQ27" si="28">IF(LEFT(O27,1)="x",1,0)</f>
        <v>0</v>
      </c>
      <c r="AR27" s="46">
        <f t="shared" ref="AR27" si="29">IF(LEFT(P27,1)="x",1,0)</f>
        <v>0</v>
      </c>
      <c r="AT27" s="8">
        <f>SUM(AP27:AR27)</f>
        <v>0</v>
      </c>
    </row>
    <row r="28" spans="1:46" s="8" customFormat="1" ht="30" customHeight="1" thickBot="1">
      <c r="A28" s="8" t="str">
        <f>CONCATENATE("CH",K25,E28)</f>
        <v>CHC2-4</v>
      </c>
      <c r="E28" s="304" t="s">
        <v>21</v>
      </c>
      <c r="F28" s="305" t="str">
        <f>IF(ISERROR(VLOOKUP(A28,'zoznam zapasov'!$A$5:$K$78,9,0))=TRUE,"",VLOOKUP(A28,'zoznam zapasov'!$A$5:$K$78,9,0))</f>
        <v>So</v>
      </c>
      <c r="G28" s="305" t="str">
        <f>IF(ISERROR(VLOOKUP(A28,'zoznam zapasov'!$A$5:$K$78,10,0))=TRUE,"",VLOOKUP(A28,'zoznam zapasov'!$A$5:$K$78,10,0))</f>
        <v>9.55</v>
      </c>
      <c r="H28" s="306">
        <f>IF(ISERROR(VLOOKUP(A28,'zoznam zapasov'!$A$5:$K$78,11,0))=TRUE,"",VLOOKUP(A28,'zoznam zapasov'!$A$5:$K$78,11,0))</f>
        <v>6</v>
      </c>
      <c r="I28" s="525"/>
      <c r="J28" s="516"/>
      <c r="K28" s="517"/>
      <c r="L28" s="518"/>
      <c r="M28" s="524"/>
      <c r="N28" s="32" t="str">
        <f>VLOOKUP(A29,'zapisy k stolom'!$A$5:$AV$1444,48,0)</f>
        <v>-7,5,-11,7,-2,,</v>
      </c>
      <c r="O28" s="32" t="str">
        <f>VLOOKUP(A27,'zapisy k stolom'!$A$5:$AV$1444,48,0)</f>
        <v>8,9,7,,,,</v>
      </c>
      <c r="P28" s="32" t="str">
        <f>VLOOKUP(A31,'zapisy k stolom'!$A$5:$AV$1444,48,0)</f>
        <v>9,9,3,,,,</v>
      </c>
      <c r="Q28" s="511"/>
      <c r="R28" s="520"/>
      <c r="S28" s="511"/>
      <c r="T28" s="511"/>
      <c r="U28" s="99"/>
      <c r="V28" s="513"/>
      <c r="W28" s="41"/>
      <c r="X28" s="41"/>
      <c r="AP28" s="44"/>
      <c r="AQ28" s="44"/>
    </row>
    <row r="29" spans="1:46" s="8" customFormat="1" ht="39.950000000000003" customHeight="1">
      <c r="A29" s="8" t="str">
        <f>CONCATENATE("CH",K25,E29)</f>
        <v>CHC1-2</v>
      </c>
      <c r="B29" s="8" t="str">
        <f>CONCATENATE("CH",I25,I29)</f>
        <v>CH32</v>
      </c>
      <c r="C29" s="8" t="str">
        <f>CONCATENATE(K25,T29)</f>
        <v>C2</v>
      </c>
      <c r="E29" s="304" t="s">
        <v>22</v>
      </c>
      <c r="F29" s="305" t="str">
        <f>IF(ISERROR(VLOOKUP(A29,'zoznam zapasov'!$A$5:$K$78,9,0))=TRUE,"",VLOOKUP(A29,'zoznam zapasov'!$A$5:$K$78,9,0))</f>
        <v>So</v>
      </c>
      <c r="G29" s="305" t="str">
        <f>IF(ISERROR(VLOOKUP(A29,'zoznam zapasov'!$A$5:$K$78,10,0))=TRUE,"",VLOOKUP(A29,'zoznam zapasov'!$A$5:$K$78,10,0))</f>
        <v>11.10</v>
      </c>
      <c r="H29" s="306">
        <f>IF(ISERROR(VLOOKUP(A29,'zoznam zapasov'!$A$5:$K$78,11,0))=TRUE,"",VLOOKUP(A29,'zoznam zapasov'!$A$5:$K$78,11,0))</f>
        <v>5</v>
      </c>
      <c r="I29" s="514">
        <v>2</v>
      </c>
      <c r="J29" s="516" t="str">
        <f>IF(ISERROR(VLOOKUP(B29,vylosovanie!$A$8:$J$39,6,0))=TRUE,"",VLOOKUP(B29,vylosovanie!$A$8:$J$39,6,0))</f>
        <v>KLAJBER Adam</v>
      </c>
      <c r="K29" s="517" t="str">
        <f>IF(ISERROR(VLOOKUP(B29,vylosovanie!$A$8:$J$39,8,0))=TRUE,"",VLOOKUP(B29,vylosovanie!$A$8:$J$39,8,0))</f>
        <v>SŠK POPROČ</v>
      </c>
      <c r="L29" s="518">
        <f>IF(ISERROR(VLOOKUP(B29,vylosovanie!$A$8:$J$39,9,0))=TRUE,"",VLOOKUP(B29,vylosovanie!$A$8:$J$39,9,0))</f>
        <v>13</v>
      </c>
      <c r="M29" s="526" t="str">
        <f>IF(LEN(N27)=1,":",CONCATENATE(RIGHT(N27,1),":",LEFT(N27,1)))</f>
        <v>3:2</v>
      </c>
      <c r="N29" s="523"/>
      <c r="O29" s="31" t="str">
        <f>VLOOKUP(A32,'zapisy k stolom'!$A$5:$AV$1444,26,0)</f>
        <v>1:3</v>
      </c>
      <c r="P29" s="31" t="str">
        <f>VLOOKUP(A28,'zapisy k stolom'!$A$5:$AV$1444,26,0)</f>
        <v>3:1</v>
      </c>
      <c r="Q29" s="510">
        <f t="shared" ref="Q29" si="30">IF(SUM(Z29:AB29)=0,"",SUM(Z29:AB29))</f>
        <v>5</v>
      </c>
      <c r="R29" s="519" t="str">
        <f t="shared" ref="R29" si="31">IF(CONCATENATE(AG29,":",AL29)="0:0","",CONCATENATE(AG29,":",AL29))</f>
        <v>7:6</v>
      </c>
      <c r="S29" s="510">
        <f t="shared" ref="S29" si="32">IF(ISERROR(AG29/AL29)=TRUE,"",AG29/AL29)</f>
        <v>1.1666666666666667</v>
      </c>
      <c r="T29" s="510">
        <v>2</v>
      </c>
      <c r="U29" s="99"/>
      <c r="V29" s="512">
        <f>IF(ISERROR(RANK(Q29,Q27:Q34,0))=TRUE,"",RANK(Q29,Q27:Q34,0))</f>
        <v>1</v>
      </c>
      <c r="W29" s="41"/>
      <c r="X29" s="41"/>
      <c r="Z29" s="34">
        <f>IF(LEFT(M29,1)="x",0,IF(LEFT(M29,1)&gt;RIGHT(M29,1),2,IF(LEFT(M29,1)&lt;RIGHT(M29,1),1,"")))</f>
        <v>2</v>
      </c>
      <c r="AA29" s="34">
        <f>IF(LEFT(O29,1)="x",0,IF(LEFT(O29,1)&gt;RIGHT(O29,1),2,IF(LEFT(O29,1)&lt;RIGHT(O29,1),1,"")))</f>
        <v>1</v>
      </c>
      <c r="AB29" s="34">
        <f>IF(LEFT(P29,1)="x",0,IF(LEFT(P29,1)&gt;RIGHT(P29,1),2,IF(LEFT(P29,1)&lt;RIGHT(P29,1),1,"")))</f>
        <v>2</v>
      </c>
      <c r="AD29" s="34">
        <f>IF(LEFT(M29,1)="x",0,VALUE(LEFT(M29,1)))</f>
        <v>3</v>
      </c>
      <c r="AE29" s="34">
        <f>IF(LEFT(P29,1)="x",0,VALUE(LEFT(P29,1)))</f>
        <v>3</v>
      </c>
      <c r="AF29" s="34">
        <f>IF(LEFT(O29,1)="x",0,VALUE(LEFT(O29,1)))</f>
        <v>1</v>
      </c>
      <c r="AG29" s="8">
        <f>IF(ISERROR(VALUE(AD29))=TRUE,0,VALUE(AD29))+IF(ISERROR(VALUE(AE29))=TRUE,0,VALUE(AE29))+IF(ISERROR(VALUE(AF29))=TRUE,0,VALUE(AF29))</f>
        <v>7</v>
      </c>
      <c r="AI29" s="34">
        <f>IF(RIGHT(M29,1)="x",0,VALUE(RIGHT(M29,1)))</f>
        <v>2</v>
      </c>
      <c r="AJ29" s="34">
        <f>IF(RIGHT(P29,1)="x",0,VALUE(RIGHT(P29,1)))</f>
        <v>1</v>
      </c>
      <c r="AK29" s="34">
        <f>IF(RIGHT(O29,1)="x",0,VALUE(RIGHT(O29,1)))</f>
        <v>3</v>
      </c>
      <c r="AL29" s="8">
        <f>IF(ISERROR(VALUE(AI29))=TRUE,0,VALUE(AI29))+IF(ISERROR(VALUE(AJ29))=TRUE,0,VALUE(AJ29))+IF(ISERROR(VALUE(AK29))=TRUE,0,VALUE(AK29))</f>
        <v>6</v>
      </c>
      <c r="AP29" s="46">
        <f>IF(LEFT(M29,1)="x",1,0)</f>
        <v>0</v>
      </c>
      <c r="AQ29" s="46">
        <f t="shared" ref="AQ29" si="33">IF(LEFT(O29,1)="x",1,0)</f>
        <v>0</v>
      </c>
      <c r="AR29" s="46">
        <f t="shared" ref="AR29" si="34">IF(LEFT(P29,1)="x",1,0)</f>
        <v>0</v>
      </c>
      <c r="AT29" s="8">
        <f>SUM(AP29:AR29)</f>
        <v>0</v>
      </c>
    </row>
    <row r="30" spans="1:46" s="8" customFormat="1" ht="30" customHeight="1" thickBot="1">
      <c r="A30" s="8" t="str">
        <f>CONCATENATE("CH",K25,E30)</f>
        <v>CHC3-4</v>
      </c>
      <c r="E30" s="304" t="s">
        <v>23</v>
      </c>
      <c r="F30" s="305" t="str">
        <f>IF(ISERROR(VLOOKUP(A30,'zoznam zapasov'!$A$5:$K$78,9,0))=TRUE,"",VLOOKUP(A30,'zoznam zapasov'!$A$5:$K$78,9,0))</f>
        <v>So</v>
      </c>
      <c r="G30" s="305" t="str">
        <f>IF(ISERROR(VLOOKUP(A30,'zoznam zapasov'!$A$5:$K$78,10,0))=TRUE,"",VLOOKUP(A30,'zoznam zapasov'!$A$5:$K$78,10,0))</f>
        <v>11.10</v>
      </c>
      <c r="H30" s="306">
        <f>IF(ISERROR(VLOOKUP(A30,'zoznam zapasov'!$A$5:$K$78,11,0))=TRUE,"",VLOOKUP(A30,'zoznam zapasov'!$A$5:$K$78,11,0))</f>
        <v>6</v>
      </c>
      <c r="I30" s="515"/>
      <c r="J30" s="516"/>
      <c r="K30" s="517"/>
      <c r="L30" s="518"/>
      <c r="M30" s="522"/>
      <c r="N30" s="524"/>
      <c r="O30" s="32" t="str">
        <f>VLOOKUP(A32,'zapisy k stolom'!$A$5:$AV$1444,48,0)</f>
        <v>-6,-4,8,-4,,,</v>
      </c>
      <c r="P30" s="32" t="str">
        <f>VLOOKUP(A28,'zapisy k stolom'!$A$5:$AV$1444,48,0)</f>
        <v>5,7,-8,9,,,</v>
      </c>
      <c r="Q30" s="511"/>
      <c r="R30" s="520"/>
      <c r="S30" s="511"/>
      <c r="T30" s="511"/>
      <c r="U30" s="99"/>
      <c r="V30" s="513"/>
      <c r="W30" s="41"/>
      <c r="X30" s="41"/>
      <c r="AP30" s="44"/>
      <c r="AQ30" s="44"/>
    </row>
    <row r="31" spans="1:46" s="8" customFormat="1" ht="39.950000000000003" customHeight="1">
      <c r="A31" s="8" t="str">
        <f>CONCATENATE("CH",K25,E31)</f>
        <v>CHC1-4</v>
      </c>
      <c r="B31" s="8" t="str">
        <f>CONCATENATE("CH",I25,I31)</f>
        <v>CH33</v>
      </c>
      <c r="C31" s="8" t="str">
        <f>CONCATENATE(K25,T31)</f>
        <v>C3</v>
      </c>
      <c r="E31" s="304" t="s">
        <v>24</v>
      </c>
      <c r="F31" s="305" t="str">
        <f>IF(ISERROR(VLOOKUP(A31,'zoznam zapasov'!$A$5:$K$78,9,0))=TRUE,"",VLOOKUP(A31,'zoznam zapasov'!$A$5:$K$78,9,0))</f>
        <v>So</v>
      </c>
      <c r="G31" s="305" t="str">
        <f>IF(ISERROR(VLOOKUP(A31,'zoznam zapasov'!$A$5:$K$78,10,0))=TRUE,"",VLOOKUP(A31,'zoznam zapasov'!$A$5:$K$78,10,0))</f>
        <v>12.25</v>
      </c>
      <c r="H31" s="306">
        <f>IF(ISERROR(VLOOKUP(A31,'zoznam zapasov'!$A$5:$K$78,11,0))=TRUE,"",VLOOKUP(A31,'zoznam zapasov'!$A$5:$K$78,11,0))</f>
        <v>5</v>
      </c>
      <c r="I31" s="514">
        <v>3</v>
      </c>
      <c r="J31" s="516" t="str">
        <f>IF(ISERROR(VLOOKUP(B31,vylosovanie!$A$8:$J$39,6,0))=TRUE,"",VLOOKUP(B31,vylosovanie!$A$8:$J$39,6,0))</f>
        <v>FREUND Andrej</v>
      </c>
      <c r="K31" s="517" t="str">
        <f>IF(ISERROR(VLOOKUP(B31,vylosovanie!$A$8:$J$39,8,0))=TRUE,"",VLOOKUP(B31,vylosovanie!$A$8:$J$39,8,0))</f>
        <v>MSK MALACKY</v>
      </c>
      <c r="L31" s="518">
        <f>IF(ISERROR(VLOOKUP(B31,vylosovanie!$A$8:$J$39,9,0))=TRUE,"",VLOOKUP(B31,vylosovanie!$A$8:$J$39,9,0))</f>
        <v>17</v>
      </c>
      <c r="M31" s="521" t="str">
        <f>IF(LEN(O27)=1,":",CONCATENATE(RIGHT(O27,1),":",LEFT(O27,1)))</f>
        <v>0:3</v>
      </c>
      <c r="N31" s="521" t="str">
        <f>IF(LEN(O29)=1,":",CONCATENATE(RIGHT(O29,1),":",LEFT(O29,1)))</f>
        <v>3:1</v>
      </c>
      <c r="O31" s="523"/>
      <c r="P31" s="31" t="str">
        <f>VLOOKUP(A30,'zapisy k stolom'!$A$5:$AV$1444,26,0)</f>
        <v>3:1</v>
      </c>
      <c r="Q31" s="510">
        <f t="shared" ref="Q31" si="35">IF(SUM(Z31:AB31)=0,"",SUM(Z31:AB31))</f>
        <v>5</v>
      </c>
      <c r="R31" s="519" t="str">
        <f t="shared" ref="R31" si="36">IF(CONCATENATE(AG31,":",AL31)="0:0","",CONCATENATE(AG31,":",AL31))</f>
        <v>6:5</v>
      </c>
      <c r="S31" s="510">
        <f t="shared" ref="S31" si="37">IF(ISERROR(AG31/AL31)=TRUE,"",AG31/AL31)</f>
        <v>1.2</v>
      </c>
      <c r="T31" s="510">
        <v>3</v>
      </c>
      <c r="U31" s="99"/>
      <c r="V31" s="512">
        <f>IF(ISERROR(RANK(Q31,Q27:Q34,0))=TRUE,"",RANK(Q31,Q27:Q34,0))</f>
        <v>1</v>
      </c>
      <c r="W31" s="41"/>
      <c r="X31" s="41"/>
      <c r="Z31" s="34">
        <f>IF(LEFT(M31,1)="x",0,IF(LEFT(M31,1)&gt;RIGHT(M31,1),2,IF(LEFT(M31,1)&lt;RIGHT(M31,1),1,"")))</f>
        <v>1</v>
      </c>
      <c r="AA31" s="34">
        <f>IF(LEFT(N31,1)="x",0,IF(LEFT(N31,1)&gt;RIGHT(N31,1),2,IF(LEFT(N31,1)&lt;RIGHT(N31,1),1,"")))</f>
        <v>2</v>
      </c>
      <c r="AB31" s="34">
        <f>IF(LEFT(P31,1)="x",0,IF(LEFT(P31,1)&gt;RIGHT(P31,1),2,IF(LEFT(P31,1)&lt;RIGHT(P31,1),1,"")))</f>
        <v>2</v>
      </c>
      <c r="AD31" s="34">
        <f>IF(LEFT(N31,1)="x",0,VALUE(LEFT(N31,1)))</f>
        <v>3</v>
      </c>
      <c r="AE31" s="34">
        <f>IF(LEFT(M31,1)="x",0,VALUE(LEFT(M31,1)))</f>
        <v>0</v>
      </c>
      <c r="AF31" s="34">
        <f>IF(LEFT(P31,1)="x",0,VALUE(LEFT(P31,1)))</f>
        <v>3</v>
      </c>
      <c r="AG31" s="8">
        <f>IF(ISERROR(VALUE(AD31))=TRUE,0,VALUE(AD31))+IF(ISERROR(VALUE(AE31))=TRUE,0,VALUE(AE31))+IF(ISERROR(VALUE(AF31))=TRUE,0,VALUE(AF31))</f>
        <v>6</v>
      </c>
      <c r="AI31" s="34">
        <f>IF(RIGHT(M31,1)="x",0,VALUE(RIGHT(M31,1)))</f>
        <v>3</v>
      </c>
      <c r="AJ31" s="34">
        <f>IF(RIGHT(N31,1)="x",0,VALUE(RIGHT(N31,1)))</f>
        <v>1</v>
      </c>
      <c r="AK31" s="34">
        <f>IF(RIGHT(P31,1)="x",0,VALUE(RIGHT(P31,1)))</f>
        <v>1</v>
      </c>
      <c r="AL31" s="8">
        <f>IF(ISERROR(VALUE(AI31))=TRUE,0,VALUE(AI31))+IF(ISERROR(VALUE(AJ31))=TRUE,0,VALUE(AJ31))+IF(ISERROR(VALUE(AK31))=TRUE,0,VALUE(AK31))</f>
        <v>5</v>
      </c>
      <c r="AP31" s="46">
        <f>IF(LEFT(M31,1)="x",1,0)</f>
        <v>0</v>
      </c>
      <c r="AQ31" s="46">
        <f>IF(LEFT(N31,1)="x",1,0)</f>
        <v>0</v>
      </c>
      <c r="AR31" s="46">
        <f t="shared" ref="AR31" si="38">IF(LEFT(P31,1)="x",1,0)</f>
        <v>0</v>
      </c>
      <c r="AT31" s="8">
        <f>SUM(AP31:AR31)</f>
        <v>0</v>
      </c>
    </row>
    <row r="32" spans="1:46" s="8" customFormat="1" ht="30" customHeight="1" thickBot="1">
      <c r="A32" s="8" t="str">
        <f>CONCATENATE("CH",K25,E32)</f>
        <v>CHC2-3</v>
      </c>
      <c r="E32" s="304" t="s">
        <v>25</v>
      </c>
      <c r="F32" s="305" t="str">
        <f>IF(ISERROR(VLOOKUP(A32,'zoznam zapasov'!$A$5:$K$78,9,0))=TRUE,"",VLOOKUP(A32,'zoznam zapasov'!$A$5:$K$78,9,0))</f>
        <v>So</v>
      </c>
      <c r="G32" s="305" t="str">
        <f>IF(ISERROR(VLOOKUP(A32,'zoznam zapasov'!$A$5:$K$78,10,0))=TRUE,"",VLOOKUP(A32,'zoznam zapasov'!$A$5:$K$78,10,0))</f>
        <v>12.25</v>
      </c>
      <c r="H32" s="306">
        <f>IF(ISERROR(VLOOKUP(A32,'zoznam zapasov'!$A$5:$K$78,11,0))=TRUE,"",VLOOKUP(A32,'zoznam zapasov'!$A$5:$K$78,11,0))</f>
        <v>6</v>
      </c>
      <c r="I32" s="515"/>
      <c r="J32" s="516"/>
      <c r="K32" s="517"/>
      <c r="L32" s="518"/>
      <c r="M32" s="522"/>
      <c r="N32" s="522"/>
      <c r="O32" s="524"/>
      <c r="P32" s="32" t="str">
        <f>VLOOKUP(A30,'zapisy k stolom'!$A$5:$AV$1444,48,0)</f>
        <v>-4,11,8,10,,,</v>
      </c>
      <c r="Q32" s="511"/>
      <c r="R32" s="520"/>
      <c r="S32" s="511"/>
      <c r="T32" s="511"/>
      <c r="U32" s="99"/>
      <c r="V32" s="513"/>
      <c r="W32" s="41"/>
      <c r="X32" s="41"/>
      <c r="AP32" s="44"/>
      <c r="AQ32" s="44"/>
    </row>
    <row r="33" spans="1:46" s="8" customFormat="1" ht="39.950000000000003" customHeight="1">
      <c r="B33" s="8" t="str">
        <f>CONCATENATE("CH",I25,I33)</f>
        <v>CH34</v>
      </c>
      <c r="C33" s="8" t="str">
        <f>CONCATENATE(K25,T33)</f>
        <v>C4</v>
      </c>
      <c r="E33" s="304"/>
      <c r="F33" s="307"/>
      <c r="G33" s="308"/>
      <c r="H33" s="309"/>
      <c r="I33" s="514">
        <v>4</v>
      </c>
      <c r="J33" s="516" t="str">
        <f>IF(ISERROR(VLOOKUP(B33,vylosovanie!$A$8:$J$39,6,0))=TRUE,"",VLOOKUP(B33,vylosovanie!$A$8:$J$39,6,0))</f>
        <v>KLUČÁR Matej</v>
      </c>
      <c r="K33" s="517" t="str">
        <f>IF(ISERROR(VLOOKUP(B33,vylosovanie!$A$8:$J$39,8,0))=TRUE,"",VLOOKUP(B33,vylosovanie!$A$8:$J$39,8,0))</f>
        <v>TTC MAJCICHOV</v>
      </c>
      <c r="L33" s="518">
        <f>IF(ISERROR(VLOOKUP(B33,vylosovanie!$A$8:$J$39,9,0))=TRUE,"",VLOOKUP(B33,vylosovanie!$A$8:$J$39,9,0))</f>
        <v>26</v>
      </c>
      <c r="M33" s="521" t="str">
        <f>IF(LEN(P27)=1,":",CONCATENATE(RIGHT(P27,1),":",LEFT(P27,1)))</f>
        <v>0:3</v>
      </c>
      <c r="N33" s="521" t="str">
        <f>IF(LEN(P29)=1,":",CONCATENATE(RIGHT(P29,1),":",LEFT(P29,1)))</f>
        <v>1:3</v>
      </c>
      <c r="O33" s="521" t="str">
        <f>IF(LEN(P31)=1,":",CONCATENATE(RIGHT(P31,1),":",LEFT(P31,1)))</f>
        <v>1:3</v>
      </c>
      <c r="P33" s="523"/>
      <c r="Q33" s="510">
        <f t="shared" ref="Q33" si="39">IF(SUM(Z33:AB33)=0,"",SUM(Z33:AB33))</f>
        <v>3</v>
      </c>
      <c r="R33" s="519" t="str">
        <f t="shared" ref="R33" si="40">IF(CONCATENATE(AG33,":",AL33)="0:0","",CONCATENATE(AG33,":",AL33))</f>
        <v>2:9</v>
      </c>
      <c r="S33" s="510">
        <f t="shared" ref="S33" si="41">IF(ISERROR(AG33/AL33)=TRUE,"",AG33/AL33)</f>
        <v>0.22222222222222221</v>
      </c>
      <c r="T33" s="510">
        <f>IF(AT22&gt;1,"",IF(ISERROR(RANK(Q33,Q27:Q34,0))=TRUE,"",RANK(Q33,Q27:Q34,0)))</f>
        <v>4</v>
      </c>
      <c r="U33" s="99"/>
      <c r="V33" s="512">
        <f>IF(ISERROR(RANK(Q33,Q27:Q34,0))=TRUE,"",RANK(Q33,Q27:Q34,0))</f>
        <v>4</v>
      </c>
      <c r="W33" s="41"/>
      <c r="X33" s="41"/>
      <c r="Z33" s="34">
        <f>IF(LEFT(M33,1)="x",0,IF(LEFT(M33,1)&gt;RIGHT(M33,1),2,IF(LEFT(M33,1)&lt;RIGHT(M33,1),1,"")))</f>
        <v>1</v>
      </c>
      <c r="AA33" s="34">
        <f>IF(LEFT(N33,1)="x",0,IF(LEFT(N33,1)&gt;RIGHT(N33,1),2,IF(LEFT(N33,1)&lt;RIGHT(N33,1),1,"")))</f>
        <v>1</v>
      </c>
      <c r="AB33" s="34">
        <f>IF(LEFT(O33,1)="x",0,IF(LEFT(O33,1)&gt;RIGHT(O33,1),2,IF(LEFT(O33,1)&lt;RIGHT(O33,1),1,"")))</f>
        <v>1</v>
      </c>
      <c r="AD33" s="34">
        <f>IF(LEFT(M33,1)="x",0,VALUE(LEFT(M33,1)))</f>
        <v>0</v>
      </c>
      <c r="AE33" s="34">
        <f>IF(LEFT(N33,1)="x",0,VALUE(LEFT(N33,1)))</f>
        <v>1</v>
      </c>
      <c r="AF33" s="34">
        <f>IF(LEFT(O33,1)="x",0,VALUE(LEFT(O33,1)))</f>
        <v>1</v>
      </c>
      <c r="AG33" s="8">
        <f>IF(ISERROR(VALUE(AD33))=TRUE,0,VALUE(AD33))+IF(ISERROR(VALUE(AE33))=TRUE,0,VALUE(AE33))+IF(ISERROR(VALUE(AF33))=TRUE,0,VALUE(AF33))</f>
        <v>2</v>
      </c>
      <c r="AI33" s="34">
        <f>IF(RIGHT(M33,1)="x",0,VALUE(RIGHT(M33,1)))</f>
        <v>3</v>
      </c>
      <c r="AJ33" s="34">
        <f>IF(RIGHT(N33,1)="x",0,VALUE(RIGHT(N33,1)))</f>
        <v>3</v>
      </c>
      <c r="AK33" s="34">
        <f>IF(RIGHT(O33,1)="x",0,VALUE(RIGHT(O33,1)))</f>
        <v>3</v>
      </c>
      <c r="AL33" s="8">
        <f>IF(ISERROR(VALUE(AI33))=TRUE,0,VALUE(AI33))+IF(ISERROR(VALUE(AJ33))=TRUE,0,VALUE(AJ33))+IF(ISERROR(VALUE(AK33))=TRUE,0,VALUE(AK33))</f>
        <v>9</v>
      </c>
      <c r="AP33" s="46">
        <f>IF(LEFT(M33,1)="x",1,0)</f>
        <v>0</v>
      </c>
      <c r="AQ33" s="46">
        <f>IF(LEFT(N33,1)="x",1,0)</f>
        <v>0</v>
      </c>
      <c r="AR33" s="46">
        <f>IF(LEFT(O33,1)="x",1,0)</f>
        <v>0</v>
      </c>
      <c r="AT33" s="8">
        <f>SUM(AP33:AR33)</f>
        <v>0</v>
      </c>
    </row>
    <row r="34" spans="1:46" s="8" customFormat="1" ht="30" customHeight="1" thickBot="1">
      <c r="E34" s="304"/>
      <c r="F34" s="307"/>
      <c r="G34" s="308"/>
      <c r="H34" s="309"/>
      <c r="I34" s="515"/>
      <c r="J34" s="516"/>
      <c r="K34" s="517"/>
      <c r="L34" s="518"/>
      <c r="M34" s="522"/>
      <c r="N34" s="522"/>
      <c r="O34" s="522"/>
      <c r="P34" s="524"/>
      <c r="Q34" s="511"/>
      <c r="R34" s="520"/>
      <c r="S34" s="511"/>
      <c r="T34" s="511"/>
      <c r="U34" s="99"/>
      <c r="V34" s="513"/>
      <c r="W34" s="41"/>
      <c r="X34" s="41"/>
      <c r="AP34" s="44"/>
      <c r="AQ34" s="44"/>
    </row>
    <row r="35" spans="1:46" s="8" customFormat="1" ht="24.75" customHeight="1">
      <c r="E35" s="299"/>
      <c r="F35" s="299"/>
      <c r="G35" s="299"/>
      <c r="H35" s="299"/>
      <c r="I35" s="223"/>
      <c r="J35" s="223"/>
      <c r="K35" s="223"/>
      <c r="L35" s="224"/>
      <c r="M35" s="12"/>
      <c r="N35" s="12"/>
      <c r="O35" s="12"/>
      <c r="P35" s="12"/>
      <c r="Q35" s="12"/>
      <c r="R35" s="12"/>
      <c r="S35" s="12"/>
      <c r="T35" s="12"/>
      <c r="AP35" s="44"/>
      <c r="AQ35" s="44"/>
    </row>
    <row r="36" spans="1:46" s="2" customFormat="1" ht="47.25" thickBot="1">
      <c r="A36" s="2" t="s">
        <v>11</v>
      </c>
      <c r="E36" s="299"/>
      <c r="F36" s="299"/>
      <c r="G36" s="299"/>
      <c r="H36" s="299"/>
      <c r="I36" s="217">
        <v>4</v>
      </c>
      <c r="J36" s="217" t="s">
        <v>13</v>
      </c>
      <c r="K36" s="217" t="s">
        <v>39</v>
      </c>
      <c r="L36" s="12"/>
      <c r="M36" s="12"/>
      <c r="N36" s="12"/>
      <c r="O36" s="12"/>
      <c r="P36" s="12"/>
      <c r="Q36" s="12"/>
      <c r="R36" s="16"/>
      <c r="S36" s="12"/>
      <c r="T36" s="12"/>
      <c r="AO36" s="8"/>
      <c r="AP36" s="43"/>
      <c r="AQ36" s="43"/>
    </row>
    <row r="37" spans="1:46" s="8" customFormat="1" ht="39.950000000000003" customHeight="1" thickBot="1">
      <c r="E37" s="301" t="s">
        <v>14</v>
      </c>
      <c r="F37" s="302" t="s">
        <v>67</v>
      </c>
      <c r="G37" s="302" t="s">
        <v>15</v>
      </c>
      <c r="H37" s="303" t="s">
        <v>16</v>
      </c>
      <c r="I37" s="211"/>
      <c r="J37" s="212" t="s">
        <v>17</v>
      </c>
      <c r="K37" s="213" t="s">
        <v>5</v>
      </c>
      <c r="L37" s="207" t="s">
        <v>44</v>
      </c>
      <c r="M37" s="214">
        <v>1</v>
      </c>
      <c r="N37" s="214">
        <v>2</v>
      </c>
      <c r="O37" s="214">
        <v>3</v>
      </c>
      <c r="P37" s="215">
        <v>4</v>
      </c>
      <c r="Q37" s="216" t="s">
        <v>18</v>
      </c>
      <c r="R37" s="214" t="s">
        <v>45</v>
      </c>
      <c r="S37" s="214" t="s">
        <v>19</v>
      </c>
      <c r="T37" s="215" t="s">
        <v>46</v>
      </c>
      <c r="AD37" s="8" t="s">
        <v>76</v>
      </c>
      <c r="AG37" s="8" t="s">
        <v>77</v>
      </c>
      <c r="AI37" s="8" t="s">
        <v>78</v>
      </c>
      <c r="AL37" s="8" t="s">
        <v>77</v>
      </c>
      <c r="AP37" s="44"/>
      <c r="AQ37" s="44"/>
    </row>
    <row r="38" spans="1:46" s="8" customFormat="1" ht="39.950000000000003" customHeight="1">
      <c r="A38" s="8" t="str">
        <f>CONCATENATE("CH",K36,E38)</f>
        <v>CHD1-3</v>
      </c>
      <c r="B38" s="8" t="str">
        <f>CONCATENATE("CH",I36,I38)</f>
        <v>CH41</v>
      </c>
      <c r="C38" s="8" t="str">
        <f>CONCATENATE(K36,T38)</f>
        <v>D1</v>
      </c>
      <c r="E38" s="304" t="s">
        <v>20</v>
      </c>
      <c r="F38" s="305" t="str">
        <f>IF(ISERROR(VLOOKUP(A38,'zoznam zapasov'!$A$5:$K$78,9,0))=TRUE,"",VLOOKUP(A38,'zoznam zapasov'!$A$5:$K$78,9,0))</f>
        <v>So</v>
      </c>
      <c r="G38" s="305" t="str">
        <f>IF(ISERROR(VLOOKUP(A38,'zoznam zapasov'!$A$5:$K$78,10,0))=TRUE,"",VLOOKUP(A38,'zoznam zapasov'!$A$5:$K$78,10,0))</f>
        <v>9.55</v>
      </c>
      <c r="H38" s="306">
        <f>IF(ISERROR(VLOOKUP(A38,'zoznam zapasov'!$A$5:$K$78,11,0))=TRUE,"",VLOOKUP(A38,'zoznam zapasov'!$A$5:$K$78,11,0))</f>
        <v>7</v>
      </c>
      <c r="I38" s="525">
        <v>1</v>
      </c>
      <c r="J38" s="516" t="str">
        <f>IF(ISERROR(VLOOKUP(B38,vylosovanie!$A$8:$J$39,6,0))=TRUE,"",VLOOKUP(B38,vylosovanie!$A$8:$J$39,6,0))</f>
        <v>PINDURA Tobiáš</v>
      </c>
      <c r="K38" s="517" t="str">
        <f>IF(ISERROR(VLOOKUP(B38,vylosovanie!$A$8:$J$39,8,0))=TRUE,"",VLOOKUP(B38,vylosovanie!$A$8:$J$39,8,0))</f>
        <v>ŠKST RUŽOMBEROK</v>
      </c>
      <c r="L38" s="518">
        <f>IF(ISERROR(VLOOKUP(B38,vylosovanie!$A$8:$J$39,9,0))=TRUE,"",VLOOKUP(B38,vylosovanie!$A$8:$J$39,9,0))</f>
        <v>4</v>
      </c>
      <c r="M38" s="523"/>
      <c r="N38" s="31" t="str">
        <f>VLOOKUP(A40,'zapisy k stolom'!$A$5:$AV$1444,26,0)</f>
        <v>3:0</v>
      </c>
      <c r="O38" s="31" t="str">
        <f>VLOOKUP(A38,'zapisy k stolom'!$A$5:$AV$1444,26,0)</f>
        <v>3:0</v>
      </c>
      <c r="P38" s="31" t="str">
        <f>VLOOKUP(A42,'zapisy k stolom'!$A$5:$AV$1444,26,0)</f>
        <v>3:0</v>
      </c>
      <c r="Q38" s="510">
        <f>IF(SUM(Z38:AB38)=0,"",SUM(Z38:AB38))</f>
        <v>6</v>
      </c>
      <c r="R38" s="519" t="str">
        <f>IF(CONCATENATE(AG38,":",AL38)="0:0","",CONCATENATE(AG38,":",AL38))</f>
        <v>9:0</v>
      </c>
      <c r="S38" s="510" t="str">
        <f>IF(ISERROR(AG38/AL38)=TRUE,"",AG38/AL38)</f>
        <v/>
      </c>
      <c r="T38" s="510">
        <f>IF(AT38&gt;1,"",IF(ISERROR(RANK(Q38,Q38:Q45,0))=TRUE,"",RANK(Q38,Q38:Q45,0)))</f>
        <v>1</v>
      </c>
      <c r="Z38" s="34">
        <f>IF(LEFT(N38,1)="x",0,IF(LEFT(N38,1)&gt;RIGHT(N38,1),2,IF(LEFT(N38,1)&lt;RIGHT(N38,1),1,"")))</f>
        <v>2</v>
      </c>
      <c r="AA38" s="34">
        <f>IF(LEFT(O38,1)="x",0,IF(LEFT(O38,1)&gt;RIGHT(O38,1),2,IF(LEFT(O38,1)&lt;RIGHT(O38,1),1,"")))</f>
        <v>2</v>
      </c>
      <c r="AB38" s="34">
        <f>IF(LEFT(P38,1)="x",0,IF(LEFT(P38,1)&gt;RIGHT(P38,1),2,IF(LEFT(P38,1)&lt;RIGHT(P38,1),1,"")))</f>
        <v>2</v>
      </c>
      <c r="AD38" s="34">
        <f>IF(LEFT(O38,1)="x",0,VALUE(LEFT(O38,1)))</f>
        <v>3</v>
      </c>
      <c r="AE38" s="34">
        <f>IF(LEFT(P38,1)="x",0,VALUE(LEFT(P38,1)))</f>
        <v>3</v>
      </c>
      <c r="AF38" s="34">
        <f>IF(LEFT(N38,1)="x",0,VALUE(LEFT(N38,1)))</f>
        <v>3</v>
      </c>
      <c r="AG38" s="8">
        <f>IF(ISERROR(VALUE(AD38))=TRUE,0,VALUE(AD38))+IF(ISERROR(VALUE(AE38))=TRUE,0,VALUE(AE38))+IF(ISERROR(VALUE(AF38))=TRUE,0,VALUE(AF38))</f>
        <v>9</v>
      </c>
      <c r="AI38" s="34">
        <f>IF(RIGHT(O38,1)="x",0,VALUE(RIGHT(O38,1)))</f>
        <v>0</v>
      </c>
      <c r="AJ38" s="34">
        <f>IF(RIGHT(P38,1)="x",0,VALUE(RIGHT(P38,1)))</f>
        <v>0</v>
      </c>
      <c r="AK38" s="34">
        <f>IF(RIGHT(N38,1)="x",0,VALUE(RIGHT(N38,1)))</f>
        <v>0</v>
      </c>
      <c r="AL38" s="8">
        <f>IF(ISERROR(VALUE(AI38))=TRUE,0,VALUE(AI38))+IF(ISERROR(VALUE(AJ38))=TRUE,0,VALUE(AJ38))+IF(ISERROR(VALUE(AK38))=TRUE,0,VALUE(AK38))</f>
        <v>0</v>
      </c>
      <c r="AP38" s="46">
        <f>IF(LEFT(N38,1)="x",1,0)</f>
        <v>0</v>
      </c>
      <c r="AQ38" s="46">
        <f t="shared" ref="AQ38" si="42">IF(LEFT(O38,1)="x",1,0)</f>
        <v>0</v>
      </c>
      <c r="AR38" s="46">
        <f t="shared" ref="AR38" si="43">IF(LEFT(P38,1)="x",1,0)</f>
        <v>0</v>
      </c>
      <c r="AT38" s="8">
        <f>SUM(AP38:AR38)</f>
        <v>0</v>
      </c>
    </row>
    <row r="39" spans="1:46" s="8" customFormat="1" ht="30" customHeight="1" thickBot="1">
      <c r="A39" s="8" t="str">
        <f>CONCATENATE("CH",K36,E39)</f>
        <v>CHD2-4</v>
      </c>
      <c r="E39" s="304" t="s">
        <v>21</v>
      </c>
      <c r="F39" s="305" t="str">
        <f>IF(ISERROR(VLOOKUP(A39,'zoznam zapasov'!$A$5:$K$78,9,0))=TRUE,"",VLOOKUP(A39,'zoznam zapasov'!$A$5:$K$78,9,0))</f>
        <v>So</v>
      </c>
      <c r="G39" s="305" t="str">
        <f>IF(ISERROR(VLOOKUP(A39,'zoznam zapasov'!$A$5:$K$78,10,0))=TRUE,"",VLOOKUP(A39,'zoznam zapasov'!$A$5:$K$78,10,0))</f>
        <v>9.55</v>
      </c>
      <c r="H39" s="306">
        <f>IF(ISERROR(VLOOKUP(A39,'zoznam zapasov'!$A$5:$K$78,11,0))=TRUE,"",VLOOKUP(A39,'zoznam zapasov'!$A$5:$K$78,11,0))</f>
        <v>8</v>
      </c>
      <c r="I39" s="525"/>
      <c r="J39" s="516"/>
      <c r="K39" s="517"/>
      <c r="L39" s="518"/>
      <c r="M39" s="524"/>
      <c r="N39" s="32" t="str">
        <f>VLOOKUP(A40,'zapisy k stolom'!$A$5:$AV$1444,48,0)</f>
        <v>5,9,9,,,,</v>
      </c>
      <c r="O39" s="32" t="str">
        <f>VLOOKUP(A38,'zapisy k stolom'!$A$5:$AV$1444,48,0)</f>
        <v>5,4,4,,,,</v>
      </c>
      <c r="P39" s="32" t="str">
        <f>VLOOKUP(A42,'zapisy k stolom'!$A$5:$AV$1444,48,0)</f>
        <v>3,4,1,,,,</v>
      </c>
      <c r="Q39" s="511"/>
      <c r="R39" s="520"/>
      <c r="S39" s="511"/>
      <c r="T39" s="511"/>
      <c r="AP39" s="44"/>
      <c r="AQ39" s="44"/>
    </row>
    <row r="40" spans="1:46" s="8" customFormat="1" ht="39.950000000000003" customHeight="1">
      <c r="A40" s="8" t="str">
        <f>CONCATENATE("CH",K36,E40)</f>
        <v>CHD1-2</v>
      </c>
      <c r="B40" s="8" t="str">
        <f>CONCATENATE("CH",I36,I40)</f>
        <v>CH42</v>
      </c>
      <c r="C40" s="8" t="str">
        <f>CONCATENATE(K36,T40)</f>
        <v>D2</v>
      </c>
      <c r="E40" s="304" t="s">
        <v>22</v>
      </c>
      <c r="F40" s="305" t="str">
        <f>IF(ISERROR(VLOOKUP(A40,'zoznam zapasov'!$A$5:$K$78,9,0))=TRUE,"",VLOOKUP(A40,'zoznam zapasov'!$A$5:$K$78,9,0))</f>
        <v>So</v>
      </c>
      <c r="G40" s="305" t="str">
        <f>IF(ISERROR(VLOOKUP(A40,'zoznam zapasov'!$A$5:$K$78,10,0))=TRUE,"",VLOOKUP(A40,'zoznam zapasov'!$A$5:$K$78,10,0))</f>
        <v>11.10</v>
      </c>
      <c r="H40" s="306">
        <f>IF(ISERROR(VLOOKUP(A40,'zoznam zapasov'!$A$5:$K$78,11,0))=TRUE,"",VLOOKUP(A40,'zoznam zapasov'!$A$5:$K$78,11,0))</f>
        <v>7</v>
      </c>
      <c r="I40" s="514">
        <v>2</v>
      </c>
      <c r="J40" s="516" t="str">
        <f>IF(ISERROR(VLOOKUP(B40,vylosovanie!$A$8:$J$39,6,0))=TRUE,"",VLOOKUP(B40,vylosovanie!$A$8:$J$39,6,0))</f>
        <v>HURKA Rastislav</v>
      </c>
      <c r="K40" s="517" t="str">
        <f>IF(ISERROR(VLOOKUP(B40,vylosovanie!$A$8:$J$39,8,0))=TRUE,"",VLOOKUP(B40,vylosovanie!$A$8:$J$39,8,0))</f>
        <v>STO VALALIKY</v>
      </c>
      <c r="L40" s="518">
        <f>IF(ISERROR(VLOOKUP(B40,vylosovanie!$A$8:$J$39,9,0))=TRUE,"",VLOOKUP(B40,vylosovanie!$A$8:$J$39,9,0))</f>
        <v>9</v>
      </c>
      <c r="M40" s="526" t="str">
        <f>IF(LEN(N38)=1,":",CONCATENATE(RIGHT(N38,1),":",LEFT(N38,1)))</f>
        <v>0:3</v>
      </c>
      <c r="N40" s="523"/>
      <c r="O40" s="31" t="str">
        <f>VLOOKUP(A43,'zapisy k stolom'!$A$5:$AV$1444,26,0)</f>
        <v>3:0</v>
      </c>
      <c r="P40" s="31" t="str">
        <f>VLOOKUP(A39,'zapisy k stolom'!$A$5:$AV$1444,26,0)</f>
        <v>3:0</v>
      </c>
      <c r="Q40" s="510">
        <f t="shared" ref="Q40" si="44">IF(SUM(Z40:AB40)=0,"",SUM(Z40:AB40))</f>
        <v>5</v>
      </c>
      <c r="R40" s="519" t="str">
        <f t="shared" ref="R40" si="45">IF(CONCATENATE(AG40,":",AL40)="0:0","",CONCATENATE(AG40,":",AL40))</f>
        <v>6:3</v>
      </c>
      <c r="S40" s="510">
        <f t="shared" ref="S40" si="46">IF(ISERROR(AG40/AL40)=TRUE,"",AG40/AL40)</f>
        <v>2</v>
      </c>
      <c r="T40" s="510">
        <f>IF(AT40&gt;1,"",IF(ISERROR(RANK(Q40,Q38:Q45,0))=TRUE,"",RANK(Q40,Q38:Q45,0)))</f>
        <v>2</v>
      </c>
      <c r="Z40" s="34">
        <f>IF(LEFT(M40,1)="x",0,IF(LEFT(M40,1)&gt;RIGHT(M40,1),2,IF(LEFT(M40,1)&lt;RIGHT(M40,1),1,"")))</f>
        <v>1</v>
      </c>
      <c r="AA40" s="34">
        <f>IF(LEFT(O40,1)="x",0,IF(LEFT(O40,1)&gt;RIGHT(O40,1),2,IF(LEFT(O40,1)&lt;RIGHT(O40,1),1,"")))</f>
        <v>2</v>
      </c>
      <c r="AB40" s="34">
        <f>IF(LEFT(P40,1)="x",0,IF(LEFT(P40,1)&gt;RIGHT(P40,1),2,IF(LEFT(P40,1)&lt;RIGHT(P40,1),1,"")))</f>
        <v>2</v>
      </c>
      <c r="AD40" s="34">
        <f>IF(LEFT(M40,1)="x",0,VALUE(LEFT(M40,1)))</f>
        <v>0</v>
      </c>
      <c r="AE40" s="34">
        <f>IF(LEFT(P40,1)="x",0,VALUE(LEFT(P40,1)))</f>
        <v>3</v>
      </c>
      <c r="AF40" s="34">
        <f>IF(LEFT(O40,1)="x",0,VALUE(LEFT(O40,1)))</f>
        <v>3</v>
      </c>
      <c r="AG40" s="8">
        <f>IF(ISERROR(VALUE(AD40))=TRUE,0,VALUE(AD40))+IF(ISERROR(VALUE(AE40))=TRUE,0,VALUE(AE40))+IF(ISERROR(VALUE(AF40))=TRUE,0,VALUE(AF40))</f>
        <v>6</v>
      </c>
      <c r="AI40" s="34">
        <f>IF(RIGHT(M40,1)="x",0,VALUE(RIGHT(M40,1)))</f>
        <v>3</v>
      </c>
      <c r="AJ40" s="34">
        <f>IF(RIGHT(P40,1)="x",0,VALUE(RIGHT(P40,1)))</f>
        <v>0</v>
      </c>
      <c r="AK40" s="34">
        <f>IF(RIGHT(O40,1)="x",0,VALUE(RIGHT(O40,1)))</f>
        <v>0</v>
      </c>
      <c r="AL40" s="8">
        <f>IF(ISERROR(VALUE(AI40))=TRUE,0,VALUE(AI40))+IF(ISERROR(VALUE(AJ40))=TRUE,0,VALUE(AJ40))+IF(ISERROR(VALUE(AK40))=TRUE,0,VALUE(AK40))</f>
        <v>3</v>
      </c>
      <c r="AP40" s="46">
        <f>IF(LEFT(M40,1)="x",1,0)</f>
        <v>0</v>
      </c>
      <c r="AQ40" s="46">
        <f t="shared" ref="AQ40" si="47">IF(LEFT(O40,1)="x",1,0)</f>
        <v>0</v>
      </c>
      <c r="AR40" s="46">
        <f t="shared" ref="AR40" si="48">IF(LEFT(P40,1)="x",1,0)</f>
        <v>0</v>
      </c>
      <c r="AT40" s="8">
        <f>SUM(AP40:AR40)</f>
        <v>0</v>
      </c>
    </row>
    <row r="41" spans="1:46" s="8" customFormat="1" ht="30" customHeight="1" thickBot="1">
      <c r="A41" s="8" t="str">
        <f>CONCATENATE("CH",K36,E41)</f>
        <v>CHD3-4</v>
      </c>
      <c r="E41" s="304" t="s">
        <v>23</v>
      </c>
      <c r="F41" s="305" t="str">
        <f>IF(ISERROR(VLOOKUP(A41,'zoznam zapasov'!$A$5:$K$78,9,0))=TRUE,"",VLOOKUP(A41,'zoznam zapasov'!$A$5:$K$78,9,0))</f>
        <v>So</v>
      </c>
      <c r="G41" s="305" t="str">
        <f>IF(ISERROR(VLOOKUP(A41,'zoznam zapasov'!$A$5:$K$78,10,0))=TRUE,"",VLOOKUP(A41,'zoznam zapasov'!$A$5:$K$78,10,0))</f>
        <v>11.10</v>
      </c>
      <c r="H41" s="306">
        <f>IF(ISERROR(VLOOKUP(A41,'zoznam zapasov'!$A$5:$K$78,11,0))=TRUE,"",VLOOKUP(A41,'zoznam zapasov'!$A$5:$K$78,11,0))</f>
        <v>8</v>
      </c>
      <c r="I41" s="515"/>
      <c r="J41" s="516"/>
      <c r="K41" s="517"/>
      <c r="L41" s="518"/>
      <c r="M41" s="522"/>
      <c r="N41" s="524"/>
      <c r="O41" s="32" t="str">
        <f>VLOOKUP(A43,'zapisy k stolom'!$A$5:$AV$1444,48,0)</f>
        <v>2,7,8,,,,</v>
      </c>
      <c r="P41" s="32" t="str">
        <f>VLOOKUP(A39,'zapisy k stolom'!$A$5:$AV$1444,48,0)</f>
        <v>3,2,8,,,,</v>
      </c>
      <c r="Q41" s="511"/>
      <c r="R41" s="520"/>
      <c r="S41" s="511"/>
      <c r="T41" s="511"/>
      <c r="AP41" s="44"/>
      <c r="AQ41" s="44"/>
    </row>
    <row r="42" spans="1:46" s="8" customFormat="1" ht="39.950000000000003" customHeight="1">
      <c r="A42" s="8" t="str">
        <f>CONCATENATE("CH",K36,E42)</f>
        <v>CHD1-4</v>
      </c>
      <c r="B42" s="8" t="str">
        <f>CONCATENATE("CH",I36,I42)</f>
        <v>CH43</v>
      </c>
      <c r="C42" s="8" t="str">
        <f>CONCATENATE(K36,T42)</f>
        <v>D3</v>
      </c>
      <c r="E42" s="304" t="s">
        <v>24</v>
      </c>
      <c r="F42" s="305" t="str">
        <f>IF(ISERROR(VLOOKUP(A42,'zoznam zapasov'!$A$5:$K$78,9,0))=TRUE,"",VLOOKUP(A42,'zoznam zapasov'!$A$5:$K$78,9,0))</f>
        <v>So</v>
      </c>
      <c r="G42" s="305" t="str">
        <f>IF(ISERROR(VLOOKUP(A42,'zoznam zapasov'!$A$5:$K$78,10,0))=TRUE,"",VLOOKUP(A42,'zoznam zapasov'!$A$5:$K$78,10,0))</f>
        <v>12.25</v>
      </c>
      <c r="H42" s="306">
        <f>IF(ISERROR(VLOOKUP(A42,'zoznam zapasov'!$A$5:$K$78,11,0))=TRUE,"",VLOOKUP(A42,'zoznam zapasov'!$A$5:$K$78,11,0))</f>
        <v>7</v>
      </c>
      <c r="I42" s="514">
        <v>3</v>
      </c>
      <c r="J42" s="516" t="str">
        <f>IF(ISERROR(VLOOKUP(B42,vylosovanie!$A$8:$J$39,6,0))=TRUE,"",VLOOKUP(B42,vylosovanie!$A$8:$J$39,6,0))</f>
        <v>DELINČAK Filip</v>
      </c>
      <c r="K42" s="517" t="str">
        <f>IF(ISERROR(VLOOKUP(B42,vylosovanie!$A$8:$J$39,8,0))=TRUE,"",VLOOKUP(B42,vylosovanie!$A$8:$J$39,8,0))</f>
        <v>MSK ČADCA</v>
      </c>
      <c r="L42" s="518">
        <f>IF(ISERROR(VLOOKUP(B42,vylosovanie!$A$8:$J$39,9,0))=TRUE,"",VLOOKUP(B42,vylosovanie!$A$8:$J$39,9,0))</f>
        <v>21</v>
      </c>
      <c r="M42" s="521" t="str">
        <f>IF(LEN(O38)=1,":",CONCATENATE(RIGHT(O38,1),":",LEFT(O38,1)))</f>
        <v>0:3</v>
      </c>
      <c r="N42" s="521" t="str">
        <f>IF(LEN(O40)=1,":",CONCATENATE(RIGHT(O40,1),":",LEFT(O40,1)))</f>
        <v>0:3</v>
      </c>
      <c r="O42" s="523"/>
      <c r="P42" s="31" t="str">
        <f>VLOOKUP(A41,'zapisy k stolom'!$A$5:$AV$1444,26,0)</f>
        <v>3:0</v>
      </c>
      <c r="Q42" s="510">
        <f t="shared" ref="Q42" si="49">IF(SUM(Z42:AB42)=0,"",SUM(Z42:AB42))</f>
        <v>4</v>
      </c>
      <c r="R42" s="519" t="str">
        <f t="shared" ref="R42" si="50">IF(CONCATENATE(AG42,":",AL42)="0:0","",CONCATENATE(AG42,":",AL42))</f>
        <v>3:6</v>
      </c>
      <c r="S42" s="510">
        <f t="shared" ref="S42" si="51">IF(ISERROR(AG42/AL42)=TRUE,"",AG42/AL42)</f>
        <v>0.5</v>
      </c>
      <c r="T42" s="510">
        <f>IF(AT42&gt;1,"",IF(ISERROR(RANK(Q42,Q38:Q45,0))=TRUE,"",RANK(Q42,Q38:Q45,0)))</f>
        <v>3</v>
      </c>
      <c r="Z42" s="34">
        <f>IF(LEFT(M42,1)="x",0,IF(LEFT(M42,1)&gt;RIGHT(M42,1),2,IF(LEFT(M42,1)&lt;RIGHT(M42,1),1,"")))</f>
        <v>1</v>
      </c>
      <c r="AA42" s="34">
        <f>IF(LEFT(N42,1)="x",0,IF(LEFT(N42,1)&gt;RIGHT(N42,1),2,IF(LEFT(N42,1)&lt;RIGHT(N42,1),1,"")))</f>
        <v>1</v>
      </c>
      <c r="AB42" s="34">
        <f>IF(LEFT(P42,1)="x",0,IF(LEFT(P42,1)&gt;RIGHT(P42,1),2,IF(LEFT(P42,1)&lt;RIGHT(P42,1),1,"")))</f>
        <v>2</v>
      </c>
      <c r="AD42" s="34">
        <f>IF(LEFT(N42,1)="x",0,VALUE(LEFT(N42,1)))</f>
        <v>0</v>
      </c>
      <c r="AE42" s="34">
        <f>IF(LEFT(M42,1)="x",0,VALUE(LEFT(M42,1)))</f>
        <v>0</v>
      </c>
      <c r="AF42" s="34">
        <f>IF(LEFT(P42,1)="x",0,VALUE(LEFT(P42,1)))</f>
        <v>3</v>
      </c>
      <c r="AG42" s="8">
        <f>IF(ISERROR(VALUE(AD42))=TRUE,0,VALUE(AD42))+IF(ISERROR(VALUE(AE42))=TRUE,0,VALUE(AE42))+IF(ISERROR(VALUE(AF42))=TRUE,0,VALUE(AF42))</f>
        <v>3</v>
      </c>
      <c r="AI42" s="34">
        <f>IF(RIGHT(M42,1)="x",0,VALUE(RIGHT(M42,1)))</f>
        <v>3</v>
      </c>
      <c r="AJ42" s="34">
        <f>IF(RIGHT(N42,1)="x",0,VALUE(RIGHT(N42,1)))</f>
        <v>3</v>
      </c>
      <c r="AK42" s="34">
        <f>IF(RIGHT(P42,1)="x",0,VALUE(RIGHT(P42,1)))</f>
        <v>0</v>
      </c>
      <c r="AL42" s="8">
        <f>IF(ISERROR(VALUE(AI42))=TRUE,0,VALUE(AI42))+IF(ISERROR(VALUE(AJ42))=TRUE,0,VALUE(AJ42))+IF(ISERROR(VALUE(AK42))=TRUE,0,VALUE(AK42))</f>
        <v>6</v>
      </c>
      <c r="AP42" s="46">
        <f>IF(LEFT(M42,1)="x",1,0)</f>
        <v>0</v>
      </c>
      <c r="AQ42" s="46">
        <f>IF(LEFT(N42,1)="x",1,0)</f>
        <v>0</v>
      </c>
      <c r="AR42" s="46">
        <f t="shared" ref="AR42" si="52">IF(LEFT(P42,1)="x",1,0)</f>
        <v>0</v>
      </c>
      <c r="AT42" s="8">
        <f>SUM(AP42:AR42)</f>
        <v>0</v>
      </c>
    </row>
    <row r="43" spans="1:46" s="8" customFormat="1" ht="30" customHeight="1" thickBot="1">
      <c r="A43" s="8" t="str">
        <f>CONCATENATE("CH",K36,E43)</f>
        <v>CHD2-3</v>
      </c>
      <c r="E43" s="304" t="s">
        <v>25</v>
      </c>
      <c r="F43" s="305" t="str">
        <f>IF(ISERROR(VLOOKUP(A43,'zoznam zapasov'!$A$5:$K$78,9,0))=TRUE,"",VLOOKUP(A43,'zoznam zapasov'!$A$5:$K$78,9,0))</f>
        <v>So</v>
      </c>
      <c r="G43" s="305" t="str">
        <f>IF(ISERROR(VLOOKUP(A43,'zoznam zapasov'!$A$5:$K$78,10,0))=TRUE,"",VLOOKUP(A43,'zoznam zapasov'!$A$5:$K$78,10,0))</f>
        <v>12.25</v>
      </c>
      <c r="H43" s="306">
        <f>IF(ISERROR(VLOOKUP(A43,'zoznam zapasov'!$A$5:$K$78,11,0))=TRUE,"",VLOOKUP(A43,'zoznam zapasov'!$A$5:$K$78,11,0))</f>
        <v>8</v>
      </c>
      <c r="I43" s="515"/>
      <c r="J43" s="516"/>
      <c r="K43" s="517"/>
      <c r="L43" s="518"/>
      <c r="M43" s="522"/>
      <c r="N43" s="522"/>
      <c r="O43" s="524"/>
      <c r="P43" s="32" t="str">
        <f>VLOOKUP(A41,'zapisy k stolom'!$A$5:$AV$1444,48,0)</f>
        <v>8,5,4,,,,</v>
      </c>
      <c r="Q43" s="511"/>
      <c r="R43" s="520"/>
      <c r="S43" s="511"/>
      <c r="T43" s="511"/>
      <c r="AP43" s="44"/>
      <c r="AQ43" s="44"/>
    </row>
    <row r="44" spans="1:46" s="8" customFormat="1" ht="39.950000000000003" customHeight="1">
      <c r="B44" s="8" t="str">
        <f>CONCATENATE("CH",I36,I44)</f>
        <v>CH44</v>
      </c>
      <c r="C44" s="8" t="str">
        <f>CONCATENATE(K36,T44)</f>
        <v>D4</v>
      </c>
      <c r="E44" s="304"/>
      <c r="F44" s="307"/>
      <c r="G44" s="308"/>
      <c r="H44" s="309"/>
      <c r="I44" s="514">
        <v>4</v>
      </c>
      <c r="J44" s="516" t="str">
        <f>IF(ISERROR(VLOOKUP(B44,vylosovanie!$A$8:$J$39,6,0))=TRUE,"",VLOOKUP(B44,vylosovanie!$A$8:$J$39,6,0))</f>
        <v>TRŇAN Jakub</v>
      </c>
      <c r="K44" s="517" t="str">
        <f>IF(ISERROR(VLOOKUP(B44,vylosovanie!$A$8:$J$39,8,0))=TRUE,"",VLOOKUP(B44,vylosovanie!$A$8:$J$39,8,0))</f>
        <v>STK RYBNÍK</v>
      </c>
      <c r="L44" s="518">
        <f>IF(ISERROR(VLOOKUP(B44,vylosovanie!$A$8:$J$39,9,0))=TRUE,"",VLOOKUP(B44,vylosovanie!$A$8:$J$39,9,0))</f>
        <v>33</v>
      </c>
      <c r="M44" s="521" t="str">
        <f>IF(LEN(P38)=1,":",CONCATENATE(RIGHT(P38,1),":",LEFT(P38,1)))</f>
        <v>0:3</v>
      </c>
      <c r="N44" s="521" t="str">
        <f>IF(LEN(P40)=1,":",CONCATENATE(RIGHT(P40,1),":",LEFT(P40,1)))</f>
        <v>0:3</v>
      </c>
      <c r="O44" s="521" t="str">
        <f>IF(LEN(P42)=1,":",CONCATENATE(RIGHT(P42,1),":",LEFT(P42,1)))</f>
        <v>0:3</v>
      </c>
      <c r="P44" s="523"/>
      <c r="Q44" s="510">
        <f t="shared" ref="Q44" si="53">IF(SUM(Z44:AB44)=0,"",SUM(Z44:AB44))</f>
        <v>3</v>
      </c>
      <c r="R44" s="519" t="str">
        <f t="shared" ref="R44" si="54">IF(CONCATENATE(AG44,":",AL44)="0:0","",CONCATENATE(AG44,":",AL44))</f>
        <v>0:9</v>
      </c>
      <c r="S44" s="510">
        <f t="shared" ref="S44" si="55">IF(ISERROR(AG44/AL44)=TRUE,"",AG44/AL44)</f>
        <v>0</v>
      </c>
      <c r="T44" s="510">
        <f>IF(AT44&gt;1,"",IF(ISERROR(RANK(Q44,Q38:Q45,0))=TRUE,"",RANK(Q44,Q38:Q45,0)))</f>
        <v>4</v>
      </c>
      <c r="Z44" s="34">
        <f>IF(LEFT(M44,1)="x",0,IF(LEFT(M44,1)&gt;RIGHT(M44,1),2,IF(LEFT(M44,1)&lt;RIGHT(M44,1),1,"")))</f>
        <v>1</v>
      </c>
      <c r="AA44" s="34">
        <f>IF(LEFT(N44,1)="x",0,IF(LEFT(N44,1)&gt;RIGHT(N44,1),2,IF(LEFT(N44,1)&lt;RIGHT(N44,1),1,"")))</f>
        <v>1</v>
      </c>
      <c r="AB44" s="34">
        <f>IF(LEFT(O44,1)="x",0,IF(LEFT(O44,1)&gt;RIGHT(O44,1),2,IF(LEFT(O44,1)&lt;RIGHT(O44,1),1,"")))</f>
        <v>1</v>
      </c>
      <c r="AD44" s="34">
        <f>IF(LEFT(M44,1)="x",0,VALUE(LEFT(M44,1)))</f>
        <v>0</v>
      </c>
      <c r="AE44" s="34">
        <f>IF(LEFT(N44,1)="x",0,VALUE(LEFT(N44,1)))</f>
        <v>0</v>
      </c>
      <c r="AF44" s="34">
        <f>IF(LEFT(O44,1)="x",0,VALUE(LEFT(O44,1)))</f>
        <v>0</v>
      </c>
      <c r="AG44" s="8">
        <f>IF(ISERROR(VALUE(AD44))=TRUE,0,VALUE(AD44))+IF(ISERROR(VALUE(AE44))=TRUE,0,VALUE(AE44))+IF(ISERROR(VALUE(AF44))=TRUE,0,VALUE(AF44))</f>
        <v>0</v>
      </c>
      <c r="AI44" s="34">
        <f>IF(RIGHT(M44,1)="x",0,VALUE(RIGHT(M44,1)))</f>
        <v>3</v>
      </c>
      <c r="AJ44" s="34">
        <f>IF(RIGHT(N44,1)="x",0,VALUE(RIGHT(N44,1)))</f>
        <v>3</v>
      </c>
      <c r="AK44" s="34">
        <f>IF(RIGHT(O44,1)="x",0,VALUE(RIGHT(O44,1)))</f>
        <v>3</v>
      </c>
      <c r="AL44" s="8">
        <f>IF(ISERROR(VALUE(AI44))=TRUE,0,VALUE(AI44))+IF(ISERROR(VALUE(AJ44))=TRUE,0,VALUE(AJ44))+IF(ISERROR(VALUE(AK44))=TRUE,0,VALUE(AK44))</f>
        <v>9</v>
      </c>
      <c r="AP44" s="46">
        <f>IF(LEFT(M44,1)="x",1,0)</f>
        <v>0</v>
      </c>
      <c r="AQ44" s="46">
        <f>IF(LEFT(N44,1)="x",1,0)</f>
        <v>0</v>
      </c>
      <c r="AR44" s="46">
        <f>IF(LEFT(O44,1)="x",1,0)</f>
        <v>0</v>
      </c>
      <c r="AT44" s="8">
        <f>SUM(AP44:AR44)</f>
        <v>0</v>
      </c>
    </row>
    <row r="45" spans="1:46" s="8" customFormat="1" ht="30" customHeight="1" thickBot="1">
      <c r="E45" s="304"/>
      <c r="F45" s="307"/>
      <c r="G45" s="308"/>
      <c r="H45" s="309"/>
      <c r="I45" s="515"/>
      <c r="J45" s="516"/>
      <c r="K45" s="517"/>
      <c r="L45" s="518"/>
      <c r="M45" s="522"/>
      <c r="N45" s="522"/>
      <c r="O45" s="522"/>
      <c r="P45" s="524"/>
      <c r="Q45" s="511"/>
      <c r="R45" s="520"/>
      <c r="S45" s="511"/>
      <c r="T45" s="511"/>
      <c r="AP45" s="44"/>
      <c r="AQ45" s="44"/>
    </row>
    <row r="46" spans="1:46" s="8" customFormat="1" ht="24.75" customHeight="1">
      <c r="E46" s="299"/>
      <c r="F46" s="299"/>
      <c r="G46" s="299"/>
      <c r="H46" s="299"/>
      <c r="I46" s="11"/>
      <c r="J46" s="11"/>
      <c r="K46" s="11"/>
      <c r="L46" s="12"/>
      <c r="M46" s="12"/>
      <c r="N46" s="12"/>
      <c r="O46" s="12"/>
      <c r="P46" s="12"/>
      <c r="Q46" s="12"/>
      <c r="R46" s="12"/>
      <c r="S46" s="12"/>
      <c r="T46" s="12"/>
      <c r="AP46" s="44"/>
      <c r="AQ46" s="44"/>
    </row>
    <row r="47" spans="1:46" s="2" customFormat="1" ht="47.25" thickBot="1">
      <c r="A47" s="2" t="s">
        <v>11</v>
      </c>
      <c r="E47" s="299"/>
      <c r="F47" s="299"/>
      <c r="G47" s="299"/>
      <c r="H47" s="299"/>
      <c r="I47" s="217">
        <v>5</v>
      </c>
      <c r="J47" s="217" t="s">
        <v>13</v>
      </c>
      <c r="K47" s="217" t="s">
        <v>40</v>
      </c>
      <c r="L47" s="12"/>
      <c r="M47" s="12"/>
      <c r="N47" s="12"/>
      <c r="O47" s="12"/>
      <c r="P47" s="12"/>
      <c r="Q47" s="12"/>
      <c r="R47" s="16"/>
      <c r="S47" s="12"/>
      <c r="T47" s="12"/>
      <c r="AO47" s="8"/>
      <c r="AP47" s="43"/>
      <c r="AQ47" s="43"/>
    </row>
    <row r="48" spans="1:46" s="8" customFormat="1" ht="39.950000000000003" customHeight="1" thickBot="1">
      <c r="E48" s="301" t="s">
        <v>14</v>
      </c>
      <c r="F48" s="302" t="s">
        <v>67</v>
      </c>
      <c r="G48" s="302" t="s">
        <v>15</v>
      </c>
      <c r="H48" s="303" t="s">
        <v>16</v>
      </c>
      <c r="I48" s="211"/>
      <c r="J48" s="212" t="s">
        <v>17</v>
      </c>
      <c r="K48" s="213" t="s">
        <v>5</v>
      </c>
      <c r="L48" s="207" t="s">
        <v>44</v>
      </c>
      <c r="M48" s="214">
        <v>1</v>
      </c>
      <c r="N48" s="214">
        <v>2</v>
      </c>
      <c r="O48" s="214">
        <v>3</v>
      </c>
      <c r="P48" s="215">
        <v>4</v>
      </c>
      <c r="Q48" s="216" t="s">
        <v>18</v>
      </c>
      <c r="R48" s="214" t="s">
        <v>45</v>
      </c>
      <c r="S48" s="214" t="s">
        <v>19</v>
      </c>
      <c r="T48" s="215" t="s">
        <v>46</v>
      </c>
      <c r="AD48" s="8" t="s">
        <v>76</v>
      </c>
      <c r="AG48" s="8" t="s">
        <v>77</v>
      </c>
      <c r="AI48" s="8" t="s">
        <v>78</v>
      </c>
      <c r="AL48" s="8" t="s">
        <v>77</v>
      </c>
      <c r="AP48" s="44"/>
      <c r="AQ48" s="44"/>
    </row>
    <row r="49" spans="1:50" s="8" customFormat="1" ht="39.950000000000003" customHeight="1">
      <c r="A49" s="8" t="str">
        <f>CONCATENATE("CH",K47,E49)</f>
        <v>CHE1-3</v>
      </c>
      <c r="B49" s="8" t="str">
        <f>CONCATENATE("CH",I47,I49)</f>
        <v>CH51</v>
      </c>
      <c r="C49" s="8" t="str">
        <f>CONCATENATE(K47,T49)</f>
        <v>E1</v>
      </c>
      <c r="E49" s="304" t="s">
        <v>20</v>
      </c>
      <c r="F49" s="305" t="str">
        <f>IF(ISERROR(VLOOKUP(A49,'zoznam zapasov'!$A$5:$K$78,9,0))=TRUE,"",VLOOKUP(A49,'zoznam zapasov'!$A$5:$K$78,9,0))</f>
        <v>So</v>
      </c>
      <c r="G49" s="305" t="str">
        <f>IF(ISERROR(VLOOKUP(A49,'zoznam zapasov'!$A$5:$K$78,10,0))=TRUE,"",VLOOKUP(A49,'zoznam zapasov'!$A$5:$K$78,10,0))</f>
        <v>10.20</v>
      </c>
      <c r="H49" s="306">
        <f>IF(ISERROR(VLOOKUP(A49,'zoznam zapasov'!$A$5:$K$78,11,0))=TRUE,"",VLOOKUP(A49,'zoznam zapasov'!$A$5:$K$78,11,0))</f>
        <v>1</v>
      </c>
      <c r="I49" s="525">
        <v>1</v>
      </c>
      <c r="J49" s="516" t="str">
        <f>IF(ISERROR(VLOOKUP(B49,vylosovanie!$A$8:$J$39,6,0))=TRUE,"",VLOOKUP(B49,vylosovanie!$A$8:$J$39,6,0))</f>
        <v>PETRÍK Filip</v>
      </c>
      <c r="K49" s="517" t="str">
        <f>IF(ISERROR(VLOOKUP(B49,vylosovanie!$A$8:$J$39,8,0))=TRUE,"",VLOOKUP(B49,vylosovanie!$A$8:$J$39,8,0))</f>
        <v>KST PLUS40 TREBIŠOV/ŠKST MICHALOVCE</v>
      </c>
      <c r="L49" s="518">
        <f>IF(ISERROR(VLOOKUP(B49,vylosovanie!$A$8:$J$39,9,0))=TRUE,"",VLOOKUP(B49,vylosovanie!$A$8:$J$39,9,0))</f>
        <v>5</v>
      </c>
      <c r="M49" s="523"/>
      <c r="N49" s="31" t="str">
        <f>VLOOKUP(A51,'zapisy k stolom'!$A$5:$AV$1444,26,0)</f>
        <v>3:2</v>
      </c>
      <c r="O49" s="31" t="str">
        <f>VLOOKUP(A49,'zapisy k stolom'!$A$5:$AV$1444,26,0)</f>
        <v>3:0</v>
      </c>
      <c r="P49" s="31" t="str">
        <f>VLOOKUP(A53,'zapisy k stolom'!$A$5:$AV$1444,26,0)</f>
        <v>3:0</v>
      </c>
      <c r="Q49" s="510">
        <f>IF(SUM(Z49:AB49)=0,"",SUM(Z49:AB49))</f>
        <v>6</v>
      </c>
      <c r="R49" s="519" t="str">
        <f>IF(CONCATENATE(AG49,":",AL49)="0:0","",CONCATENATE(AG49,":",AL49))</f>
        <v>9:2</v>
      </c>
      <c r="S49" s="510">
        <f>IF(ISERROR(AG49/AL49)=TRUE,"",AG49/AL49)</f>
        <v>4.5</v>
      </c>
      <c r="T49" s="510">
        <f>IF(AT49&gt;1,"",IF(ISERROR(RANK(Q49,Q49:Q56,0))=TRUE,"",RANK(Q49,Q49:Q56,0)))</f>
        <v>1</v>
      </c>
      <c r="Z49" s="34">
        <f>IF(LEFT(N49,1)="x",0,IF(LEFT(N49,1)&gt;RIGHT(N49,1),2,IF(LEFT(N49,1)&lt;RIGHT(N49,1),1,"")))</f>
        <v>2</v>
      </c>
      <c r="AA49" s="34">
        <f>IF(LEFT(O49,1)="x",0,IF(LEFT(O49,1)&gt;RIGHT(O49,1),2,IF(LEFT(O49,1)&lt;RIGHT(O49,1),1,"")))</f>
        <v>2</v>
      </c>
      <c r="AB49" s="34">
        <f>IF(LEFT(P49,1)="x",0,IF(LEFT(P49,1)&gt;RIGHT(P49,1),2,IF(LEFT(P49,1)&lt;RIGHT(P49,1),1,"")))</f>
        <v>2</v>
      </c>
      <c r="AD49" s="34">
        <f>IF(LEFT(O49,1)="x",0,VALUE(LEFT(O49,1)))</f>
        <v>3</v>
      </c>
      <c r="AE49" s="34">
        <f>IF(LEFT(P49,1)="x",0,VALUE(LEFT(P49,1)))</f>
        <v>3</v>
      </c>
      <c r="AF49" s="34">
        <f>IF(LEFT(N49,1)="x",0,VALUE(LEFT(N49,1)))</f>
        <v>3</v>
      </c>
      <c r="AG49" s="8">
        <f>IF(ISERROR(VALUE(AD49))=TRUE,0,VALUE(AD49))+IF(ISERROR(VALUE(AE49))=TRUE,0,VALUE(AE49))+IF(ISERROR(VALUE(AF49))=TRUE,0,VALUE(AF49))</f>
        <v>9</v>
      </c>
      <c r="AI49" s="34">
        <f>IF(RIGHT(O49,1)="x",0,VALUE(RIGHT(O49,1)))</f>
        <v>0</v>
      </c>
      <c r="AJ49" s="34">
        <f>IF(RIGHT(P49,1)="x",0,VALUE(RIGHT(P49,1)))</f>
        <v>0</v>
      </c>
      <c r="AK49" s="34">
        <f>IF(RIGHT(N49,1)="x",0,VALUE(RIGHT(N49,1)))</f>
        <v>2</v>
      </c>
      <c r="AL49" s="8">
        <f>IF(ISERROR(VALUE(AI49))=TRUE,0,VALUE(AI49))+IF(ISERROR(VALUE(AJ49))=TRUE,0,VALUE(AJ49))+IF(ISERROR(VALUE(AK49))=TRUE,0,VALUE(AK49))</f>
        <v>2</v>
      </c>
      <c r="AP49" s="46">
        <f>IF(LEFT(N49,1)="x",1,0)</f>
        <v>0</v>
      </c>
      <c r="AQ49" s="46">
        <f t="shared" ref="AQ49" si="56">IF(LEFT(O49,1)="x",1,0)</f>
        <v>0</v>
      </c>
      <c r="AR49" s="46">
        <f t="shared" ref="AR49" si="57">IF(LEFT(P49,1)="x",1,0)</f>
        <v>0</v>
      </c>
      <c r="AT49" s="8">
        <f>SUM(AP49:AR49)</f>
        <v>0</v>
      </c>
    </row>
    <row r="50" spans="1:50" s="8" customFormat="1" ht="30" customHeight="1" thickBot="1">
      <c r="A50" s="8" t="str">
        <f>CONCATENATE("CH",K47,E50)</f>
        <v>CHE2-4</v>
      </c>
      <c r="E50" s="304" t="s">
        <v>21</v>
      </c>
      <c r="F50" s="305" t="str">
        <f>IF(ISERROR(VLOOKUP(A50,'zoznam zapasov'!$A$5:$K$78,9,0))=TRUE,"",VLOOKUP(A50,'zoznam zapasov'!$A$5:$K$78,9,0))</f>
        <v>So</v>
      </c>
      <c r="G50" s="305" t="str">
        <f>IF(ISERROR(VLOOKUP(A50,'zoznam zapasov'!$A$5:$K$78,10,0))=TRUE,"",VLOOKUP(A50,'zoznam zapasov'!$A$5:$K$78,10,0))</f>
        <v>10.20</v>
      </c>
      <c r="H50" s="306">
        <f>IF(ISERROR(VLOOKUP(A50,'zoznam zapasov'!$A$5:$K$78,11,0))=TRUE,"",VLOOKUP(A50,'zoznam zapasov'!$A$5:$K$78,11,0))</f>
        <v>2</v>
      </c>
      <c r="I50" s="525"/>
      <c r="J50" s="516"/>
      <c r="K50" s="517"/>
      <c r="L50" s="518"/>
      <c r="M50" s="524"/>
      <c r="N50" s="32" t="str">
        <f>VLOOKUP(A51,'zapisy k stolom'!$A$5:$AV$1444,48,0)</f>
        <v>-9,-10,11,16,6,,</v>
      </c>
      <c r="O50" s="32" t="str">
        <f>VLOOKUP(A49,'zapisy k stolom'!$A$5:$AV$1444,48,0)</f>
        <v>7,5,6,,,,</v>
      </c>
      <c r="P50" s="32" t="str">
        <f>VLOOKUP(A53,'zapisy k stolom'!$A$5:$AV$1444,48,0)</f>
        <v>3,8,9,,,,</v>
      </c>
      <c r="Q50" s="511"/>
      <c r="R50" s="520"/>
      <c r="S50" s="511"/>
      <c r="T50" s="511"/>
      <c r="AP50" s="44"/>
      <c r="AQ50" s="44"/>
    </row>
    <row r="51" spans="1:50" s="8" customFormat="1" ht="39.950000000000003" customHeight="1">
      <c r="A51" s="8" t="str">
        <f>CONCATENATE("CH",K47,E51)</f>
        <v>CHE1-2</v>
      </c>
      <c r="B51" s="8" t="str">
        <f>CONCATENATE("CH",I47,I51)</f>
        <v>CH52</v>
      </c>
      <c r="C51" s="8" t="str">
        <f>CONCATENATE(K47,T51)</f>
        <v>E2</v>
      </c>
      <c r="E51" s="304" t="s">
        <v>22</v>
      </c>
      <c r="F51" s="305" t="str">
        <f>IF(ISERROR(VLOOKUP(A51,'zoznam zapasov'!$A$5:$K$78,9,0))=TRUE,"",VLOOKUP(A51,'zoznam zapasov'!$A$5:$K$78,9,0))</f>
        <v>So</v>
      </c>
      <c r="G51" s="305" t="str">
        <f>IF(ISERROR(VLOOKUP(A51,'zoznam zapasov'!$A$5:$K$78,10,0))=TRUE,"",VLOOKUP(A51,'zoznam zapasov'!$A$5:$K$78,10,0))</f>
        <v>11.35</v>
      </c>
      <c r="H51" s="306">
        <f>IF(ISERROR(VLOOKUP(A51,'zoznam zapasov'!$A$5:$K$78,11,0))=TRUE,"",VLOOKUP(A51,'zoznam zapasov'!$A$5:$K$78,11,0))</f>
        <v>1</v>
      </c>
      <c r="I51" s="514">
        <v>2</v>
      </c>
      <c r="J51" s="516" t="str">
        <f>IF(ISERROR(VLOOKUP(B51,vylosovanie!$A$8:$J$39,6,0))=TRUE,"",VLOOKUP(B51,vylosovanie!$A$8:$J$39,6,0))</f>
        <v>ĎANOVSKÝ Martin</v>
      </c>
      <c r="K51" s="517" t="str">
        <f>IF(ISERROR(VLOOKUP(B51,vylosovanie!$A$8:$J$39,8,0))=TRUE,"",VLOOKUP(B51,vylosovanie!$A$8:$J$39,8,0))</f>
        <v>LOKOMOTÍVA VRÚTKY</v>
      </c>
      <c r="L51" s="518">
        <f>IF(ISERROR(VLOOKUP(B51,vylosovanie!$A$8:$J$39,9,0))=TRUE,"",VLOOKUP(B51,vylosovanie!$A$8:$J$39,9,0))</f>
        <v>10</v>
      </c>
      <c r="M51" s="526" t="str">
        <f>IF(LEN(N49)=1,":",CONCATENATE(RIGHT(N49,1),":",LEFT(N49,1)))</f>
        <v>2:3</v>
      </c>
      <c r="N51" s="523"/>
      <c r="O51" s="31" t="str">
        <f>VLOOKUP(A54,'zapisy k stolom'!$A$5:$AV$1444,26,0)</f>
        <v>3:0</v>
      </c>
      <c r="P51" s="31" t="str">
        <f>VLOOKUP(A50,'zapisy k stolom'!$A$5:$AV$1444,26,0)</f>
        <v>3:0</v>
      </c>
      <c r="Q51" s="510">
        <f t="shared" ref="Q51" si="58">IF(SUM(Z51:AB51)=0,"",SUM(Z51:AB51))</f>
        <v>5</v>
      </c>
      <c r="R51" s="519" t="str">
        <f t="shared" ref="R51" si="59">IF(CONCATENATE(AG51,":",AL51)="0:0","",CONCATENATE(AG51,":",AL51))</f>
        <v>8:3</v>
      </c>
      <c r="S51" s="510">
        <f t="shared" ref="S51" si="60">IF(ISERROR(AG51/AL51)=TRUE,"",AG51/AL51)</f>
        <v>2.6666666666666665</v>
      </c>
      <c r="T51" s="510">
        <f>IF(AT51&gt;1,"",IF(ISERROR(RANK(Q51,Q49:Q56,0))=TRUE,"",RANK(Q51,Q49:Q56,0)))</f>
        <v>2</v>
      </c>
      <c r="Z51" s="34">
        <f>IF(LEFT(M51,1)="x",0,IF(LEFT(M51,1)&gt;RIGHT(M51,1),2,IF(LEFT(M51,1)&lt;RIGHT(M51,1),1,"")))</f>
        <v>1</v>
      </c>
      <c r="AA51" s="34">
        <f>IF(LEFT(O51,1)="x",0,IF(LEFT(O51,1)&gt;RIGHT(O51,1),2,IF(LEFT(O51,1)&lt;RIGHT(O51,1),1,"")))</f>
        <v>2</v>
      </c>
      <c r="AB51" s="34">
        <f>IF(LEFT(P51,1)="x",0,IF(LEFT(P51,1)&gt;RIGHT(P51,1),2,IF(LEFT(P51,1)&lt;RIGHT(P51,1),1,"")))</f>
        <v>2</v>
      </c>
      <c r="AD51" s="34">
        <f>IF(LEFT(M51,1)="x",0,VALUE(LEFT(M51,1)))</f>
        <v>2</v>
      </c>
      <c r="AE51" s="34">
        <f>IF(LEFT(P51,1)="x",0,VALUE(LEFT(P51,1)))</f>
        <v>3</v>
      </c>
      <c r="AF51" s="34">
        <f>IF(LEFT(O51,1)="x",0,VALUE(LEFT(O51,1)))</f>
        <v>3</v>
      </c>
      <c r="AG51" s="8">
        <f>IF(ISERROR(VALUE(AD51))=TRUE,0,VALUE(AD51))+IF(ISERROR(VALUE(AE51))=TRUE,0,VALUE(AE51))+IF(ISERROR(VALUE(AF51))=TRUE,0,VALUE(AF51))</f>
        <v>8</v>
      </c>
      <c r="AI51" s="34">
        <f>IF(RIGHT(M51,1)="x",0,VALUE(RIGHT(M51,1)))</f>
        <v>3</v>
      </c>
      <c r="AJ51" s="34">
        <f>IF(RIGHT(P51,1)="x",0,VALUE(RIGHT(P51,1)))</f>
        <v>0</v>
      </c>
      <c r="AK51" s="34">
        <f>IF(RIGHT(O51,1)="x",0,VALUE(RIGHT(O51,1)))</f>
        <v>0</v>
      </c>
      <c r="AL51" s="8">
        <f>IF(ISERROR(VALUE(AI51))=TRUE,0,VALUE(AI51))+IF(ISERROR(VALUE(AJ51))=TRUE,0,VALUE(AJ51))+IF(ISERROR(VALUE(AK51))=TRUE,0,VALUE(AK51))</f>
        <v>3</v>
      </c>
      <c r="AP51" s="46">
        <f>IF(LEFT(M51,1)="x",1,0)</f>
        <v>0</v>
      </c>
      <c r="AQ51" s="46">
        <f t="shared" ref="AQ51" si="61">IF(LEFT(O51,1)="x",1,0)</f>
        <v>0</v>
      </c>
      <c r="AR51" s="46">
        <f t="shared" ref="AR51" si="62">IF(LEFT(P51,1)="x",1,0)</f>
        <v>0</v>
      </c>
      <c r="AT51" s="8">
        <f>SUM(AP51:AR51)</f>
        <v>0</v>
      </c>
    </row>
    <row r="52" spans="1:50" s="8" customFormat="1" ht="30" customHeight="1" thickBot="1">
      <c r="A52" s="8" t="str">
        <f>CONCATENATE("CH",K47,E52)</f>
        <v>CHE3-4</v>
      </c>
      <c r="E52" s="304" t="s">
        <v>23</v>
      </c>
      <c r="F52" s="305" t="str">
        <f>IF(ISERROR(VLOOKUP(A52,'zoznam zapasov'!$A$5:$K$78,9,0))=TRUE,"",VLOOKUP(A52,'zoznam zapasov'!$A$5:$K$78,9,0))</f>
        <v>So</v>
      </c>
      <c r="G52" s="305" t="str">
        <f>IF(ISERROR(VLOOKUP(A52,'zoznam zapasov'!$A$5:$K$78,10,0))=TRUE,"",VLOOKUP(A52,'zoznam zapasov'!$A$5:$K$78,10,0))</f>
        <v>11.35</v>
      </c>
      <c r="H52" s="306">
        <f>IF(ISERROR(VLOOKUP(A52,'zoznam zapasov'!$A$5:$K$78,11,0))=TRUE,"",VLOOKUP(A52,'zoznam zapasov'!$A$5:$K$78,11,0))</f>
        <v>2</v>
      </c>
      <c r="I52" s="515"/>
      <c r="J52" s="516"/>
      <c r="K52" s="517"/>
      <c r="L52" s="518"/>
      <c r="M52" s="522"/>
      <c r="N52" s="524"/>
      <c r="O52" s="32" t="str">
        <f>VLOOKUP(A54,'zapisy k stolom'!$A$5:$AV$1444,48,0)</f>
        <v>3,8,9,,,,</v>
      </c>
      <c r="P52" s="32" t="str">
        <f>VLOOKUP(A50,'zapisy k stolom'!$A$5:$AV$1444,48,0)</f>
        <v>11,4,6,,,,</v>
      </c>
      <c r="Q52" s="511"/>
      <c r="R52" s="520"/>
      <c r="S52" s="511"/>
      <c r="T52" s="511"/>
      <c r="AP52" s="44"/>
      <c r="AQ52" s="44"/>
    </row>
    <row r="53" spans="1:50" s="8" customFormat="1" ht="39.950000000000003" customHeight="1">
      <c r="A53" s="8" t="str">
        <f>CONCATENATE("CH",K47,E53)</f>
        <v>CHE1-4</v>
      </c>
      <c r="B53" s="8" t="str">
        <f>CONCATENATE("CH",I47,I53)</f>
        <v>CH53</v>
      </c>
      <c r="C53" s="8" t="str">
        <f>CONCATENATE(K47,T53)</f>
        <v>E3</v>
      </c>
      <c r="E53" s="304" t="s">
        <v>24</v>
      </c>
      <c r="F53" s="305" t="str">
        <f>IF(ISERROR(VLOOKUP(A53,'zoznam zapasov'!$A$5:$K$78,9,0))=TRUE,"",VLOOKUP(A53,'zoznam zapasov'!$A$5:$K$78,9,0))</f>
        <v>So</v>
      </c>
      <c r="G53" s="305" t="str">
        <f>IF(ISERROR(VLOOKUP(A53,'zoznam zapasov'!$A$5:$K$78,10,0))=TRUE,"",VLOOKUP(A53,'zoznam zapasov'!$A$5:$K$78,10,0))</f>
        <v>12.50</v>
      </c>
      <c r="H53" s="306">
        <f>IF(ISERROR(VLOOKUP(A53,'zoznam zapasov'!$A$5:$K$78,11,0))=TRUE,"",VLOOKUP(A53,'zoznam zapasov'!$A$5:$K$78,11,0))</f>
        <v>1</v>
      </c>
      <c r="I53" s="514">
        <v>3</v>
      </c>
      <c r="J53" s="516" t="str">
        <f>IF(ISERROR(VLOOKUP(B53,vylosovanie!$A$8:$J$39,6,0))=TRUE,"",VLOOKUP(B53,vylosovanie!$A$8:$J$39,6,0))</f>
        <v>VICO Dávid</v>
      </c>
      <c r="K53" s="517" t="str">
        <f>IF(ISERROR(VLOOKUP(B53,vylosovanie!$A$8:$J$39,8,0))=TRUE,"",VLOOKUP(B53,vylosovanie!$A$8:$J$39,8,0))</f>
        <v>STO VALALIKY</v>
      </c>
      <c r="L53" s="518">
        <f>IF(ISERROR(VLOOKUP(B53,vylosovanie!$A$8:$J$39,9,0))=TRUE,"",VLOOKUP(B53,vylosovanie!$A$8:$J$39,9,0))</f>
        <v>18</v>
      </c>
      <c r="M53" s="521" t="str">
        <f>IF(LEN(O49)=1,":",CONCATENATE(RIGHT(O49,1),":",LEFT(O49,1)))</f>
        <v>0:3</v>
      </c>
      <c r="N53" s="521" t="str">
        <f>IF(LEN(O51)=1,":",CONCATENATE(RIGHT(O51,1),":",LEFT(O51,1)))</f>
        <v>0:3</v>
      </c>
      <c r="O53" s="523"/>
      <c r="P53" s="31" t="str">
        <f>VLOOKUP(A52,'zapisy k stolom'!$A$5:$AV$1444,26,0)</f>
        <v>3:1</v>
      </c>
      <c r="Q53" s="510">
        <f t="shared" ref="Q53" si="63">IF(SUM(Z53:AB53)=0,"",SUM(Z53:AB53))</f>
        <v>4</v>
      </c>
      <c r="R53" s="519" t="str">
        <f t="shared" ref="R53" si="64">IF(CONCATENATE(AG53,":",AL53)="0:0","",CONCATENATE(AG53,":",AL53))</f>
        <v>3:7</v>
      </c>
      <c r="S53" s="510">
        <f t="shared" ref="S53" si="65">IF(ISERROR(AG53/AL53)=TRUE,"",AG53/AL53)</f>
        <v>0.42857142857142855</v>
      </c>
      <c r="T53" s="510">
        <f>IF(AT53&gt;1,"",IF(ISERROR(RANK(Q53,Q49:Q56,0))=TRUE,"",RANK(Q53,Q49:Q56,0)))</f>
        <v>3</v>
      </c>
      <c r="Z53" s="34">
        <f>IF(LEFT(M53,1)="x",0,IF(LEFT(M53,1)&gt;RIGHT(M53,1),2,IF(LEFT(M53,1)&lt;RIGHT(M53,1),1,"")))</f>
        <v>1</v>
      </c>
      <c r="AA53" s="34">
        <f>IF(LEFT(N53,1)="x",0,IF(LEFT(N53,1)&gt;RIGHT(N53,1),2,IF(LEFT(N53,1)&lt;RIGHT(N53,1),1,"")))</f>
        <v>1</v>
      </c>
      <c r="AB53" s="34">
        <f>IF(LEFT(P53,1)="x",0,IF(LEFT(P53,1)&gt;RIGHT(P53,1),2,IF(LEFT(P53,1)&lt;RIGHT(P53,1),1,"")))</f>
        <v>2</v>
      </c>
      <c r="AD53" s="34">
        <f>IF(LEFT(N53,1)="x",0,VALUE(LEFT(N53,1)))</f>
        <v>0</v>
      </c>
      <c r="AE53" s="34">
        <f>IF(LEFT(M53,1)="x",0,VALUE(LEFT(M53,1)))</f>
        <v>0</v>
      </c>
      <c r="AF53" s="34">
        <f>IF(LEFT(P53,1)="x",0,VALUE(LEFT(P53,1)))</f>
        <v>3</v>
      </c>
      <c r="AG53" s="8">
        <f>IF(ISERROR(VALUE(AD53))=TRUE,0,VALUE(AD53))+IF(ISERROR(VALUE(AE53))=TRUE,0,VALUE(AE53))+IF(ISERROR(VALUE(AF53))=TRUE,0,VALUE(AF53))</f>
        <v>3</v>
      </c>
      <c r="AI53" s="34">
        <f>IF(RIGHT(M53,1)="x",0,VALUE(RIGHT(M53,1)))</f>
        <v>3</v>
      </c>
      <c r="AJ53" s="34">
        <f>IF(RIGHT(N53,1)="x",0,VALUE(RIGHT(N53,1)))</f>
        <v>3</v>
      </c>
      <c r="AK53" s="34">
        <f>IF(RIGHT(P53,1)="x",0,VALUE(RIGHT(P53,1)))</f>
        <v>1</v>
      </c>
      <c r="AL53" s="8">
        <f>IF(ISERROR(VALUE(AI53))=TRUE,0,VALUE(AI53))+IF(ISERROR(VALUE(AJ53))=TRUE,0,VALUE(AJ53))+IF(ISERROR(VALUE(AK53))=TRUE,0,VALUE(AK53))</f>
        <v>7</v>
      </c>
      <c r="AP53" s="46">
        <f>IF(LEFT(M53,1)="x",1,0)</f>
        <v>0</v>
      </c>
      <c r="AQ53" s="46">
        <f>IF(LEFT(N53,1)="x",1,0)</f>
        <v>0</v>
      </c>
      <c r="AR53" s="46">
        <f t="shared" ref="AR53" si="66">IF(LEFT(P53,1)="x",1,0)</f>
        <v>0</v>
      </c>
      <c r="AT53" s="8">
        <f>SUM(AP53:AR53)</f>
        <v>0</v>
      </c>
    </row>
    <row r="54" spans="1:50" s="8" customFormat="1" ht="30" customHeight="1" thickBot="1">
      <c r="A54" s="8" t="str">
        <f>CONCATENATE("CH",K47,E54)</f>
        <v>CHE2-3</v>
      </c>
      <c r="E54" s="304" t="s">
        <v>25</v>
      </c>
      <c r="F54" s="305" t="str">
        <f>IF(ISERROR(VLOOKUP(A54,'zoznam zapasov'!$A$5:$K$78,9,0))=TRUE,"",VLOOKUP(A54,'zoznam zapasov'!$A$5:$K$78,9,0))</f>
        <v>So</v>
      </c>
      <c r="G54" s="305" t="str">
        <f>IF(ISERROR(VLOOKUP(A54,'zoznam zapasov'!$A$5:$K$78,10,0))=TRUE,"",VLOOKUP(A54,'zoznam zapasov'!$A$5:$K$78,10,0))</f>
        <v>12.50</v>
      </c>
      <c r="H54" s="306">
        <f>IF(ISERROR(VLOOKUP(A54,'zoznam zapasov'!$A$5:$K$78,11,0))=TRUE,"",VLOOKUP(A54,'zoznam zapasov'!$A$5:$K$78,11,0))</f>
        <v>2</v>
      </c>
      <c r="I54" s="515"/>
      <c r="J54" s="516"/>
      <c r="K54" s="517"/>
      <c r="L54" s="518"/>
      <c r="M54" s="522"/>
      <c r="N54" s="522"/>
      <c r="O54" s="524"/>
      <c r="P54" s="32" t="str">
        <f>VLOOKUP(A52,'zapisy k stolom'!$A$5:$AV$1444,48,0)</f>
        <v>-6,10,8,14,,,</v>
      </c>
      <c r="Q54" s="511"/>
      <c r="R54" s="520"/>
      <c r="S54" s="511"/>
      <c r="T54" s="511"/>
      <c r="AP54" s="44"/>
      <c r="AQ54" s="44"/>
    </row>
    <row r="55" spans="1:50" s="8" customFormat="1" ht="39.950000000000003" customHeight="1">
      <c r="B55" s="8" t="str">
        <f>CONCATENATE("CH",I47,I55)</f>
        <v>CH54</v>
      </c>
      <c r="C55" s="8" t="str">
        <f>CONCATENATE(K47,T55)</f>
        <v>E4</v>
      </c>
      <c r="E55" s="304"/>
      <c r="F55" s="307"/>
      <c r="G55" s="308"/>
      <c r="H55" s="309"/>
      <c r="I55" s="514">
        <v>4</v>
      </c>
      <c r="J55" s="516" t="str">
        <f>IF(ISERROR(VLOOKUP(B55,vylosovanie!$A$8:$J$39,6,0))=TRUE,"",VLOOKUP(B55,vylosovanie!$A$8:$J$39,6,0))</f>
        <v>MACKO Miroslav</v>
      </c>
      <c r="K55" s="517" t="str">
        <f>IF(ISERROR(VLOOKUP(B55,vylosovanie!$A$8:$J$39,8,0))=TRUE,"",VLOOKUP(B55,vylosovanie!$A$8:$J$39,8,0))</f>
        <v>ŠKST KARLOVA VES</v>
      </c>
      <c r="L55" s="518">
        <f>IF(ISERROR(VLOOKUP(B55,vylosovanie!$A$8:$J$39,9,0))=TRUE,"",VLOOKUP(B55,vylosovanie!$A$8:$J$39,9,0))</f>
        <v>27</v>
      </c>
      <c r="M55" s="521" t="str">
        <f>IF(LEN(P49)=1,":",CONCATENATE(RIGHT(P49,1),":",LEFT(P49,1)))</f>
        <v>0:3</v>
      </c>
      <c r="N55" s="521" t="str">
        <f>IF(LEN(P51)=1,":",CONCATENATE(RIGHT(P51,1),":",LEFT(P51,1)))</f>
        <v>0:3</v>
      </c>
      <c r="O55" s="521" t="str">
        <f>IF(LEN(P53)=1,":",CONCATENATE(RIGHT(P53,1),":",LEFT(P53,1)))</f>
        <v>1:3</v>
      </c>
      <c r="P55" s="523"/>
      <c r="Q55" s="510">
        <f t="shared" ref="Q55" si="67">IF(SUM(Z55:AB55)=0,"",SUM(Z55:AB55))</f>
        <v>3</v>
      </c>
      <c r="R55" s="519" t="str">
        <f t="shared" ref="R55" si="68">IF(CONCATENATE(AG55,":",AL55)="0:0","",CONCATENATE(AG55,":",AL55))</f>
        <v>1:9</v>
      </c>
      <c r="S55" s="510">
        <f t="shared" ref="S55" si="69">IF(ISERROR(AG55/AL55)=TRUE,"",AG55/AL55)</f>
        <v>0.1111111111111111</v>
      </c>
      <c r="T55" s="510">
        <f>IF(AT55&gt;1,"",IF(ISERROR(RANK(Q55,Q49:Q56,0))=TRUE,"",RANK(Q55,Q49:Q56,0)))</f>
        <v>4</v>
      </c>
      <c r="Z55" s="34">
        <f>IF(LEFT(M55,1)="x",0,IF(LEFT(M55,1)&gt;RIGHT(M55,1),2,IF(LEFT(M55,1)&lt;RIGHT(M55,1),1,"")))</f>
        <v>1</v>
      </c>
      <c r="AA55" s="34">
        <f>IF(LEFT(N55,1)="x",0,IF(LEFT(N55,1)&gt;RIGHT(N55,1),2,IF(LEFT(N55,1)&lt;RIGHT(N55,1),1,"")))</f>
        <v>1</v>
      </c>
      <c r="AB55" s="34">
        <f>IF(LEFT(O55,1)="x",0,IF(LEFT(O55,1)&gt;RIGHT(O55,1),2,IF(LEFT(O55,1)&lt;RIGHT(O55,1),1,"")))</f>
        <v>1</v>
      </c>
      <c r="AD55" s="34">
        <f>IF(LEFT(M55,1)="x",0,VALUE(LEFT(M55,1)))</f>
        <v>0</v>
      </c>
      <c r="AE55" s="34">
        <f>IF(LEFT(N55,1)="x",0,VALUE(LEFT(N55,1)))</f>
        <v>0</v>
      </c>
      <c r="AF55" s="34">
        <f>IF(LEFT(O55,1)="x",0,VALUE(LEFT(O55,1)))</f>
        <v>1</v>
      </c>
      <c r="AG55" s="8">
        <f>IF(ISERROR(VALUE(AD55))=TRUE,0,VALUE(AD55))+IF(ISERROR(VALUE(AE55))=TRUE,0,VALUE(AE55))+IF(ISERROR(VALUE(AF55))=TRUE,0,VALUE(AF55))</f>
        <v>1</v>
      </c>
      <c r="AI55" s="34">
        <f>IF(RIGHT(M55,1)="x",0,VALUE(RIGHT(M55,1)))</f>
        <v>3</v>
      </c>
      <c r="AJ55" s="34">
        <f>IF(RIGHT(N55,1)="x",0,VALUE(RIGHT(N55,1)))</f>
        <v>3</v>
      </c>
      <c r="AK55" s="34">
        <f>IF(RIGHT(O55,1)="x",0,VALUE(RIGHT(O55,1)))</f>
        <v>3</v>
      </c>
      <c r="AL55" s="8">
        <f>IF(ISERROR(VALUE(AI55))=TRUE,0,VALUE(AI55))+IF(ISERROR(VALUE(AJ55))=TRUE,0,VALUE(AJ55))+IF(ISERROR(VALUE(AK55))=TRUE,0,VALUE(AK55))</f>
        <v>9</v>
      </c>
      <c r="AP55" s="46">
        <f>IF(LEFT(M55,1)="x",1,0)</f>
        <v>0</v>
      </c>
      <c r="AQ55" s="46">
        <f>IF(LEFT(N55,1)="x",1,0)</f>
        <v>0</v>
      </c>
      <c r="AR55" s="46">
        <f>IF(LEFT(O55,1)="x",1,0)</f>
        <v>0</v>
      </c>
      <c r="AT55" s="8">
        <f>SUM(AP55:AR55)</f>
        <v>0</v>
      </c>
    </row>
    <row r="56" spans="1:50" s="8" customFormat="1" ht="30" customHeight="1" thickBot="1">
      <c r="E56" s="304"/>
      <c r="F56" s="307"/>
      <c r="G56" s="308"/>
      <c r="H56" s="309"/>
      <c r="I56" s="515"/>
      <c r="J56" s="516"/>
      <c r="K56" s="517"/>
      <c r="L56" s="518"/>
      <c r="M56" s="522"/>
      <c r="N56" s="522"/>
      <c r="O56" s="522"/>
      <c r="P56" s="524"/>
      <c r="Q56" s="511"/>
      <c r="R56" s="520"/>
      <c r="S56" s="511"/>
      <c r="T56" s="511"/>
      <c r="AP56" s="44"/>
      <c r="AQ56" s="44"/>
    </row>
    <row r="57" spans="1:50" s="8" customFormat="1" ht="24.75" customHeight="1">
      <c r="E57" s="299"/>
      <c r="F57" s="299"/>
      <c r="G57" s="299"/>
      <c r="H57" s="299"/>
      <c r="I57" s="11"/>
      <c r="J57" s="11"/>
      <c r="K57" s="11"/>
      <c r="L57" s="12"/>
      <c r="M57" s="12"/>
      <c r="N57" s="12"/>
      <c r="O57" s="12"/>
      <c r="P57" s="12"/>
      <c r="Q57" s="12"/>
      <c r="R57" s="12"/>
      <c r="S57" s="12"/>
      <c r="T57" s="12"/>
      <c r="AP57" s="44"/>
      <c r="AQ57" s="44"/>
    </row>
    <row r="58" spans="1:50" s="2" customFormat="1" ht="47.25" thickBot="1">
      <c r="A58" s="2" t="s">
        <v>11</v>
      </c>
      <c r="E58" s="299"/>
      <c r="F58" s="299"/>
      <c r="G58" s="299"/>
      <c r="H58" s="299"/>
      <c r="I58" s="217">
        <v>6</v>
      </c>
      <c r="J58" s="217" t="s">
        <v>13</v>
      </c>
      <c r="K58" s="217" t="s">
        <v>41</v>
      </c>
      <c r="L58" s="12"/>
      <c r="M58" s="12"/>
      <c r="N58" s="12"/>
      <c r="O58" s="12"/>
      <c r="P58" s="12"/>
      <c r="Q58" s="12"/>
      <c r="R58" s="16"/>
      <c r="S58" s="12"/>
      <c r="T58" s="12"/>
      <c r="AO58" s="8"/>
      <c r="AP58" s="43"/>
      <c r="AQ58" s="43"/>
    </row>
    <row r="59" spans="1:50" s="8" customFormat="1" ht="39.950000000000003" customHeight="1" thickBot="1">
      <c r="E59" s="301" t="s">
        <v>14</v>
      </c>
      <c r="F59" s="302" t="s">
        <v>67</v>
      </c>
      <c r="G59" s="302" t="s">
        <v>15</v>
      </c>
      <c r="H59" s="303" t="s">
        <v>16</v>
      </c>
      <c r="I59" s="211"/>
      <c r="J59" s="212" t="s">
        <v>17</v>
      </c>
      <c r="K59" s="213" t="s">
        <v>5</v>
      </c>
      <c r="L59" s="207" t="s">
        <v>44</v>
      </c>
      <c r="M59" s="214">
        <v>1</v>
      </c>
      <c r="N59" s="214">
        <v>2</v>
      </c>
      <c r="O59" s="214">
        <v>3</v>
      </c>
      <c r="P59" s="215">
        <v>4</v>
      </c>
      <c r="Q59" s="216" t="s">
        <v>18</v>
      </c>
      <c r="R59" s="214" t="s">
        <v>45</v>
      </c>
      <c r="S59" s="214" t="s">
        <v>19</v>
      </c>
      <c r="T59" s="215" t="s">
        <v>46</v>
      </c>
      <c r="AD59" s="8" t="s">
        <v>76</v>
      </c>
      <c r="AG59" s="8" t="s">
        <v>77</v>
      </c>
      <c r="AI59" s="8" t="s">
        <v>78</v>
      </c>
      <c r="AL59" s="8" t="s">
        <v>77</v>
      </c>
      <c r="AP59" s="44"/>
      <c r="AQ59" s="44"/>
    </row>
    <row r="60" spans="1:50" s="8" customFormat="1" ht="39.950000000000003" customHeight="1">
      <c r="A60" s="8" t="str">
        <f>CONCATENATE("CH",K58,E60)</f>
        <v>CHF1-3</v>
      </c>
      <c r="B60" s="8" t="str">
        <f>CONCATENATE("CH",I58,I60)</f>
        <v>CH61</v>
      </c>
      <c r="C60" s="8" t="str">
        <f>CONCATENATE(K58,T60)</f>
        <v>F1</v>
      </c>
      <c r="E60" s="304" t="s">
        <v>20</v>
      </c>
      <c r="F60" s="305" t="str">
        <f>IF(ISERROR(VLOOKUP(A60,'zoznam zapasov'!$A$5:$K$78,9,0))=TRUE,"",VLOOKUP(A60,'zoznam zapasov'!$A$5:$K$78,9,0))</f>
        <v>So</v>
      </c>
      <c r="G60" s="305" t="str">
        <f>IF(ISERROR(VLOOKUP(A60,'zoznam zapasov'!$A$5:$K$78,10,0))=TRUE,"",VLOOKUP(A60,'zoznam zapasov'!$A$5:$K$78,10,0))</f>
        <v>10.20</v>
      </c>
      <c r="H60" s="306">
        <f>IF(ISERROR(VLOOKUP(A60,'zoznam zapasov'!$A$5:$K$78,11,0))=TRUE,"",VLOOKUP(A60,'zoznam zapasov'!$A$5:$K$78,11,0))</f>
        <v>3</v>
      </c>
      <c r="I60" s="525">
        <v>1</v>
      </c>
      <c r="J60" s="516" t="str">
        <f>IF(ISERROR(VLOOKUP(B60,vylosovanie!$A$8:$J$39,6,0))=TRUE,"",VLOOKUP(B60,vylosovanie!$A$8:$J$39,6,0))</f>
        <v>CYPRICH Samuel</v>
      </c>
      <c r="K60" s="517" t="str">
        <f>IF(ISERROR(VLOOKUP(B60,vylosovanie!$A$8:$J$39,8,0))=TRUE,"",VLOOKUP(B60,vylosovanie!$A$8:$J$39,8,0))</f>
        <v>MSK ČADCA</v>
      </c>
      <c r="L60" s="518">
        <f>IF(ISERROR(VLOOKUP(B60,vylosovanie!$A$8:$J$39,9,0))=TRUE,"",VLOOKUP(B60,vylosovanie!$A$8:$J$39,9,0))</f>
        <v>6</v>
      </c>
      <c r="M60" s="523"/>
      <c r="N60" s="31" t="str">
        <f>VLOOKUP(A62,'zapisy k stolom'!$A$5:$AV$1444,26,0)</f>
        <v>3:2</v>
      </c>
      <c r="O60" s="31" t="str">
        <f>VLOOKUP(A60,'zapisy k stolom'!$A$5:$AV$1444,26,0)</f>
        <v>3:0</v>
      </c>
      <c r="P60" s="31" t="str">
        <f>VLOOKUP(A64,'zapisy k stolom'!$A$5:$AV$1444,26,0)</f>
        <v>3:0</v>
      </c>
      <c r="Q60" s="510">
        <f>IF(SUM(Z60:AB60)=0,"",SUM(Z60:AB60))</f>
        <v>6</v>
      </c>
      <c r="R60" s="519" t="str">
        <f>IF(CONCATENATE(AG60,":",AL60)="0:0","",CONCATENATE(AG60,":",AL60))</f>
        <v>9:2</v>
      </c>
      <c r="S60" s="510">
        <f>IF(ISERROR(AG60/AL60)=TRUE,"",AG60/AL60)</f>
        <v>4.5</v>
      </c>
      <c r="T60" s="510">
        <f>IF(AT60&gt;1,"",IF(ISERROR(RANK(Q60,Q60:Q67,0))=TRUE,"",RANK(Q60,Q60:Q67,0)))</f>
        <v>1</v>
      </c>
      <c r="Z60" s="34">
        <f>IF(LEFT(N60,1)="x",0,IF(LEFT(N60,1)&gt;RIGHT(N60,1),2,IF(LEFT(N60,1)&lt;RIGHT(N60,1),1,"")))</f>
        <v>2</v>
      </c>
      <c r="AA60" s="34">
        <f>IF(LEFT(O60,1)="x",0,IF(LEFT(O60,1)&gt;RIGHT(O60,1),2,IF(LEFT(O60,1)&lt;RIGHT(O60,1),1,"")))</f>
        <v>2</v>
      </c>
      <c r="AB60" s="34">
        <f>IF(LEFT(P60,1)="x",0,IF(LEFT(P60,1)&gt;RIGHT(P60,1),2,IF(LEFT(P60,1)&lt;RIGHT(P60,1),1,"")))</f>
        <v>2</v>
      </c>
      <c r="AD60" s="34">
        <f>IF(LEFT(O60,1)="x",0,VALUE(LEFT(O60,1)))</f>
        <v>3</v>
      </c>
      <c r="AE60" s="34">
        <f>IF(LEFT(P60,1)="x",0,VALUE(LEFT(P60,1)))</f>
        <v>3</v>
      </c>
      <c r="AF60" s="34">
        <f>IF(LEFT(N60,1)="x",0,VALUE(LEFT(N60,1)))</f>
        <v>3</v>
      </c>
      <c r="AG60" s="8">
        <f>IF(ISERROR(VALUE(AD60))=TRUE,0,VALUE(AD60))+IF(ISERROR(VALUE(AE60))=TRUE,0,VALUE(AE60))+IF(ISERROR(VALUE(AF60))=TRUE,0,VALUE(AF60))</f>
        <v>9</v>
      </c>
      <c r="AI60" s="34">
        <f>IF(RIGHT(O60,1)="x",0,VALUE(RIGHT(O60,1)))</f>
        <v>0</v>
      </c>
      <c r="AJ60" s="34">
        <f>IF(RIGHT(P60,1)="x",0,VALUE(RIGHT(P60,1)))</f>
        <v>0</v>
      </c>
      <c r="AK60" s="34">
        <f>IF(RIGHT(N60,1)="x",0,VALUE(RIGHT(N60,1)))</f>
        <v>2</v>
      </c>
      <c r="AL60" s="8">
        <f>IF(ISERROR(VALUE(AI60))=TRUE,0,VALUE(AI60))+IF(ISERROR(VALUE(AJ60))=TRUE,0,VALUE(AJ60))+IF(ISERROR(VALUE(AK60))=TRUE,0,VALUE(AK60))</f>
        <v>2</v>
      </c>
      <c r="AP60" s="46">
        <f>IF(LEFT(N60,1)="x",1,0)</f>
        <v>0</v>
      </c>
      <c r="AQ60" s="46">
        <f t="shared" ref="AQ60" si="70">IF(LEFT(O60,1)="x",1,0)</f>
        <v>0</v>
      </c>
      <c r="AR60" s="46">
        <f t="shared" ref="AR60" si="71">IF(LEFT(P60,1)="x",1,0)</f>
        <v>0</v>
      </c>
      <c r="AT60" s="8">
        <f>SUM(AP60:AR60)</f>
        <v>0</v>
      </c>
      <c r="AX60" s="510" t="str">
        <f>IF(BX60&gt;1,"",IF(ISERROR(RANK(AU60,AU60:AU67,0))=TRUE,"",RANK(AU60,AU60:AU67,0)))</f>
        <v/>
      </c>
    </row>
    <row r="61" spans="1:50" s="8" customFormat="1" ht="30" customHeight="1" thickBot="1">
      <c r="A61" s="8" t="str">
        <f>CONCATENATE("CH",K58,E61)</f>
        <v>CHF2-4</v>
      </c>
      <c r="E61" s="304" t="s">
        <v>21</v>
      </c>
      <c r="F61" s="305" t="str">
        <f>IF(ISERROR(VLOOKUP(A61,'zoznam zapasov'!$A$5:$K$78,9,0))=TRUE,"",VLOOKUP(A61,'zoznam zapasov'!$A$5:$K$78,9,0))</f>
        <v>So</v>
      </c>
      <c r="G61" s="305" t="str">
        <f>IF(ISERROR(VLOOKUP(A61,'zoznam zapasov'!$A$5:$K$78,10,0))=TRUE,"",VLOOKUP(A61,'zoznam zapasov'!$A$5:$K$78,10,0))</f>
        <v>10.20</v>
      </c>
      <c r="H61" s="306">
        <f>IF(ISERROR(VLOOKUP(A61,'zoznam zapasov'!$A$5:$K$78,11,0))=TRUE,"",VLOOKUP(A61,'zoznam zapasov'!$A$5:$K$78,11,0))</f>
        <v>4</v>
      </c>
      <c r="I61" s="525"/>
      <c r="J61" s="516"/>
      <c r="K61" s="517"/>
      <c r="L61" s="518"/>
      <c r="M61" s="524"/>
      <c r="N61" s="32" t="str">
        <f>VLOOKUP(A62,'zapisy k stolom'!$A$5:$AV$1444,48,0)</f>
        <v>-11,6,-7,6,8,,</v>
      </c>
      <c r="O61" s="32" t="str">
        <f>VLOOKUP(A60,'zapisy k stolom'!$A$5:$AV$1444,48,0)</f>
        <v>8,11,9,,,,</v>
      </c>
      <c r="P61" s="32" t="str">
        <f>VLOOKUP(A64,'zapisy k stolom'!$A$5:$AV$1444,48,0)</f>
        <v>10,9,10,,,,</v>
      </c>
      <c r="Q61" s="511"/>
      <c r="R61" s="520"/>
      <c r="S61" s="511"/>
      <c r="T61" s="511"/>
      <c r="AP61" s="44"/>
      <c r="AQ61" s="44"/>
      <c r="AX61" s="511"/>
    </row>
    <row r="62" spans="1:50" s="8" customFormat="1" ht="39.950000000000003" customHeight="1">
      <c r="A62" s="8" t="str">
        <f>CONCATENATE("CH",K58,E62)</f>
        <v>CHF1-2</v>
      </c>
      <c r="B62" s="8" t="str">
        <f>CONCATENATE("CH",I58,I62)</f>
        <v>CH62</v>
      </c>
      <c r="C62" s="8" t="str">
        <f>CONCATENATE(K58,T62)</f>
        <v>F2</v>
      </c>
      <c r="E62" s="304" t="s">
        <v>22</v>
      </c>
      <c r="F62" s="305" t="str">
        <f>IF(ISERROR(VLOOKUP(A62,'zoznam zapasov'!$A$5:$K$78,9,0))=TRUE,"",VLOOKUP(A62,'zoznam zapasov'!$A$5:$K$78,9,0))</f>
        <v>So</v>
      </c>
      <c r="G62" s="305" t="str">
        <f>IF(ISERROR(VLOOKUP(A62,'zoznam zapasov'!$A$5:$K$78,10,0))=TRUE,"",VLOOKUP(A62,'zoznam zapasov'!$A$5:$K$78,10,0))</f>
        <v>11.35</v>
      </c>
      <c r="H62" s="306">
        <f>IF(ISERROR(VLOOKUP(A62,'zoznam zapasov'!$A$5:$K$78,11,0))=TRUE,"",VLOOKUP(A62,'zoznam zapasov'!$A$5:$K$78,11,0))</f>
        <v>3</v>
      </c>
      <c r="I62" s="514">
        <v>2</v>
      </c>
      <c r="J62" s="516" t="str">
        <f>IF(ISERROR(VLOOKUP(B62,vylosovanie!$A$8:$J$39,6,0))=TRUE,"",VLOOKUP(B62,vylosovanie!$A$8:$J$39,6,0))</f>
        <v>MILAN Martin</v>
      </c>
      <c r="K62" s="517" t="str">
        <f>IF(ISERROR(VLOOKUP(B62,vylosovanie!$A$8:$J$39,8,0))=TRUE,"",VLOOKUP(B62,vylosovanie!$A$8:$J$39,8,0))</f>
        <v>1.PPC FORTUNA KEŽMAROK/TJ OBCE SPIŠSKÝ ŠTIAVNIK</v>
      </c>
      <c r="L62" s="518">
        <f>IF(ISERROR(VLOOKUP(B62,vylosovanie!$A$8:$J$39,9,0))=TRUE,"",VLOOKUP(B62,vylosovanie!$A$8:$J$39,9,0))</f>
        <v>11</v>
      </c>
      <c r="M62" s="526" t="str">
        <f>IF(LEN(N60)=1,":",CONCATENATE(RIGHT(N60,1),":",LEFT(N60,1)))</f>
        <v>2:3</v>
      </c>
      <c r="N62" s="523"/>
      <c r="O62" s="31" t="str">
        <f>VLOOKUP(A65,'zapisy k stolom'!$A$5:$AV$1444,26,0)</f>
        <v>3:0</v>
      </c>
      <c r="P62" s="31" t="str">
        <f>VLOOKUP(A61,'zapisy k stolom'!$A$5:$AV$1444,26,0)</f>
        <v>3:1</v>
      </c>
      <c r="Q62" s="510">
        <f t="shared" ref="Q62" si="72">IF(SUM(Z62:AB62)=0,"",SUM(Z62:AB62))</f>
        <v>5</v>
      </c>
      <c r="R62" s="519" t="str">
        <f t="shared" ref="R62" si="73">IF(CONCATENATE(AG62,":",AL62)="0:0","",CONCATENATE(AG62,":",AL62))</f>
        <v>8:4</v>
      </c>
      <c r="S62" s="510">
        <f t="shared" ref="S62" si="74">IF(ISERROR(AG62/AL62)=TRUE,"",AG62/AL62)</f>
        <v>2</v>
      </c>
      <c r="T62" s="510">
        <f>IF(AT62&gt;1,"",IF(ISERROR(RANK(Q62,Q60:Q67,0))=TRUE,"",RANK(Q62,Q60:Q67,0)))</f>
        <v>2</v>
      </c>
      <c r="Z62" s="34">
        <f>IF(LEFT(M62,1)="x",0,IF(LEFT(M62,1)&gt;RIGHT(M62,1),2,IF(LEFT(M62,1)&lt;RIGHT(M62,1),1,"")))</f>
        <v>1</v>
      </c>
      <c r="AA62" s="34">
        <f>IF(LEFT(O62,1)="x",0,IF(LEFT(O62,1)&gt;RIGHT(O62,1),2,IF(LEFT(O62,1)&lt;RIGHT(O62,1),1,"")))</f>
        <v>2</v>
      </c>
      <c r="AB62" s="34">
        <f>IF(LEFT(P62,1)="x",0,IF(LEFT(P62,1)&gt;RIGHT(P62,1),2,IF(LEFT(P62,1)&lt;RIGHT(P62,1),1,"")))</f>
        <v>2</v>
      </c>
      <c r="AD62" s="34">
        <f>IF(LEFT(M62,1)="x",0,VALUE(LEFT(M62,1)))</f>
        <v>2</v>
      </c>
      <c r="AE62" s="34">
        <f>IF(LEFT(P62,1)="x",0,VALUE(LEFT(P62,1)))</f>
        <v>3</v>
      </c>
      <c r="AF62" s="34">
        <f>IF(LEFT(O62,1)="x",0,VALUE(LEFT(O62,1)))</f>
        <v>3</v>
      </c>
      <c r="AG62" s="8">
        <f>IF(ISERROR(VALUE(AD62))=TRUE,0,VALUE(AD62))+IF(ISERROR(VALUE(AE62))=TRUE,0,VALUE(AE62))+IF(ISERROR(VALUE(AF62))=TRUE,0,VALUE(AF62))</f>
        <v>8</v>
      </c>
      <c r="AI62" s="34">
        <f>IF(RIGHT(M62,1)="x",0,VALUE(RIGHT(M62,1)))</f>
        <v>3</v>
      </c>
      <c r="AJ62" s="34">
        <f>IF(RIGHT(P62,1)="x",0,VALUE(RIGHT(P62,1)))</f>
        <v>1</v>
      </c>
      <c r="AK62" s="34">
        <f>IF(RIGHT(O62,1)="x",0,VALUE(RIGHT(O62,1)))</f>
        <v>0</v>
      </c>
      <c r="AL62" s="8">
        <f>IF(ISERROR(VALUE(AI62))=TRUE,0,VALUE(AI62))+IF(ISERROR(VALUE(AJ62))=TRUE,0,VALUE(AJ62))+IF(ISERROR(VALUE(AK62))=TRUE,0,VALUE(AK62))</f>
        <v>4</v>
      </c>
      <c r="AP62" s="46">
        <f>IF(LEFT(M62,1)="x",1,0)</f>
        <v>0</v>
      </c>
      <c r="AQ62" s="46">
        <f t="shared" ref="AQ62" si="75">IF(LEFT(O62,1)="x",1,0)</f>
        <v>0</v>
      </c>
      <c r="AR62" s="46">
        <f t="shared" ref="AR62" si="76">IF(LEFT(P62,1)="x",1,0)</f>
        <v>0</v>
      </c>
      <c r="AT62" s="8">
        <f>SUM(AP62:AR62)</f>
        <v>0</v>
      </c>
      <c r="AX62" s="510" t="str">
        <f>IF(BX62&gt;1,"",IF(ISERROR(RANK(AU62,AU60:AU67,0))=TRUE,"",RANK(AU62,AU60:AU67,0)))</f>
        <v/>
      </c>
    </row>
    <row r="63" spans="1:50" s="8" customFormat="1" ht="30" customHeight="1" thickBot="1">
      <c r="A63" s="8" t="str">
        <f>CONCATENATE("CH",K58,E63)</f>
        <v>CHF3-4</v>
      </c>
      <c r="E63" s="304" t="s">
        <v>23</v>
      </c>
      <c r="F63" s="305" t="str">
        <f>IF(ISERROR(VLOOKUP(A63,'zoznam zapasov'!$A$5:$K$78,9,0))=TRUE,"",VLOOKUP(A63,'zoznam zapasov'!$A$5:$K$78,9,0))</f>
        <v>So</v>
      </c>
      <c r="G63" s="305" t="str">
        <f>IF(ISERROR(VLOOKUP(A63,'zoznam zapasov'!$A$5:$K$78,10,0))=TRUE,"",VLOOKUP(A63,'zoznam zapasov'!$A$5:$K$78,10,0))</f>
        <v>11.35</v>
      </c>
      <c r="H63" s="306">
        <f>IF(ISERROR(VLOOKUP(A63,'zoznam zapasov'!$A$5:$K$78,11,0))=TRUE,"",VLOOKUP(A63,'zoznam zapasov'!$A$5:$K$78,11,0))</f>
        <v>4</v>
      </c>
      <c r="I63" s="515"/>
      <c r="J63" s="516"/>
      <c r="K63" s="517"/>
      <c r="L63" s="518"/>
      <c r="M63" s="522"/>
      <c r="N63" s="524"/>
      <c r="O63" s="32" t="str">
        <f>VLOOKUP(A65,'zapisy k stolom'!$A$5:$AV$1444,48,0)</f>
        <v>8,6,3,,,,</v>
      </c>
      <c r="P63" s="32" t="str">
        <f>VLOOKUP(A61,'zapisy k stolom'!$A$5:$AV$1444,48,0)</f>
        <v>-9,7,6,1,,,</v>
      </c>
      <c r="Q63" s="511"/>
      <c r="R63" s="520"/>
      <c r="S63" s="511"/>
      <c r="T63" s="511"/>
      <c r="AP63" s="44"/>
      <c r="AQ63" s="44"/>
      <c r="AX63" s="511"/>
    </row>
    <row r="64" spans="1:50" s="8" customFormat="1" ht="39.950000000000003" customHeight="1">
      <c r="A64" s="8" t="str">
        <f>CONCATENATE("CH",K58,E64)</f>
        <v>CHF1-4</v>
      </c>
      <c r="B64" s="8" t="str">
        <f>CONCATENATE("CH",I58,I64)</f>
        <v>CH63</v>
      </c>
      <c r="C64" s="8" t="str">
        <f>CONCATENATE(K58,T64)</f>
        <v>F3</v>
      </c>
      <c r="E64" s="304" t="s">
        <v>24</v>
      </c>
      <c r="F64" s="305" t="str">
        <f>IF(ISERROR(VLOOKUP(A64,'zoznam zapasov'!$A$5:$K$78,9,0))=TRUE,"",VLOOKUP(A64,'zoznam zapasov'!$A$5:$K$78,9,0))</f>
        <v>So</v>
      </c>
      <c r="G64" s="305" t="str">
        <f>IF(ISERROR(VLOOKUP(A64,'zoznam zapasov'!$A$5:$K$78,10,0))=TRUE,"",VLOOKUP(A64,'zoznam zapasov'!$A$5:$K$78,10,0))</f>
        <v>12.50</v>
      </c>
      <c r="H64" s="306">
        <f>IF(ISERROR(VLOOKUP(A64,'zoznam zapasov'!$A$5:$K$78,11,0))=TRUE,"",VLOOKUP(A64,'zoznam zapasov'!$A$5:$K$78,11,0))</f>
        <v>3</v>
      </c>
      <c r="I64" s="514">
        <v>3</v>
      </c>
      <c r="J64" s="516" t="str">
        <f>IF(ISERROR(VLOOKUP(B64,vylosovanie!$A$8:$J$39,6,0))=TRUE,"",VLOOKUP(B64,vylosovanie!$A$8:$J$39,6,0))</f>
        <v>PACH Kamil</v>
      </c>
      <c r="K64" s="517" t="str">
        <f>IF(ISERROR(VLOOKUP(B64,vylosovanie!$A$8:$J$39,8,0))=TRUE,"",VLOOKUP(B64,vylosovanie!$A$8:$J$39,8,0))</f>
        <v>STO VALALIKY</v>
      </c>
      <c r="L64" s="518">
        <f>IF(ISERROR(VLOOKUP(B64,vylosovanie!$A$8:$J$39,9,0))=TRUE,"",VLOOKUP(B64,vylosovanie!$A$8:$J$39,9,0))</f>
        <v>19</v>
      </c>
      <c r="M64" s="521" t="str">
        <f>IF(LEN(O60)=1,":",CONCATENATE(RIGHT(O60,1),":",LEFT(O60,1)))</f>
        <v>0:3</v>
      </c>
      <c r="N64" s="521" t="str">
        <f>IF(LEN(O62)=1,":",CONCATENATE(RIGHT(O62,1),":",LEFT(O62,1)))</f>
        <v>0:3</v>
      </c>
      <c r="O64" s="523"/>
      <c r="P64" s="31" t="str">
        <f>VLOOKUP(A63,'zapisy k stolom'!$A$5:$AV$1444,26,0)</f>
        <v>3:0</v>
      </c>
      <c r="Q64" s="510">
        <f t="shared" ref="Q64" si="77">IF(SUM(Z64:AB64)=0,"",SUM(Z64:AB64))</f>
        <v>4</v>
      </c>
      <c r="R64" s="519" t="str">
        <f t="shared" ref="R64" si="78">IF(CONCATENATE(AG64,":",AL64)="0:0","",CONCATENATE(AG64,":",AL64))</f>
        <v>3:6</v>
      </c>
      <c r="S64" s="510">
        <f t="shared" ref="S64" si="79">IF(ISERROR(AG64/AL64)=TRUE,"",AG64/AL64)</f>
        <v>0.5</v>
      </c>
      <c r="T64" s="510">
        <f>IF(AT64&gt;1,"",IF(ISERROR(RANK(Q64,Q60:Q67,0))=TRUE,"",RANK(Q64,Q60:Q67,0)))</f>
        <v>3</v>
      </c>
      <c r="Z64" s="34">
        <f>IF(LEFT(M64,1)="x",0,IF(LEFT(M64,1)&gt;RIGHT(M64,1),2,IF(LEFT(M64,1)&lt;RIGHT(M64,1),1,"")))</f>
        <v>1</v>
      </c>
      <c r="AA64" s="34">
        <f>IF(LEFT(N64,1)="x",0,IF(LEFT(N64,1)&gt;RIGHT(N64,1),2,IF(LEFT(N64,1)&lt;RIGHT(N64,1),1,"")))</f>
        <v>1</v>
      </c>
      <c r="AB64" s="34">
        <f>IF(LEFT(P64,1)="x",0,IF(LEFT(P64,1)&gt;RIGHT(P64,1),2,IF(LEFT(P64,1)&lt;RIGHT(P64,1),1,"")))</f>
        <v>2</v>
      </c>
      <c r="AD64" s="34">
        <f>IF(LEFT(N64,1)="x",0,VALUE(LEFT(N64,1)))</f>
        <v>0</v>
      </c>
      <c r="AE64" s="34">
        <f>IF(LEFT(M64,1)="x",0,VALUE(LEFT(M64,1)))</f>
        <v>0</v>
      </c>
      <c r="AF64" s="34">
        <f>IF(LEFT(P64,1)="x",0,VALUE(LEFT(P64,1)))</f>
        <v>3</v>
      </c>
      <c r="AG64" s="8">
        <f>IF(ISERROR(VALUE(AD64))=TRUE,0,VALUE(AD64))+IF(ISERROR(VALUE(AE64))=TRUE,0,VALUE(AE64))+IF(ISERROR(VALUE(AF64))=TRUE,0,VALUE(AF64))</f>
        <v>3</v>
      </c>
      <c r="AI64" s="34">
        <f>IF(RIGHT(M64,1)="x",0,VALUE(RIGHT(M64,1)))</f>
        <v>3</v>
      </c>
      <c r="AJ64" s="34">
        <f>IF(RIGHT(N64,1)="x",0,VALUE(RIGHT(N64,1)))</f>
        <v>3</v>
      </c>
      <c r="AK64" s="34">
        <f>IF(RIGHT(P64,1)="x",0,VALUE(RIGHT(P64,1)))</f>
        <v>0</v>
      </c>
      <c r="AL64" s="8">
        <f>IF(ISERROR(VALUE(AI64))=TRUE,0,VALUE(AI64))+IF(ISERROR(VALUE(AJ64))=TRUE,0,VALUE(AJ64))+IF(ISERROR(VALUE(AK64))=TRUE,0,VALUE(AK64))</f>
        <v>6</v>
      </c>
      <c r="AP64" s="46">
        <f>IF(LEFT(M64,1)="x",1,0)</f>
        <v>0</v>
      </c>
      <c r="AQ64" s="46">
        <f>IF(LEFT(N64,1)="x",1,0)</f>
        <v>0</v>
      </c>
      <c r="AR64" s="46">
        <f t="shared" ref="AR64" si="80">IF(LEFT(P64,1)="x",1,0)</f>
        <v>0</v>
      </c>
      <c r="AT64" s="8">
        <f>SUM(AP64:AR64)</f>
        <v>0</v>
      </c>
      <c r="AX64" s="510" t="str">
        <f>IF(BX64&gt;1,"",IF(ISERROR(RANK(AU64,AU60:AU67,0))=TRUE,"",RANK(AU64,AU60:AU67,0)))</f>
        <v/>
      </c>
    </row>
    <row r="65" spans="1:50" s="8" customFormat="1" ht="30" customHeight="1" thickBot="1">
      <c r="A65" s="8" t="str">
        <f>CONCATENATE("CH",K58,E65)</f>
        <v>CHF2-3</v>
      </c>
      <c r="E65" s="304" t="s">
        <v>25</v>
      </c>
      <c r="F65" s="305" t="str">
        <f>IF(ISERROR(VLOOKUP(A65,'zoznam zapasov'!$A$5:$K$78,9,0))=TRUE,"",VLOOKUP(A65,'zoznam zapasov'!$A$5:$K$78,9,0))</f>
        <v>So</v>
      </c>
      <c r="G65" s="305" t="str">
        <f>IF(ISERROR(VLOOKUP(A65,'zoznam zapasov'!$A$5:$K$78,10,0))=TRUE,"",VLOOKUP(A65,'zoznam zapasov'!$A$5:$K$78,10,0))</f>
        <v>12.50</v>
      </c>
      <c r="H65" s="306">
        <f>IF(ISERROR(VLOOKUP(A65,'zoznam zapasov'!$A$5:$K$78,11,0))=TRUE,"",VLOOKUP(A65,'zoznam zapasov'!$A$5:$K$78,11,0))</f>
        <v>4</v>
      </c>
      <c r="I65" s="515"/>
      <c r="J65" s="516"/>
      <c r="K65" s="517"/>
      <c r="L65" s="518"/>
      <c r="M65" s="522"/>
      <c r="N65" s="522"/>
      <c r="O65" s="524"/>
      <c r="P65" s="32" t="str">
        <f>VLOOKUP(A63,'zapisy k stolom'!$A$5:$AV$1444,48,0)</f>
        <v>7,10,5,,,,</v>
      </c>
      <c r="Q65" s="511"/>
      <c r="R65" s="520"/>
      <c r="S65" s="511"/>
      <c r="T65" s="511"/>
      <c r="AP65" s="44"/>
      <c r="AQ65" s="44"/>
      <c r="AX65" s="511"/>
    </row>
    <row r="66" spans="1:50" s="8" customFormat="1" ht="39.950000000000003" customHeight="1">
      <c r="B66" s="8" t="str">
        <f>CONCATENATE("CH",I58,I66)</f>
        <v>CH64</v>
      </c>
      <c r="C66" s="8" t="str">
        <f>CONCATENATE(K58,T66)</f>
        <v>F4</v>
      </c>
      <c r="E66" s="304"/>
      <c r="F66" s="307"/>
      <c r="G66" s="308"/>
      <c r="H66" s="309"/>
      <c r="I66" s="514">
        <v>4</v>
      </c>
      <c r="J66" s="516" t="str">
        <f>IF(ISERROR(VLOOKUP(B66,vylosovanie!$A$8:$J$39,6,0))=TRUE,"",VLOOKUP(B66,vylosovanie!$A$8:$J$39,6,0))</f>
        <v>KALINKA Timotej</v>
      </c>
      <c r="K66" s="517" t="str">
        <f>IF(ISERROR(VLOOKUP(B66,vylosovanie!$A$8:$J$39,8,0))=TRUE,"",VLOOKUP(B66,vylosovanie!$A$8:$J$39,8,0))</f>
        <v>MSTK VTJ MARTIN</v>
      </c>
      <c r="L66" s="518">
        <f>IF(ISERROR(VLOOKUP(B66,vylosovanie!$A$8:$J$39,9,0))=TRUE,"",VLOOKUP(B66,vylosovanie!$A$8:$J$39,9,0))</f>
        <v>32</v>
      </c>
      <c r="M66" s="521" t="str">
        <f>IF(LEN(P60)=1,":",CONCATENATE(RIGHT(P60,1),":",LEFT(P60,1)))</f>
        <v>0:3</v>
      </c>
      <c r="N66" s="521" t="str">
        <f>IF(LEN(P62)=1,":",CONCATENATE(RIGHT(P62,1),":",LEFT(P62,1)))</f>
        <v>1:3</v>
      </c>
      <c r="O66" s="521" t="str">
        <f>IF(LEN(P64)=1,":",CONCATENATE(RIGHT(P64,1),":",LEFT(P64,1)))</f>
        <v>0:3</v>
      </c>
      <c r="P66" s="523"/>
      <c r="Q66" s="510">
        <f t="shared" ref="Q66" si="81">IF(SUM(Z66:AB66)=0,"",SUM(Z66:AB66))</f>
        <v>3</v>
      </c>
      <c r="R66" s="519" t="str">
        <f t="shared" ref="R66" si="82">IF(CONCATENATE(AG66,":",AL66)="0:0","",CONCATENATE(AG66,":",AL66))</f>
        <v>1:9</v>
      </c>
      <c r="S66" s="510">
        <f t="shared" ref="S66" si="83">IF(ISERROR(AG66/AL66)=TRUE,"",AG66/AL66)</f>
        <v>0.1111111111111111</v>
      </c>
      <c r="T66" s="510">
        <f>IF(AT66&gt;1,"",IF(ISERROR(RANK(Q66,Q60:Q67,0))=TRUE,"",RANK(Q66,Q60:Q67,0)))</f>
        <v>4</v>
      </c>
      <c r="Z66" s="34">
        <f>IF(LEFT(M66,1)="x",0,IF(LEFT(M66,1)&gt;RIGHT(M66,1),2,IF(LEFT(M66,1)&lt;RIGHT(M66,1),1,"")))</f>
        <v>1</v>
      </c>
      <c r="AA66" s="34">
        <f>IF(LEFT(N66,1)="x",0,IF(LEFT(N66,1)&gt;RIGHT(N66,1),2,IF(LEFT(N66,1)&lt;RIGHT(N66,1),1,"")))</f>
        <v>1</v>
      </c>
      <c r="AB66" s="34">
        <f>IF(LEFT(O66,1)="x",0,IF(LEFT(O66,1)&gt;RIGHT(O66,1),2,IF(LEFT(O66,1)&lt;RIGHT(O66,1),1,"")))</f>
        <v>1</v>
      </c>
      <c r="AD66" s="34">
        <f>IF(LEFT(M66,1)="x",0,VALUE(LEFT(M66,1)))</f>
        <v>0</v>
      </c>
      <c r="AE66" s="34">
        <f>IF(LEFT(N66,1)="x",0,VALUE(LEFT(N66,1)))</f>
        <v>1</v>
      </c>
      <c r="AF66" s="34">
        <f>IF(LEFT(O66,1)="x",0,VALUE(LEFT(O66,1)))</f>
        <v>0</v>
      </c>
      <c r="AG66" s="8">
        <f>IF(ISERROR(VALUE(AD66))=TRUE,0,VALUE(AD66))+IF(ISERROR(VALUE(AE66))=TRUE,0,VALUE(AE66))+IF(ISERROR(VALUE(AF66))=TRUE,0,VALUE(AF66))</f>
        <v>1</v>
      </c>
      <c r="AI66" s="34">
        <f>IF(RIGHT(M66,1)="x",0,VALUE(RIGHT(M66,1)))</f>
        <v>3</v>
      </c>
      <c r="AJ66" s="34">
        <f>IF(RIGHT(N66,1)="x",0,VALUE(RIGHT(N66,1)))</f>
        <v>3</v>
      </c>
      <c r="AK66" s="34">
        <f>IF(RIGHT(O66,1)="x",0,VALUE(RIGHT(O66,1)))</f>
        <v>3</v>
      </c>
      <c r="AL66" s="8">
        <f>IF(ISERROR(VALUE(AI66))=TRUE,0,VALUE(AI66))+IF(ISERROR(VALUE(AJ66))=TRUE,0,VALUE(AJ66))+IF(ISERROR(VALUE(AK66))=TRUE,0,VALUE(AK66))</f>
        <v>9</v>
      </c>
      <c r="AP66" s="46">
        <f>IF(LEFT(M66,1)="x",1,0)</f>
        <v>0</v>
      </c>
      <c r="AQ66" s="46">
        <f>IF(LEFT(N66,1)="x",1,0)</f>
        <v>0</v>
      </c>
      <c r="AR66" s="46">
        <f>IF(LEFT(O66,1)="x",1,0)</f>
        <v>0</v>
      </c>
      <c r="AT66" s="8">
        <f>SUM(AP66:AR66)</f>
        <v>0</v>
      </c>
      <c r="AX66" s="510" t="str">
        <f>IF(BX66&gt;1,"",IF(ISERROR(RANK(AU66,AU60:AU67,0))=TRUE,"",RANK(AU66,AU60:AU67,0)))</f>
        <v/>
      </c>
    </row>
    <row r="67" spans="1:50" s="8" customFormat="1" ht="30" customHeight="1" thickBot="1">
      <c r="E67" s="304"/>
      <c r="F67" s="307"/>
      <c r="G67" s="308"/>
      <c r="H67" s="309"/>
      <c r="I67" s="515"/>
      <c r="J67" s="516"/>
      <c r="K67" s="517"/>
      <c r="L67" s="518"/>
      <c r="M67" s="522"/>
      <c r="N67" s="522"/>
      <c r="O67" s="522"/>
      <c r="P67" s="524"/>
      <c r="Q67" s="511"/>
      <c r="R67" s="520"/>
      <c r="S67" s="511"/>
      <c r="T67" s="511"/>
      <c r="AP67" s="44"/>
      <c r="AQ67" s="44"/>
      <c r="AX67" s="511"/>
    </row>
    <row r="68" spans="1:50" s="8" customFormat="1" ht="24.75" customHeight="1">
      <c r="E68" s="299"/>
      <c r="F68" s="299"/>
      <c r="G68" s="299"/>
      <c r="H68" s="299"/>
      <c r="I68" s="11"/>
      <c r="J68" s="11"/>
      <c r="K68" s="11"/>
      <c r="L68" s="12"/>
      <c r="M68" s="12"/>
      <c r="N68" s="12"/>
      <c r="O68" s="12"/>
      <c r="P68" s="12"/>
      <c r="Q68" s="12"/>
      <c r="R68" s="12"/>
      <c r="S68" s="12"/>
      <c r="T68" s="12"/>
      <c r="AP68" s="44"/>
      <c r="AQ68" s="44"/>
    </row>
    <row r="69" spans="1:50" s="2" customFormat="1" ht="47.25" thickBot="1">
      <c r="A69" s="2" t="s">
        <v>11</v>
      </c>
      <c r="E69" s="299"/>
      <c r="F69" s="299"/>
      <c r="G69" s="299"/>
      <c r="H69" s="299"/>
      <c r="I69" s="217">
        <v>7</v>
      </c>
      <c r="J69" s="217" t="s">
        <v>13</v>
      </c>
      <c r="K69" s="217" t="s">
        <v>42</v>
      </c>
      <c r="L69" s="12"/>
      <c r="M69" s="12"/>
      <c r="N69" s="12"/>
      <c r="O69" s="12"/>
      <c r="P69" s="12"/>
      <c r="Q69" s="12"/>
      <c r="R69" s="16"/>
      <c r="S69" s="12"/>
      <c r="T69" s="12"/>
      <c r="AO69" s="8"/>
      <c r="AP69" s="43"/>
      <c r="AQ69" s="43"/>
    </row>
    <row r="70" spans="1:50" s="8" customFormat="1" ht="39.950000000000003" customHeight="1" thickBot="1">
      <c r="E70" s="301" t="s">
        <v>14</v>
      </c>
      <c r="F70" s="302" t="s">
        <v>67</v>
      </c>
      <c r="G70" s="302" t="s">
        <v>15</v>
      </c>
      <c r="H70" s="303" t="s">
        <v>16</v>
      </c>
      <c r="I70" s="211"/>
      <c r="J70" s="212" t="s">
        <v>17</v>
      </c>
      <c r="K70" s="213" t="s">
        <v>5</v>
      </c>
      <c r="L70" s="207" t="s">
        <v>44</v>
      </c>
      <c r="M70" s="214">
        <v>1</v>
      </c>
      <c r="N70" s="214">
        <v>2</v>
      </c>
      <c r="O70" s="214">
        <v>3</v>
      </c>
      <c r="P70" s="215">
        <v>4</v>
      </c>
      <c r="Q70" s="216" t="s">
        <v>18</v>
      </c>
      <c r="R70" s="214" t="s">
        <v>45</v>
      </c>
      <c r="S70" s="214" t="s">
        <v>19</v>
      </c>
      <c r="T70" s="215" t="s">
        <v>46</v>
      </c>
      <c r="AD70" s="8" t="s">
        <v>76</v>
      </c>
      <c r="AG70" s="8" t="s">
        <v>77</v>
      </c>
      <c r="AI70" s="8" t="s">
        <v>78</v>
      </c>
      <c r="AL70" s="8" t="s">
        <v>77</v>
      </c>
      <c r="AP70" s="44"/>
      <c r="AQ70" s="44"/>
    </row>
    <row r="71" spans="1:50" s="8" customFormat="1" ht="39.950000000000003" customHeight="1">
      <c r="A71" s="8" t="str">
        <f>CONCATENATE("CH",K69,E71)</f>
        <v>CHG1-3</v>
      </c>
      <c r="B71" s="8" t="str">
        <f>CONCATENATE("CH",I69,I71)</f>
        <v>CH71</v>
      </c>
      <c r="C71" s="8" t="str">
        <f>CONCATENATE(K69,T71)</f>
        <v>G3</v>
      </c>
      <c r="E71" s="304" t="s">
        <v>20</v>
      </c>
      <c r="F71" s="305" t="str">
        <f>IF(ISERROR(VLOOKUP(A71,'zoznam zapasov'!$A$5:$K$78,9,0))=TRUE,"",VLOOKUP(A71,'zoznam zapasov'!$A$5:$K$78,9,0))</f>
        <v>So</v>
      </c>
      <c r="G71" s="305" t="str">
        <f>IF(ISERROR(VLOOKUP(A71,'zoznam zapasov'!$A$5:$K$78,10,0))=TRUE,"",VLOOKUP(A71,'zoznam zapasov'!$A$5:$K$78,10,0))</f>
        <v>10.20</v>
      </c>
      <c r="H71" s="306">
        <f>IF(ISERROR(VLOOKUP(A71,'zoznam zapasov'!$A$5:$K$78,11,0))=TRUE,"",VLOOKUP(A71,'zoznam zapasov'!$A$5:$K$78,11,0))</f>
        <v>5</v>
      </c>
      <c r="I71" s="525">
        <v>1</v>
      </c>
      <c r="J71" s="516" t="str">
        <f>IF(ISERROR(VLOOKUP(B71,vylosovanie!$A$8:$J$39,6,0))=TRUE,"",VLOOKUP(B71,vylosovanie!$A$8:$J$39,6,0))</f>
        <v>TUREK Teodor</v>
      </c>
      <c r="K71" s="517" t="str">
        <f>IF(ISERROR(VLOOKUP(B71,vylosovanie!$A$8:$J$39,8,0))=TRUE,"",VLOOKUP(B71,vylosovanie!$A$8:$J$39,8,0))</f>
        <v>ŠK ŠOG NITRA</v>
      </c>
      <c r="L71" s="518">
        <f>IF(ISERROR(VLOOKUP(B71,vylosovanie!$A$8:$J$39,9,0))=TRUE,"",VLOOKUP(B71,vylosovanie!$A$8:$J$39,9,0))</f>
        <v>7</v>
      </c>
      <c r="M71" s="523"/>
      <c r="N71" s="31" t="str">
        <f>VLOOKUP(A73,'zapisy k stolom'!$A$5:$AV$1444,26,0)</f>
        <v>3:0</v>
      </c>
      <c r="O71" s="31" t="str">
        <f>VLOOKUP(A71,'zapisy k stolom'!$A$5:$AV$1444,26,0)</f>
        <v>1:3</v>
      </c>
      <c r="P71" s="31" t="str">
        <f>VLOOKUP(A75,'zapisy k stolom'!$A$5:$AV$1444,26,0)</f>
        <v>2:3</v>
      </c>
      <c r="Q71" s="510">
        <f>IF(SUM(Z71:AB71)=0,"",SUM(Z71:AB71))</f>
        <v>4</v>
      </c>
      <c r="R71" s="519" t="str">
        <f>IF(CONCATENATE(AG71,":",AL71)="0:0","",CONCATENATE(AG71,":",AL71))</f>
        <v>6:6</v>
      </c>
      <c r="S71" s="510">
        <f>IF(ISERROR(AG71/AL71)=TRUE,"",AG71/AL71)</f>
        <v>1</v>
      </c>
      <c r="T71" s="510">
        <f>IF(AT71&gt;1,"",IF(ISERROR(RANK(Q71,Q71:Q78,0))=TRUE,"",RANK(Q71,Q71:Q78,0)))</f>
        <v>3</v>
      </c>
      <c r="Z71" s="34">
        <f>IF(LEFT(N71,1)="x",0,IF(LEFT(N71,1)&gt;RIGHT(N71,1),2,IF(LEFT(N71,1)&lt;RIGHT(N71,1),1,"")))</f>
        <v>2</v>
      </c>
      <c r="AA71" s="34">
        <f>IF(LEFT(O71,1)="x",0,IF(LEFT(O71,1)&gt;RIGHT(O71,1),2,IF(LEFT(O71,1)&lt;RIGHT(O71,1),1,"")))</f>
        <v>1</v>
      </c>
      <c r="AB71" s="34">
        <f>IF(LEFT(P71,1)="x",0,IF(LEFT(P71,1)&gt;RIGHT(P71,1),2,IF(LEFT(P71,1)&lt;RIGHT(P71,1),1,"")))</f>
        <v>1</v>
      </c>
      <c r="AD71" s="34">
        <f>IF(LEFT(O71,1)="x",0,VALUE(LEFT(O71,1)))</f>
        <v>1</v>
      </c>
      <c r="AE71" s="34">
        <f>IF(LEFT(P71,1)="x",0,VALUE(LEFT(P71,1)))</f>
        <v>2</v>
      </c>
      <c r="AF71" s="34">
        <f>IF(LEFT(N71,1)="x",0,VALUE(LEFT(N71,1)))</f>
        <v>3</v>
      </c>
      <c r="AG71" s="8">
        <f>IF(ISERROR(VALUE(AD71))=TRUE,0,VALUE(AD71))+IF(ISERROR(VALUE(AE71))=TRUE,0,VALUE(AE71))+IF(ISERROR(VALUE(AF71))=TRUE,0,VALUE(AF71))</f>
        <v>6</v>
      </c>
      <c r="AI71" s="34">
        <f>IF(RIGHT(O71,1)="x",0,VALUE(RIGHT(O71,1)))</f>
        <v>3</v>
      </c>
      <c r="AJ71" s="34">
        <f>IF(RIGHT(P71,1)="x",0,VALUE(RIGHT(P71,1)))</f>
        <v>3</v>
      </c>
      <c r="AK71" s="34">
        <f>IF(RIGHT(N71,1)="x",0,VALUE(RIGHT(N71,1)))</f>
        <v>0</v>
      </c>
      <c r="AL71" s="8">
        <f>IF(ISERROR(VALUE(AI71))=TRUE,0,VALUE(AI71))+IF(ISERROR(VALUE(AJ71))=TRUE,0,VALUE(AJ71))+IF(ISERROR(VALUE(AK71))=TRUE,0,VALUE(AK71))</f>
        <v>6</v>
      </c>
      <c r="AP71" s="46">
        <f>IF(LEFT(N71,1)="x",1,0)</f>
        <v>0</v>
      </c>
      <c r="AQ71" s="46">
        <f t="shared" ref="AQ71" si="84">IF(LEFT(O71,1)="x",1,0)</f>
        <v>0</v>
      </c>
      <c r="AR71" s="46">
        <f t="shared" ref="AR71" si="85">IF(LEFT(P71,1)="x",1,0)</f>
        <v>0</v>
      </c>
      <c r="AT71" s="8">
        <f>SUM(AP71:AR71)</f>
        <v>0</v>
      </c>
    </row>
    <row r="72" spans="1:50" s="8" customFormat="1" ht="30" customHeight="1" thickBot="1">
      <c r="A72" s="8" t="str">
        <f>CONCATENATE("CH",K69,E72)</f>
        <v>CHG2-4</v>
      </c>
      <c r="E72" s="304" t="s">
        <v>21</v>
      </c>
      <c r="F72" s="305" t="str">
        <f>IF(ISERROR(VLOOKUP(A72,'zoznam zapasov'!$A$5:$K$78,9,0))=TRUE,"",VLOOKUP(A72,'zoznam zapasov'!$A$5:$K$78,9,0))</f>
        <v>So</v>
      </c>
      <c r="G72" s="305" t="str">
        <f>IF(ISERROR(VLOOKUP(A72,'zoznam zapasov'!$A$5:$K$78,10,0))=TRUE,"",VLOOKUP(A72,'zoznam zapasov'!$A$5:$K$78,10,0))</f>
        <v>10.20</v>
      </c>
      <c r="H72" s="306">
        <f>IF(ISERROR(VLOOKUP(A72,'zoznam zapasov'!$A$5:$K$78,11,0))=TRUE,"",VLOOKUP(A72,'zoznam zapasov'!$A$5:$K$78,11,0))</f>
        <v>6</v>
      </c>
      <c r="I72" s="525"/>
      <c r="J72" s="516"/>
      <c r="K72" s="517"/>
      <c r="L72" s="518"/>
      <c r="M72" s="524"/>
      <c r="N72" s="32" t="str">
        <f>VLOOKUP(A73,'zapisy k stolom'!$A$5:$AV$1444,48,0)</f>
        <v>7,8,7,,,,</v>
      </c>
      <c r="O72" s="32" t="str">
        <f>VLOOKUP(A71,'zapisy k stolom'!$A$5:$AV$1444,48,0)</f>
        <v>-11,-5,7,-5,,,</v>
      </c>
      <c r="P72" s="32" t="str">
        <f>VLOOKUP(A75,'zapisy k stolom'!$A$5:$AV$1444,48,0)</f>
        <v>-9,8,9,-7,-8,,</v>
      </c>
      <c r="Q72" s="511"/>
      <c r="R72" s="520"/>
      <c r="S72" s="511"/>
      <c r="T72" s="511"/>
      <c r="AP72" s="44"/>
      <c r="AQ72" s="44"/>
    </row>
    <row r="73" spans="1:50" s="8" customFormat="1" ht="39.950000000000003" customHeight="1">
      <c r="A73" s="8" t="str">
        <f>CONCATENATE("CH",K69,E73)</f>
        <v>CHG1-2</v>
      </c>
      <c r="B73" s="8" t="str">
        <f>CONCATENATE("CH",I69,I73)</f>
        <v>CH72</v>
      </c>
      <c r="C73" s="8" t="str">
        <f>CONCATENATE(K69,T73)</f>
        <v>G4</v>
      </c>
      <c r="E73" s="304" t="s">
        <v>22</v>
      </c>
      <c r="F73" s="305" t="str">
        <f>IF(ISERROR(VLOOKUP(A73,'zoznam zapasov'!$A$5:$K$78,9,0))=TRUE,"",VLOOKUP(A73,'zoznam zapasov'!$A$5:$K$78,9,0))</f>
        <v>So</v>
      </c>
      <c r="G73" s="305" t="str">
        <f>IF(ISERROR(VLOOKUP(A73,'zoznam zapasov'!$A$5:$K$78,10,0))=TRUE,"",VLOOKUP(A73,'zoznam zapasov'!$A$5:$K$78,10,0))</f>
        <v>11.35</v>
      </c>
      <c r="H73" s="306">
        <f>IF(ISERROR(VLOOKUP(A73,'zoznam zapasov'!$A$5:$K$78,11,0))=TRUE,"",VLOOKUP(A73,'zoznam zapasov'!$A$5:$K$78,11,0))</f>
        <v>5</v>
      </c>
      <c r="I73" s="514">
        <v>2</v>
      </c>
      <c r="J73" s="516" t="str">
        <f>IF(ISERROR(VLOOKUP(B73,vylosovanie!$A$8:$J$39,6,0))=TRUE,"",VLOOKUP(B73,vylosovanie!$A$8:$J$39,6,0))</f>
        <v>JALOVECKÝ Marek</v>
      </c>
      <c r="K73" s="517" t="str">
        <f>IF(ISERROR(VLOOKUP(B73,vylosovanie!$A$8:$J$39,8,0))=TRUE,"",VLOOKUP(B73,vylosovanie!$A$8:$J$39,8,0))</f>
        <v>STK ZŠ NA BIELENISKU PEZINOK</v>
      </c>
      <c r="L73" s="518">
        <f>IF(ISERROR(VLOOKUP(B73,vylosovanie!$A$8:$J$39,9,0))=TRUE,"",VLOOKUP(B73,vylosovanie!$A$8:$J$39,9,0))</f>
        <v>14</v>
      </c>
      <c r="M73" s="526" t="str">
        <f>IF(LEN(N71)=1,":",CONCATENATE(RIGHT(N71,1),":",LEFT(N71,1)))</f>
        <v>0:3</v>
      </c>
      <c r="N73" s="523"/>
      <c r="O73" s="31" t="str">
        <f>VLOOKUP(A76,'zapisy k stolom'!$A$5:$AV$1444,26,0)</f>
        <v>2:3</v>
      </c>
      <c r="P73" s="31" t="str">
        <f>VLOOKUP(A72,'zapisy k stolom'!$A$5:$AV$1444,26,0)</f>
        <v>2:3</v>
      </c>
      <c r="Q73" s="510">
        <f t="shared" ref="Q73" si="86">IF(SUM(Z73:AB73)=0,"",SUM(Z73:AB73))</f>
        <v>3</v>
      </c>
      <c r="R73" s="519" t="str">
        <f t="shared" ref="R73" si="87">IF(CONCATENATE(AG73,":",AL73)="0:0","",CONCATENATE(AG73,":",AL73))</f>
        <v>4:9</v>
      </c>
      <c r="S73" s="510">
        <f t="shared" ref="S73" si="88">IF(ISERROR(AG73/AL73)=TRUE,"",AG73/AL73)</f>
        <v>0.44444444444444442</v>
      </c>
      <c r="T73" s="510">
        <f>IF(AT73&gt;1,"",IF(ISERROR(RANK(Q73,Q71:Q78,0))=TRUE,"",RANK(Q73,Q71:Q78,0)))</f>
        <v>4</v>
      </c>
      <c r="Z73" s="34">
        <f>IF(LEFT(M73,1)="x",0,IF(LEFT(M73,1)&gt;RIGHT(M73,1),2,IF(LEFT(M73,1)&lt;RIGHT(M73,1),1,"")))</f>
        <v>1</v>
      </c>
      <c r="AA73" s="34">
        <f>IF(LEFT(O73,1)="x",0,IF(LEFT(O73,1)&gt;RIGHT(O73,1),2,IF(LEFT(O73,1)&lt;RIGHT(O73,1),1,"")))</f>
        <v>1</v>
      </c>
      <c r="AB73" s="34">
        <f>IF(LEFT(P73,1)="x",0,IF(LEFT(P73,1)&gt;RIGHT(P73,1),2,IF(LEFT(P73,1)&lt;RIGHT(P73,1),1,"")))</f>
        <v>1</v>
      </c>
      <c r="AD73" s="34">
        <f>IF(LEFT(M73,1)="x",0,VALUE(LEFT(M73,1)))</f>
        <v>0</v>
      </c>
      <c r="AE73" s="34">
        <f>IF(LEFT(P73,1)="x",0,VALUE(LEFT(P73,1)))</f>
        <v>2</v>
      </c>
      <c r="AF73" s="34">
        <f>IF(LEFT(O73,1)="x",0,VALUE(LEFT(O73,1)))</f>
        <v>2</v>
      </c>
      <c r="AG73" s="8">
        <f>IF(ISERROR(VALUE(AD73))=TRUE,0,VALUE(AD73))+IF(ISERROR(VALUE(AE73))=TRUE,0,VALUE(AE73))+IF(ISERROR(VALUE(AF73))=TRUE,0,VALUE(AF73))</f>
        <v>4</v>
      </c>
      <c r="AI73" s="34">
        <f>IF(RIGHT(M73,1)="x",0,VALUE(RIGHT(M73,1)))</f>
        <v>3</v>
      </c>
      <c r="AJ73" s="34">
        <f>IF(RIGHT(P73,1)="x",0,VALUE(RIGHT(P73,1)))</f>
        <v>3</v>
      </c>
      <c r="AK73" s="34">
        <f>IF(RIGHT(O73,1)="x",0,VALUE(RIGHT(O73,1)))</f>
        <v>3</v>
      </c>
      <c r="AL73" s="8">
        <f>IF(ISERROR(VALUE(AI73))=TRUE,0,VALUE(AI73))+IF(ISERROR(VALUE(AJ73))=TRUE,0,VALUE(AJ73))+IF(ISERROR(VALUE(AK73))=TRUE,0,VALUE(AK73))</f>
        <v>9</v>
      </c>
      <c r="AP73" s="46">
        <f>IF(LEFT(M73,1)="x",1,0)</f>
        <v>0</v>
      </c>
      <c r="AQ73" s="46">
        <f t="shared" ref="AQ73" si="89">IF(LEFT(O73,1)="x",1,0)</f>
        <v>0</v>
      </c>
      <c r="AR73" s="46">
        <f t="shared" ref="AR73" si="90">IF(LEFT(P73,1)="x",1,0)</f>
        <v>0</v>
      </c>
      <c r="AT73" s="8">
        <f>SUM(AP73:AR73)</f>
        <v>0</v>
      </c>
    </row>
    <row r="74" spans="1:50" s="8" customFormat="1" ht="30" customHeight="1" thickBot="1">
      <c r="A74" s="8" t="str">
        <f>CONCATENATE("CH",K69,E74)</f>
        <v>CHG3-4</v>
      </c>
      <c r="E74" s="304" t="s">
        <v>23</v>
      </c>
      <c r="F74" s="305" t="str">
        <f>IF(ISERROR(VLOOKUP(A74,'zoznam zapasov'!$A$5:$K$78,9,0))=TRUE,"",VLOOKUP(A74,'zoznam zapasov'!$A$5:$K$78,9,0))</f>
        <v>So</v>
      </c>
      <c r="G74" s="305" t="str">
        <f>IF(ISERROR(VLOOKUP(A74,'zoznam zapasov'!$A$5:$K$78,10,0))=TRUE,"",VLOOKUP(A74,'zoznam zapasov'!$A$5:$K$78,10,0))</f>
        <v>11.35</v>
      </c>
      <c r="H74" s="306">
        <f>IF(ISERROR(VLOOKUP(A74,'zoznam zapasov'!$A$5:$K$78,11,0))=TRUE,"",VLOOKUP(A74,'zoznam zapasov'!$A$5:$K$78,11,0))</f>
        <v>6</v>
      </c>
      <c r="I74" s="515"/>
      <c r="J74" s="516"/>
      <c r="K74" s="517"/>
      <c r="L74" s="518"/>
      <c r="M74" s="522"/>
      <c r="N74" s="524"/>
      <c r="O74" s="32" t="str">
        <f>VLOOKUP(A76,'zapisy k stolom'!$A$5:$AV$1444,48,0)</f>
        <v>-8,7,-9,11,-6,,</v>
      </c>
      <c r="P74" s="32" t="str">
        <f>VLOOKUP(A72,'zapisy k stolom'!$A$5:$AV$1444,48,0)</f>
        <v>-8,5,10,-8,-5,,</v>
      </c>
      <c r="Q74" s="511"/>
      <c r="R74" s="520"/>
      <c r="S74" s="511"/>
      <c r="T74" s="511"/>
      <c r="AP74" s="44"/>
      <c r="AQ74" s="44"/>
    </row>
    <row r="75" spans="1:50" s="8" customFormat="1" ht="39.950000000000003" customHeight="1">
      <c r="A75" s="8" t="str">
        <f>CONCATENATE("CH",K69,E75)</f>
        <v>CHG1-4</v>
      </c>
      <c r="B75" s="8" t="str">
        <f>CONCATENATE("CH",I69,I75)</f>
        <v>CH73</v>
      </c>
      <c r="C75" s="8" t="str">
        <f>CONCATENATE(K69,T75)</f>
        <v>G1</v>
      </c>
      <c r="E75" s="304" t="s">
        <v>24</v>
      </c>
      <c r="F75" s="305" t="str">
        <f>IF(ISERROR(VLOOKUP(A75,'zoznam zapasov'!$A$5:$K$78,9,0))=TRUE,"",VLOOKUP(A75,'zoznam zapasov'!$A$5:$K$78,9,0))</f>
        <v>So</v>
      </c>
      <c r="G75" s="305" t="str">
        <f>IF(ISERROR(VLOOKUP(A75,'zoznam zapasov'!$A$5:$K$78,10,0))=TRUE,"",VLOOKUP(A75,'zoznam zapasov'!$A$5:$K$78,10,0))</f>
        <v>12.50</v>
      </c>
      <c r="H75" s="306">
        <f>IF(ISERROR(VLOOKUP(A75,'zoznam zapasov'!$A$5:$K$78,11,0))=TRUE,"",VLOOKUP(A75,'zoznam zapasov'!$A$5:$K$78,11,0))</f>
        <v>5</v>
      </c>
      <c r="I75" s="514">
        <v>3</v>
      </c>
      <c r="J75" s="516" t="str">
        <f>IF(ISERROR(VLOOKUP(B75,vylosovanie!$A$8:$J$39,6,0))=TRUE,"",VLOOKUP(B75,vylosovanie!$A$8:$J$39,6,0))</f>
        <v>FEČO Michal</v>
      </c>
      <c r="K75" s="517" t="str">
        <f>IF(ISERROR(VLOOKUP(B75,vylosovanie!$A$8:$J$39,8,0))=TRUE,"",VLOOKUP(B75,vylosovanie!$A$8:$J$39,8,0))</f>
        <v>MŠK VSTK VRANOV NAD TOPĽOU</v>
      </c>
      <c r="L75" s="518">
        <f>IF(ISERROR(VLOOKUP(B75,vylosovanie!$A$8:$J$39,9,0))=TRUE,"",VLOOKUP(B75,vylosovanie!$A$8:$J$39,9,0))</f>
        <v>24</v>
      </c>
      <c r="M75" s="521" t="str">
        <f>IF(LEN(O71)=1,":",CONCATENATE(RIGHT(O71,1),":",LEFT(O71,1)))</f>
        <v>3:1</v>
      </c>
      <c r="N75" s="521" t="str">
        <f>IF(LEN(O73)=1,":",CONCATENATE(RIGHT(O73,1),":",LEFT(O73,1)))</f>
        <v>3:2</v>
      </c>
      <c r="O75" s="523"/>
      <c r="P75" s="31" t="str">
        <f>VLOOKUP(A74,'zapisy k stolom'!$A$5:$AV$1444,26,0)</f>
        <v>3:2</v>
      </c>
      <c r="Q75" s="510">
        <f t="shared" ref="Q75" si="91">IF(SUM(Z75:AB75)=0,"",SUM(Z75:AB75))</f>
        <v>6</v>
      </c>
      <c r="R75" s="519" t="str">
        <f t="shared" ref="R75" si="92">IF(CONCATENATE(AG75,":",AL75)="0:0","",CONCATENATE(AG75,":",AL75))</f>
        <v>9:5</v>
      </c>
      <c r="S75" s="510">
        <f t="shared" ref="S75" si="93">IF(ISERROR(AG75/AL75)=TRUE,"",AG75/AL75)</f>
        <v>1.8</v>
      </c>
      <c r="T75" s="510">
        <f>IF(AT75&gt;1,"",IF(ISERROR(RANK(Q75,Q71:Q78,0))=TRUE,"",RANK(Q75,Q71:Q78,0)))</f>
        <v>1</v>
      </c>
      <c r="Z75" s="34">
        <f>IF(LEFT(M75,1)="x",0,IF(LEFT(M75,1)&gt;RIGHT(M75,1),2,IF(LEFT(M75,1)&lt;RIGHT(M75,1),1,"")))</f>
        <v>2</v>
      </c>
      <c r="AA75" s="34">
        <f>IF(LEFT(N75,1)="x",0,IF(LEFT(N75,1)&gt;RIGHT(N75,1),2,IF(LEFT(N75,1)&lt;RIGHT(N75,1),1,"")))</f>
        <v>2</v>
      </c>
      <c r="AB75" s="34">
        <f>IF(LEFT(P75,1)="x",0,IF(LEFT(P75,1)&gt;RIGHT(P75,1),2,IF(LEFT(P75,1)&lt;RIGHT(P75,1),1,"")))</f>
        <v>2</v>
      </c>
      <c r="AD75" s="34">
        <f>IF(LEFT(N75,1)="x",0,VALUE(LEFT(N75,1)))</f>
        <v>3</v>
      </c>
      <c r="AE75" s="34">
        <f>IF(LEFT(M75,1)="x",0,VALUE(LEFT(M75,1)))</f>
        <v>3</v>
      </c>
      <c r="AF75" s="34">
        <f>IF(LEFT(P75,1)="x",0,VALUE(LEFT(P75,1)))</f>
        <v>3</v>
      </c>
      <c r="AG75" s="8">
        <f>IF(ISERROR(VALUE(AD75))=TRUE,0,VALUE(AD75))+IF(ISERROR(VALUE(AE75))=TRUE,0,VALUE(AE75))+IF(ISERROR(VALUE(AF75))=TRUE,0,VALUE(AF75))</f>
        <v>9</v>
      </c>
      <c r="AI75" s="34">
        <f>IF(RIGHT(M75,1)="x",0,VALUE(RIGHT(M75,1)))</f>
        <v>1</v>
      </c>
      <c r="AJ75" s="34">
        <f>IF(RIGHT(N75,1)="x",0,VALUE(RIGHT(N75,1)))</f>
        <v>2</v>
      </c>
      <c r="AK75" s="34">
        <f>IF(RIGHT(P75,1)="x",0,VALUE(RIGHT(P75,1)))</f>
        <v>2</v>
      </c>
      <c r="AL75" s="8">
        <f>IF(ISERROR(VALUE(AI75))=TRUE,0,VALUE(AI75))+IF(ISERROR(VALUE(AJ75))=TRUE,0,VALUE(AJ75))+IF(ISERROR(VALUE(AK75))=TRUE,0,VALUE(AK75))</f>
        <v>5</v>
      </c>
      <c r="AP75" s="46">
        <f>IF(LEFT(M75,1)="x",1,0)</f>
        <v>0</v>
      </c>
      <c r="AQ75" s="46">
        <f>IF(LEFT(N75,1)="x",1,0)</f>
        <v>0</v>
      </c>
      <c r="AR75" s="46">
        <f t="shared" ref="AR75" si="94">IF(LEFT(P75,1)="x",1,0)</f>
        <v>0</v>
      </c>
      <c r="AT75" s="8">
        <f>SUM(AP75:AR75)</f>
        <v>0</v>
      </c>
    </row>
    <row r="76" spans="1:50" s="8" customFormat="1" ht="30" customHeight="1" thickBot="1">
      <c r="A76" s="8" t="str">
        <f>CONCATENATE("CH",K69,E76)</f>
        <v>CHG2-3</v>
      </c>
      <c r="E76" s="304" t="s">
        <v>25</v>
      </c>
      <c r="F76" s="305" t="str">
        <f>IF(ISERROR(VLOOKUP(A76,'zoznam zapasov'!$A$5:$K$78,9,0))=TRUE,"",VLOOKUP(A76,'zoznam zapasov'!$A$5:$K$78,9,0))</f>
        <v>So</v>
      </c>
      <c r="G76" s="305" t="str">
        <f>IF(ISERROR(VLOOKUP(A76,'zoznam zapasov'!$A$5:$K$78,10,0))=TRUE,"",VLOOKUP(A76,'zoznam zapasov'!$A$5:$K$78,10,0))</f>
        <v>12.50</v>
      </c>
      <c r="H76" s="306">
        <f>IF(ISERROR(VLOOKUP(A76,'zoznam zapasov'!$A$5:$K$78,11,0))=TRUE,"",VLOOKUP(A76,'zoznam zapasov'!$A$5:$K$78,11,0))</f>
        <v>6</v>
      </c>
      <c r="I76" s="515"/>
      <c r="J76" s="516"/>
      <c r="K76" s="517"/>
      <c r="L76" s="518"/>
      <c r="M76" s="522"/>
      <c r="N76" s="522"/>
      <c r="O76" s="524"/>
      <c r="P76" s="32" t="str">
        <f>VLOOKUP(A74,'zapisy k stolom'!$A$5:$AV$1444,48,0)</f>
        <v>9,-7,-9,8,5,,</v>
      </c>
      <c r="Q76" s="511"/>
      <c r="R76" s="520"/>
      <c r="S76" s="511"/>
      <c r="T76" s="511"/>
      <c r="AP76" s="44"/>
      <c r="AQ76" s="44"/>
    </row>
    <row r="77" spans="1:50" s="8" customFormat="1" ht="39.950000000000003" customHeight="1">
      <c r="B77" s="8" t="str">
        <f>CONCATENATE("CH",I69,I77)</f>
        <v>CH74</v>
      </c>
      <c r="C77" s="8" t="str">
        <f>CONCATENATE(K69,T77)</f>
        <v>G2</v>
      </c>
      <c r="E77" s="304"/>
      <c r="F77" s="307"/>
      <c r="G77" s="308"/>
      <c r="H77" s="309"/>
      <c r="I77" s="514">
        <v>4</v>
      </c>
      <c r="J77" s="516" t="str">
        <f>IF(ISERROR(VLOOKUP(B77,vylosovanie!$A$8:$J$39,6,0))=TRUE,"",VLOOKUP(B77,vylosovanie!$A$8:$J$39,6,0))</f>
        <v>GREGOR Jakub</v>
      </c>
      <c r="K77" s="517" t="str">
        <f>IF(ISERROR(VLOOKUP(B77,vylosovanie!$A$8:$J$39,8,0))=TRUE,"",VLOOKUP(B77,vylosovanie!$A$8:$J$39,8,0))</f>
        <v>ŠKST KARLOVA VES</v>
      </c>
      <c r="L77" s="518">
        <f>IF(ISERROR(VLOOKUP(B77,vylosovanie!$A$8:$J$39,9,0))=TRUE,"",VLOOKUP(B77,vylosovanie!$A$8:$J$39,9,0))</f>
        <v>28</v>
      </c>
      <c r="M77" s="521" t="str">
        <f>IF(LEN(P71)=1,":",CONCATENATE(RIGHT(P71,1),":",LEFT(P71,1)))</f>
        <v>3:2</v>
      </c>
      <c r="N77" s="521" t="str">
        <f>IF(LEN(P73)=1,":",CONCATENATE(RIGHT(P73,1),":",LEFT(P73,1)))</f>
        <v>3:2</v>
      </c>
      <c r="O77" s="521" t="str">
        <f>IF(LEN(P75)=1,":",CONCATENATE(RIGHT(P75,1),":",LEFT(P75,1)))</f>
        <v>2:3</v>
      </c>
      <c r="P77" s="523"/>
      <c r="Q77" s="510">
        <f t="shared" ref="Q77" si="95">IF(SUM(Z77:AB77)=0,"",SUM(Z77:AB77))</f>
        <v>5</v>
      </c>
      <c r="R77" s="519" t="str">
        <f t="shared" ref="R77" si="96">IF(CONCATENATE(AG77,":",AL77)="0:0","",CONCATENATE(AG77,":",AL77))</f>
        <v>8:7</v>
      </c>
      <c r="S77" s="510">
        <f t="shared" ref="S77" si="97">IF(ISERROR(AG77/AL77)=TRUE,"",AG77/AL77)</f>
        <v>1.1428571428571428</v>
      </c>
      <c r="T77" s="510">
        <f>IF(AT77&gt;1,"",IF(ISERROR(RANK(Q77,Q71:Q78,0))=TRUE,"",RANK(Q77,Q71:Q78,0)))</f>
        <v>2</v>
      </c>
      <c r="Z77" s="34">
        <f>IF(LEFT(M77,1)="x",0,IF(LEFT(M77,1)&gt;RIGHT(M77,1),2,IF(LEFT(M77,1)&lt;RIGHT(M77,1),1,"")))</f>
        <v>2</v>
      </c>
      <c r="AA77" s="34">
        <f>IF(LEFT(N77,1)="x",0,IF(LEFT(N77,1)&gt;RIGHT(N77,1),2,IF(LEFT(N77,1)&lt;RIGHT(N77,1),1,"")))</f>
        <v>2</v>
      </c>
      <c r="AB77" s="34">
        <f>IF(LEFT(O77,1)="x",0,IF(LEFT(O77,1)&gt;RIGHT(O77,1),2,IF(LEFT(O77,1)&lt;RIGHT(O77,1),1,"")))</f>
        <v>1</v>
      </c>
      <c r="AD77" s="34">
        <f>IF(LEFT(M77,1)="x",0,VALUE(LEFT(M77,1)))</f>
        <v>3</v>
      </c>
      <c r="AE77" s="34">
        <f>IF(LEFT(N77,1)="x",0,VALUE(LEFT(N77,1)))</f>
        <v>3</v>
      </c>
      <c r="AF77" s="34">
        <f>IF(LEFT(O77,1)="x",0,VALUE(LEFT(O77,1)))</f>
        <v>2</v>
      </c>
      <c r="AG77" s="8">
        <f>IF(ISERROR(VALUE(AD77))=TRUE,0,VALUE(AD77))+IF(ISERROR(VALUE(AE77))=TRUE,0,VALUE(AE77))+IF(ISERROR(VALUE(AF77))=TRUE,0,VALUE(AF77))</f>
        <v>8</v>
      </c>
      <c r="AI77" s="34">
        <f>IF(RIGHT(M77,1)="x",0,VALUE(RIGHT(M77,1)))</f>
        <v>2</v>
      </c>
      <c r="AJ77" s="34">
        <f>IF(RIGHT(N77,1)="x",0,VALUE(RIGHT(N77,1)))</f>
        <v>2</v>
      </c>
      <c r="AK77" s="34">
        <f>IF(RIGHT(O77,1)="x",0,VALUE(RIGHT(O77,1)))</f>
        <v>3</v>
      </c>
      <c r="AL77" s="8">
        <f>IF(ISERROR(VALUE(AI77))=TRUE,0,VALUE(AI77))+IF(ISERROR(VALUE(AJ77))=TRUE,0,VALUE(AJ77))+IF(ISERROR(VALUE(AK77))=TRUE,0,VALUE(AK77))</f>
        <v>7</v>
      </c>
      <c r="AP77" s="46">
        <f>IF(LEFT(M77,1)="x",1,0)</f>
        <v>0</v>
      </c>
      <c r="AQ77" s="46">
        <f>IF(LEFT(N77,1)="x",1,0)</f>
        <v>0</v>
      </c>
      <c r="AR77" s="46">
        <f>IF(LEFT(O77,1)="x",1,0)</f>
        <v>0</v>
      </c>
      <c r="AT77" s="8">
        <f>SUM(AP77:AR77)</f>
        <v>0</v>
      </c>
    </row>
    <row r="78" spans="1:50" s="8" customFormat="1" ht="30" customHeight="1" thickBot="1">
      <c r="E78" s="304"/>
      <c r="F78" s="307"/>
      <c r="G78" s="308"/>
      <c r="H78" s="309"/>
      <c r="I78" s="515"/>
      <c r="J78" s="516"/>
      <c r="K78" s="517"/>
      <c r="L78" s="518"/>
      <c r="M78" s="522"/>
      <c r="N78" s="522"/>
      <c r="O78" s="522"/>
      <c r="P78" s="524"/>
      <c r="Q78" s="511"/>
      <c r="R78" s="520"/>
      <c r="S78" s="511"/>
      <c r="T78" s="511"/>
      <c r="AP78" s="44"/>
      <c r="AQ78" s="44"/>
    </row>
    <row r="79" spans="1:50" s="8" customFormat="1" ht="24.75" customHeight="1">
      <c r="E79" s="299"/>
      <c r="F79" s="299"/>
      <c r="G79" s="299"/>
      <c r="H79" s="299"/>
      <c r="I79" s="11"/>
      <c r="J79" s="11"/>
      <c r="K79" s="11"/>
      <c r="L79" s="12"/>
      <c r="M79" s="12"/>
      <c r="N79" s="12"/>
      <c r="O79" s="12"/>
      <c r="P79" s="12"/>
      <c r="Q79" s="12"/>
      <c r="R79" s="12"/>
      <c r="S79" s="12"/>
      <c r="T79" s="12"/>
      <c r="AP79" s="44"/>
      <c r="AQ79" s="44"/>
    </row>
    <row r="80" spans="1:50" s="2" customFormat="1" ht="47.25" thickBot="1">
      <c r="A80" s="2" t="s">
        <v>11</v>
      </c>
      <c r="E80" s="299"/>
      <c r="F80" s="299"/>
      <c r="G80" s="299"/>
      <c r="H80" s="299"/>
      <c r="I80" s="217">
        <v>8</v>
      </c>
      <c r="J80" s="217" t="s">
        <v>13</v>
      </c>
      <c r="K80" s="217" t="s">
        <v>43</v>
      </c>
      <c r="L80" s="12"/>
      <c r="M80" s="12"/>
      <c r="N80" s="12"/>
      <c r="O80" s="12"/>
      <c r="P80" s="12"/>
      <c r="Q80" s="12"/>
      <c r="R80" s="16"/>
      <c r="S80" s="12"/>
      <c r="T80" s="12"/>
      <c r="AO80" s="8"/>
      <c r="AP80" s="43"/>
      <c r="AQ80" s="43"/>
    </row>
    <row r="81" spans="1:46" s="8" customFormat="1" ht="39.950000000000003" customHeight="1" thickBot="1">
      <c r="E81" s="301" t="s">
        <v>14</v>
      </c>
      <c r="F81" s="302" t="s">
        <v>67</v>
      </c>
      <c r="G81" s="302" t="s">
        <v>15</v>
      </c>
      <c r="H81" s="303" t="s">
        <v>16</v>
      </c>
      <c r="I81" s="211"/>
      <c r="J81" s="212" t="s">
        <v>17</v>
      </c>
      <c r="K81" s="213" t="s">
        <v>5</v>
      </c>
      <c r="L81" s="207" t="s">
        <v>44</v>
      </c>
      <c r="M81" s="214">
        <v>1</v>
      </c>
      <c r="N81" s="214">
        <v>2</v>
      </c>
      <c r="O81" s="214">
        <v>3</v>
      </c>
      <c r="P81" s="215">
        <v>4</v>
      </c>
      <c r="Q81" s="216" t="s">
        <v>18</v>
      </c>
      <c r="R81" s="214" t="s">
        <v>45</v>
      </c>
      <c r="S81" s="214" t="s">
        <v>19</v>
      </c>
      <c r="T81" s="215" t="s">
        <v>46</v>
      </c>
      <c r="AD81" s="8" t="s">
        <v>76</v>
      </c>
      <c r="AG81" s="8" t="s">
        <v>77</v>
      </c>
      <c r="AI81" s="8" t="s">
        <v>78</v>
      </c>
      <c r="AL81" s="8" t="s">
        <v>77</v>
      </c>
      <c r="AP81" s="44"/>
      <c r="AQ81" s="44"/>
    </row>
    <row r="82" spans="1:46" s="8" customFormat="1" ht="39.950000000000003" customHeight="1">
      <c r="A82" s="8" t="str">
        <f>CONCATENATE("CH",K80,E82)</f>
        <v>CHH1-3</v>
      </c>
      <c r="B82" s="8" t="str">
        <f>CONCATENATE("CH",I80,I82)</f>
        <v>CH81</v>
      </c>
      <c r="C82" s="8" t="str">
        <f>CONCATENATE(K80,T82)</f>
        <v>H1</v>
      </c>
      <c r="E82" s="304" t="s">
        <v>20</v>
      </c>
      <c r="F82" s="305" t="str">
        <f>IF(ISERROR(VLOOKUP(A82,'zoznam zapasov'!$A$5:$K$78,9,0))=TRUE,"",VLOOKUP(A82,'zoznam zapasov'!$A$5:$K$78,9,0))</f>
        <v>So</v>
      </c>
      <c r="G82" s="305" t="str">
        <f>IF(ISERROR(VLOOKUP(A82,'zoznam zapasov'!$A$5:$K$78,10,0))=TRUE,"",VLOOKUP(A82,'zoznam zapasov'!$A$5:$K$78,10,0))</f>
        <v>10.20</v>
      </c>
      <c r="H82" s="306">
        <f>IF(ISERROR(VLOOKUP(A82,'zoznam zapasov'!$A$5:$K$78,11,0))=TRUE,"",VLOOKUP(A82,'zoznam zapasov'!$A$5:$K$78,11,0))</f>
        <v>7</v>
      </c>
      <c r="I82" s="525">
        <v>1</v>
      </c>
      <c r="J82" s="516" t="str">
        <f>IF(ISERROR(VLOOKUP(B82,vylosovanie!$A$8:$J$39,6,0))=TRUE,"",VLOOKUP(B82,vylosovanie!$A$8:$J$39,6,0))</f>
        <v>PAPÁNEK Martin</v>
      </c>
      <c r="K82" s="517" t="str">
        <f>IF(ISERROR(VLOOKUP(B82,vylosovanie!$A$8:$J$39,8,0))=TRUE,"",VLOOKUP(B82,vylosovanie!$A$8:$J$39,8,0))</f>
        <v>STK NOVÁ BAŇA/PODLUŽANY</v>
      </c>
      <c r="L82" s="518">
        <f>IF(ISERROR(VLOOKUP(B82,vylosovanie!$A$8:$J$39,9,0))=TRUE,"",VLOOKUP(B82,vylosovanie!$A$8:$J$39,9,0))</f>
        <v>8</v>
      </c>
      <c r="M82" s="523"/>
      <c r="N82" s="31" t="str">
        <f>VLOOKUP(A84,'zapisy k stolom'!$A$5:$AV$1444,26,0)</f>
        <v>3:0</v>
      </c>
      <c r="O82" s="31" t="str">
        <f>VLOOKUP(A82,'zapisy k stolom'!$A$5:$AV$1444,26,0)</f>
        <v>2:3</v>
      </c>
      <c r="P82" s="31" t="str">
        <f>VLOOKUP(A86,'zapisy k stolom'!$A$5:$AV$1444,26,0)</f>
        <v>3:2</v>
      </c>
      <c r="Q82" s="510">
        <f>IF(SUM(Z82:AB82)=0,"",SUM(Z82:AB82))</f>
        <v>5</v>
      </c>
      <c r="R82" s="519" t="str">
        <f>IF(CONCATENATE(AG82,":",AL82)="0:0","",CONCATENATE(AG82,":",AL82))</f>
        <v>8:5</v>
      </c>
      <c r="S82" s="510">
        <f>IF(ISERROR(AG82/AL82)=TRUE,"",AG82/AL82)</f>
        <v>1.6</v>
      </c>
      <c r="T82" s="510">
        <f>IF(AT82&gt;1,"",IF(ISERROR(RANK(Q82,Q82:Q89,0))=TRUE,"",RANK(Q82,Q82:Q89,0)))</f>
        <v>1</v>
      </c>
      <c r="Z82" s="34">
        <f>IF(LEFT(N82,1)="x",0,IF(LEFT(N82,1)&gt;RIGHT(N82,1),2,IF(LEFT(N82,1)&lt;RIGHT(N82,1),1,"")))</f>
        <v>2</v>
      </c>
      <c r="AA82" s="34">
        <f>IF(LEFT(O82,1)="x",0,IF(LEFT(O82,1)&gt;RIGHT(O82,1),2,IF(LEFT(O82,1)&lt;RIGHT(O82,1),1,"")))</f>
        <v>1</v>
      </c>
      <c r="AB82" s="34">
        <f>IF(LEFT(P82,1)="x",0,IF(LEFT(P82,1)&gt;RIGHT(P82,1),2,IF(LEFT(P82,1)&lt;RIGHT(P82,1),1,"")))</f>
        <v>2</v>
      </c>
      <c r="AD82" s="34">
        <f>IF(LEFT(O82,1)="x",0,VALUE(LEFT(O82,1)))</f>
        <v>2</v>
      </c>
      <c r="AE82" s="34">
        <f>IF(LEFT(P82,1)="x",0,VALUE(LEFT(P82,1)))</f>
        <v>3</v>
      </c>
      <c r="AF82" s="34">
        <f>IF(LEFT(N82,1)="x",0,VALUE(LEFT(N82,1)))</f>
        <v>3</v>
      </c>
      <c r="AG82" s="8">
        <f>IF(ISERROR(VALUE(AD82))=TRUE,0,VALUE(AD82))+IF(ISERROR(VALUE(AE82))=TRUE,0,VALUE(AE82))+IF(ISERROR(VALUE(AF82))=TRUE,0,VALUE(AF82))</f>
        <v>8</v>
      </c>
      <c r="AI82" s="34">
        <f>IF(RIGHT(O82,1)="x",0,VALUE(RIGHT(O82,1)))</f>
        <v>3</v>
      </c>
      <c r="AJ82" s="34">
        <f>IF(RIGHT(P82,1)="x",0,VALUE(RIGHT(P82,1)))</f>
        <v>2</v>
      </c>
      <c r="AK82" s="34">
        <f>IF(RIGHT(N82,1)="x",0,VALUE(RIGHT(N82,1)))</f>
        <v>0</v>
      </c>
      <c r="AL82" s="8">
        <f>IF(ISERROR(VALUE(AI82))=TRUE,0,VALUE(AI82))+IF(ISERROR(VALUE(AJ82))=TRUE,0,VALUE(AJ82))+IF(ISERROR(VALUE(AK82))=TRUE,0,VALUE(AK82))</f>
        <v>5</v>
      </c>
      <c r="AP82" s="46">
        <f>IF(LEFT(N82,1)="x",1,0)</f>
        <v>0</v>
      </c>
      <c r="AQ82" s="46">
        <f t="shared" ref="AQ82" si="98">IF(LEFT(O82,1)="x",1,0)</f>
        <v>0</v>
      </c>
      <c r="AR82" s="46">
        <f t="shared" ref="AR82" si="99">IF(LEFT(P82,1)="x",1,0)</f>
        <v>0</v>
      </c>
      <c r="AT82" s="8">
        <f>SUM(AP82:AR82)</f>
        <v>0</v>
      </c>
    </row>
    <row r="83" spans="1:46" s="8" customFormat="1" ht="30" customHeight="1" thickBot="1">
      <c r="A83" s="8" t="str">
        <f>CONCATENATE("CH",K80,E83)</f>
        <v>CHH2-4</v>
      </c>
      <c r="E83" s="304" t="s">
        <v>21</v>
      </c>
      <c r="F83" s="305" t="str">
        <f>IF(ISERROR(VLOOKUP(A83,'zoznam zapasov'!$A$5:$K$78,9,0))=TRUE,"",VLOOKUP(A83,'zoznam zapasov'!$A$5:$K$78,9,0))</f>
        <v>So</v>
      </c>
      <c r="G83" s="305" t="str">
        <f>IF(ISERROR(VLOOKUP(A83,'zoznam zapasov'!$A$5:$K$78,10,0))=TRUE,"",VLOOKUP(A83,'zoznam zapasov'!$A$5:$K$78,10,0))</f>
        <v>10.20</v>
      </c>
      <c r="H83" s="306">
        <f>IF(ISERROR(VLOOKUP(A83,'zoznam zapasov'!$A$5:$K$78,11,0))=TRUE,"",VLOOKUP(A83,'zoznam zapasov'!$A$5:$K$78,11,0))</f>
        <v>8</v>
      </c>
      <c r="I83" s="525"/>
      <c r="J83" s="516"/>
      <c r="K83" s="517"/>
      <c r="L83" s="518"/>
      <c r="M83" s="524"/>
      <c r="N83" s="32" t="str">
        <f>VLOOKUP(A84,'zapisy k stolom'!$A$5:$AV$1444,48,0)</f>
        <v>10,7,4,,,,</v>
      </c>
      <c r="O83" s="32" t="str">
        <f>VLOOKUP(A82,'zapisy k stolom'!$A$5:$AV$1444,48,0)</f>
        <v>-1,-4,2,9,-7,,</v>
      </c>
      <c r="P83" s="32" t="str">
        <f>VLOOKUP(A86,'zapisy k stolom'!$A$5:$AV$1444,48,0)</f>
        <v>-6,8,5,-9,7,,</v>
      </c>
      <c r="Q83" s="511"/>
      <c r="R83" s="520"/>
      <c r="S83" s="511"/>
      <c r="T83" s="511"/>
      <c r="AP83" s="44"/>
      <c r="AQ83" s="44"/>
    </row>
    <row r="84" spans="1:46" s="8" customFormat="1" ht="39.950000000000003" customHeight="1">
      <c r="A84" s="8" t="str">
        <f>CONCATENATE("CH",K80,E84)</f>
        <v>CHH1-2</v>
      </c>
      <c r="B84" s="8" t="str">
        <f>CONCATENATE("CH",I80,I84)</f>
        <v>CH82</v>
      </c>
      <c r="C84" s="8" t="str">
        <f>CONCATENATE(K80,T84)</f>
        <v>H2</v>
      </c>
      <c r="E84" s="304" t="s">
        <v>22</v>
      </c>
      <c r="F84" s="305" t="str">
        <f>IF(ISERROR(VLOOKUP(A84,'zoznam zapasov'!$A$5:$K$78,9,0))=TRUE,"",VLOOKUP(A84,'zoznam zapasov'!$A$5:$K$78,9,0))</f>
        <v>So</v>
      </c>
      <c r="G84" s="305" t="str">
        <f>IF(ISERROR(VLOOKUP(A84,'zoznam zapasov'!$A$5:$K$78,10,0))=TRUE,"",VLOOKUP(A84,'zoznam zapasov'!$A$5:$K$78,10,0))</f>
        <v>11.35</v>
      </c>
      <c r="H84" s="306">
        <f>IF(ISERROR(VLOOKUP(A84,'zoznam zapasov'!$A$5:$K$78,11,0))=TRUE,"",VLOOKUP(A84,'zoznam zapasov'!$A$5:$K$78,11,0))</f>
        <v>7</v>
      </c>
      <c r="I84" s="514">
        <v>2</v>
      </c>
      <c r="J84" s="516" t="str">
        <f>IF(ISERROR(VLOOKUP(B84,vylosovanie!$A$8:$J$39,6,0))=TRUE,"",VLOOKUP(B84,vylosovanie!$A$8:$J$39,6,0))</f>
        <v>FUSEK Patrik</v>
      </c>
      <c r="K84" s="517" t="str">
        <f>IF(ISERROR(VLOOKUP(B84,vylosovanie!$A$8:$J$39,8,0))=TRUE,"",VLOOKUP(B84,vylosovanie!$A$8:$J$39,8,0))</f>
        <v>MSK MALACKY</v>
      </c>
      <c r="L84" s="518">
        <f>IF(ISERROR(VLOOKUP(B84,vylosovanie!$A$8:$J$39,9,0))=TRUE,"",VLOOKUP(B84,vylosovanie!$A$8:$J$39,9,0))</f>
        <v>15</v>
      </c>
      <c r="M84" s="526" t="str">
        <f>IF(LEN(N82)=1,":",CONCATENATE(RIGHT(N82,1),":",LEFT(N82,1)))</f>
        <v>0:3</v>
      </c>
      <c r="N84" s="523"/>
      <c r="O84" s="31" t="str">
        <f>VLOOKUP(A87,'zapisy k stolom'!$A$5:$AV$1444,26,0)</f>
        <v>3:0</v>
      </c>
      <c r="P84" s="31" t="str">
        <f>VLOOKUP(A83,'zapisy k stolom'!$A$5:$AV$1444,26,0)</f>
        <v>3:1</v>
      </c>
      <c r="Q84" s="510">
        <f t="shared" ref="Q84" si="100">IF(SUM(Z84:AB84)=0,"",SUM(Z84:AB84))</f>
        <v>5</v>
      </c>
      <c r="R84" s="519" t="str">
        <f t="shared" ref="R84" si="101">IF(CONCATENATE(AG84,":",AL84)="0:0","",CONCATENATE(AG84,":",AL84))</f>
        <v>6:4</v>
      </c>
      <c r="S84" s="510">
        <f t="shared" ref="S84" si="102">IF(ISERROR(AG84/AL84)=TRUE,"",AG84/AL84)</f>
        <v>1.5</v>
      </c>
      <c r="T84" s="510">
        <v>2</v>
      </c>
      <c r="Z84" s="34">
        <f>IF(LEFT(M84,1)="x",0,IF(LEFT(M84,1)&gt;RIGHT(M84,1),2,IF(LEFT(M84,1)&lt;RIGHT(M84,1),1,"")))</f>
        <v>1</v>
      </c>
      <c r="AA84" s="34">
        <f>IF(LEFT(O84,1)="x",0,IF(LEFT(O84,1)&gt;RIGHT(O84,1),2,IF(LEFT(O84,1)&lt;RIGHT(O84,1),1,"")))</f>
        <v>2</v>
      </c>
      <c r="AB84" s="34">
        <f>IF(LEFT(P84,1)="x",0,IF(LEFT(P84,1)&gt;RIGHT(P84,1),2,IF(LEFT(P84,1)&lt;RIGHT(P84,1),1,"")))</f>
        <v>2</v>
      </c>
      <c r="AD84" s="34">
        <f>IF(LEFT(M84,1)="x",0,VALUE(LEFT(M84,1)))</f>
        <v>0</v>
      </c>
      <c r="AE84" s="34">
        <f>IF(LEFT(P84,1)="x",0,VALUE(LEFT(P84,1)))</f>
        <v>3</v>
      </c>
      <c r="AF84" s="34">
        <f>IF(LEFT(O84,1)="x",0,VALUE(LEFT(O84,1)))</f>
        <v>3</v>
      </c>
      <c r="AG84" s="8">
        <f>IF(ISERROR(VALUE(AD84))=TRUE,0,VALUE(AD84))+IF(ISERROR(VALUE(AE84))=TRUE,0,VALUE(AE84))+IF(ISERROR(VALUE(AF84))=TRUE,0,VALUE(AF84))</f>
        <v>6</v>
      </c>
      <c r="AI84" s="34">
        <f>IF(RIGHT(M84,1)="x",0,VALUE(RIGHT(M84,1)))</f>
        <v>3</v>
      </c>
      <c r="AJ84" s="34">
        <f>IF(RIGHT(P84,1)="x",0,VALUE(RIGHT(P84,1)))</f>
        <v>1</v>
      </c>
      <c r="AK84" s="34">
        <f>IF(RIGHT(O84,1)="x",0,VALUE(RIGHT(O84,1)))</f>
        <v>0</v>
      </c>
      <c r="AL84" s="8">
        <f>IF(ISERROR(VALUE(AI84))=TRUE,0,VALUE(AI84))+IF(ISERROR(VALUE(AJ84))=TRUE,0,VALUE(AJ84))+IF(ISERROR(VALUE(AK84))=TRUE,0,VALUE(AK84))</f>
        <v>4</v>
      </c>
      <c r="AP84" s="46">
        <f>IF(LEFT(M84,1)="x",1,0)</f>
        <v>0</v>
      </c>
      <c r="AQ84" s="46">
        <f t="shared" ref="AQ84" si="103">IF(LEFT(O84,1)="x",1,0)</f>
        <v>0</v>
      </c>
      <c r="AR84" s="46">
        <f t="shared" ref="AR84" si="104">IF(LEFT(P84,1)="x",1,0)</f>
        <v>0</v>
      </c>
      <c r="AT84" s="8">
        <f>SUM(AP84:AR84)</f>
        <v>0</v>
      </c>
    </row>
    <row r="85" spans="1:46" s="8" customFormat="1" ht="30" customHeight="1" thickBot="1">
      <c r="A85" s="8" t="str">
        <f>CONCATENATE("CH",K80,E85)</f>
        <v>CHH3-4</v>
      </c>
      <c r="E85" s="304" t="s">
        <v>23</v>
      </c>
      <c r="F85" s="305" t="str">
        <f>IF(ISERROR(VLOOKUP(A85,'zoznam zapasov'!$A$5:$K$78,9,0))=TRUE,"",VLOOKUP(A85,'zoznam zapasov'!$A$5:$K$78,9,0))</f>
        <v>So</v>
      </c>
      <c r="G85" s="305" t="str">
        <f>IF(ISERROR(VLOOKUP(A85,'zoznam zapasov'!$A$5:$K$78,10,0))=TRUE,"",VLOOKUP(A85,'zoznam zapasov'!$A$5:$K$78,10,0))</f>
        <v>11.35</v>
      </c>
      <c r="H85" s="306">
        <f>IF(ISERROR(VLOOKUP(A85,'zoznam zapasov'!$A$5:$K$78,11,0))=TRUE,"",VLOOKUP(A85,'zoznam zapasov'!$A$5:$K$78,11,0))</f>
        <v>8</v>
      </c>
      <c r="I85" s="515"/>
      <c r="J85" s="516"/>
      <c r="K85" s="517"/>
      <c r="L85" s="518"/>
      <c r="M85" s="522"/>
      <c r="N85" s="524"/>
      <c r="O85" s="32" t="str">
        <f>VLOOKUP(A87,'zapisy k stolom'!$A$5:$AV$1444,48,0)</f>
        <v>7,7,11,,,,</v>
      </c>
      <c r="P85" s="32" t="str">
        <f>VLOOKUP(A83,'zapisy k stolom'!$A$5:$AV$1444,48,0)</f>
        <v>6,-6,9,7,,,</v>
      </c>
      <c r="Q85" s="511"/>
      <c r="R85" s="520"/>
      <c r="S85" s="511"/>
      <c r="T85" s="511"/>
      <c r="AP85" s="44"/>
      <c r="AQ85" s="44"/>
    </row>
    <row r="86" spans="1:46" s="8" customFormat="1" ht="39.950000000000003" customHeight="1">
      <c r="A86" s="8" t="str">
        <f>CONCATENATE("CH",K80,E86)</f>
        <v>CHH1-4</v>
      </c>
      <c r="B86" s="8" t="str">
        <f>CONCATENATE("CH",I80,I86)</f>
        <v>CH83</v>
      </c>
      <c r="C86" s="8" t="str">
        <f>CONCATENATE(K80,T86)</f>
        <v>H4</v>
      </c>
      <c r="E86" s="304" t="s">
        <v>24</v>
      </c>
      <c r="F86" s="305" t="str">
        <f>IF(ISERROR(VLOOKUP(A86,'zoznam zapasov'!$A$5:$K$78,9,0))=TRUE,"",VLOOKUP(A86,'zoznam zapasov'!$A$5:$K$78,9,0))</f>
        <v>So</v>
      </c>
      <c r="G86" s="305" t="str">
        <f>IF(ISERROR(VLOOKUP(A86,'zoznam zapasov'!$A$5:$K$78,10,0))=TRUE,"",VLOOKUP(A86,'zoznam zapasov'!$A$5:$K$78,10,0))</f>
        <v>12.50</v>
      </c>
      <c r="H86" s="306">
        <f>IF(ISERROR(VLOOKUP(A86,'zoznam zapasov'!$A$5:$K$78,11,0))=TRUE,"",VLOOKUP(A86,'zoznam zapasov'!$A$5:$K$78,11,0))</f>
        <v>7</v>
      </c>
      <c r="I86" s="514">
        <v>3</v>
      </c>
      <c r="J86" s="516" t="str">
        <f>IF(ISERROR(VLOOKUP(B86,vylosovanie!$A$8:$J$39,6,0))=TRUE,"",VLOOKUP(B86,vylosovanie!$A$8:$J$39,6,0))</f>
        <v>MAKÚCH Damian</v>
      </c>
      <c r="K86" s="517" t="str">
        <f>IF(ISERROR(VLOOKUP(B86,vylosovanie!$A$8:$J$39,8,0))=TRUE,"",VLOOKUP(B86,vylosovanie!$A$8:$J$39,8,0))</f>
        <v>TJ ORAVAN NÁMESTOVO/TATRAN KRUŠETNICA</v>
      </c>
      <c r="L86" s="518">
        <f>IF(ISERROR(VLOOKUP(B86,vylosovanie!$A$8:$J$39,9,0))=TRUE,"",VLOOKUP(B86,vylosovanie!$A$8:$J$39,9,0))</f>
        <v>23</v>
      </c>
      <c r="M86" s="521" t="str">
        <f>IF(LEN(O82)=1,":",CONCATENATE(RIGHT(O82,1),":",LEFT(O82,1)))</f>
        <v>3:2</v>
      </c>
      <c r="N86" s="521" t="str">
        <f>IF(LEN(O84)=1,":",CONCATENATE(RIGHT(O84,1),":",LEFT(O84,1)))</f>
        <v>0:3</v>
      </c>
      <c r="O86" s="523"/>
      <c r="P86" s="31" t="str">
        <f>VLOOKUP(A85,'zapisy k stolom'!$A$5:$AV$1444,26,0)</f>
        <v>0:3</v>
      </c>
      <c r="Q86" s="510">
        <f t="shared" ref="Q86" si="105">IF(SUM(Z86:AB86)=0,"",SUM(Z86:AB86))</f>
        <v>4</v>
      </c>
      <c r="R86" s="519" t="str">
        <f t="shared" ref="R86" si="106">IF(CONCATENATE(AG86,":",AL86)="0:0","",CONCATENATE(AG86,":",AL86))</f>
        <v>3:8</v>
      </c>
      <c r="S86" s="510">
        <f t="shared" ref="S86" si="107">IF(ISERROR(AG86/AL86)=TRUE,"",AG86/AL86)</f>
        <v>0.375</v>
      </c>
      <c r="T86" s="510">
        <v>4</v>
      </c>
      <c r="Z86" s="34">
        <f>IF(LEFT(M86,1)="x",0,IF(LEFT(M86,1)&gt;RIGHT(M86,1),2,IF(LEFT(M86,1)&lt;RIGHT(M86,1),1,"")))</f>
        <v>2</v>
      </c>
      <c r="AA86" s="34">
        <f>IF(LEFT(N86,1)="x",0,IF(LEFT(N86,1)&gt;RIGHT(N86,1),2,IF(LEFT(N86,1)&lt;RIGHT(N86,1),1,"")))</f>
        <v>1</v>
      </c>
      <c r="AB86" s="34">
        <f>IF(LEFT(P86,1)="x",0,IF(LEFT(P86,1)&gt;RIGHT(P86,1),2,IF(LEFT(P86,1)&lt;RIGHT(P86,1),1,"")))</f>
        <v>1</v>
      </c>
      <c r="AD86" s="34">
        <f>IF(LEFT(N86,1)="x",0,VALUE(LEFT(N86,1)))</f>
        <v>0</v>
      </c>
      <c r="AE86" s="34">
        <f>IF(LEFT(M86,1)="x",0,VALUE(LEFT(M86,1)))</f>
        <v>3</v>
      </c>
      <c r="AF86" s="34">
        <f>IF(LEFT(P86,1)="x",0,VALUE(LEFT(P86,1)))</f>
        <v>0</v>
      </c>
      <c r="AG86" s="8">
        <f>IF(ISERROR(VALUE(AD86))=TRUE,0,VALUE(AD86))+IF(ISERROR(VALUE(AE86))=TRUE,0,VALUE(AE86))+IF(ISERROR(VALUE(AF86))=TRUE,0,VALUE(AF86))</f>
        <v>3</v>
      </c>
      <c r="AI86" s="34">
        <f>IF(RIGHT(M86,1)="x",0,VALUE(RIGHT(M86,1)))</f>
        <v>2</v>
      </c>
      <c r="AJ86" s="34">
        <f>IF(RIGHT(N86,1)="x",0,VALUE(RIGHT(N86,1)))</f>
        <v>3</v>
      </c>
      <c r="AK86" s="34">
        <f>IF(RIGHT(P86,1)="x",0,VALUE(RIGHT(P86,1)))</f>
        <v>3</v>
      </c>
      <c r="AL86" s="8">
        <f>IF(ISERROR(VALUE(AI86))=TRUE,0,VALUE(AI86))+IF(ISERROR(VALUE(AJ86))=TRUE,0,VALUE(AJ86))+IF(ISERROR(VALUE(AK86))=TRUE,0,VALUE(AK86))</f>
        <v>8</v>
      </c>
      <c r="AP86" s="46">
        <f>IF(LEFT(M86,1)="x",1,0)</f>
        <v>0</v>
      </c>
      <c r="AQ86" s="46">
        <f>IF(LEFT(N86,1)="x",1,0)</f>
        <v>0</v>
      </c>
      <c r="AR86" s="46">
        <f t="shared" ref="AR86" si="108">IF(LEFT(P86,1)="x",1,0)</f>
        <v>0</v>
      </c>
      <c r="AT86" s="8">
        <f>SUM(AP86:AR86)</f>
        <v>0</v>
      </c>
    </row>
    <row r="87" spans="1:46" s="8" customFormat="1" ht="30" customHeight="1" thickBot="1">
      <c r="A87" s="8" t="str">
        <f>CONCATENATE("CH",K80,E87)</f>
        <v>CHH2-3</v>
      </c>
      <c r="E87" s="304" t="s">
        <v>25</v>
      </c>
      <c r="F87" s="305" t="str">
        <f>IF(ISERROR(VLOOKUP(A87,'zoznam zapasov'!$A$5:$K$78,9,0))=TRUE,"",VLOOKUP(A87,'zoznam zapasov'!$A$5:$K$78,9,0))</f>
        <v>So</v>
      </c>
      <c r="G87" s="305" t="str">
        <f>IF(ISERROR(VLOOKUP(A87,'zoznam zapasov'!$A$5:$K$78,10,0))=TRUE,"",VLOOKUP(A87,'zoznam zapasov'!$A$5:$K$78,10,0))</f>
        <v>12.50</v>
      </c>
      <c r="H87" s="306">
        <f>IF(ISERROR(VLOOKUP(A87,'zoznam zapasov'!$A$5:$K$78,11,0))=TRUE,"",VLOOKUP(A87,'zoznam zapasov'!$A$5:$K$78,11,0))</f>
        <v>8</v>
      </c>
      <c r="I87" s="515"/>
      <c r="J87" s="516"/>
      <c r="K87" s="517"/>
      <c r="L87" s="518"/>
      <c r="M87" s="522"/>
      <c r="N87" s="522"/>
      <c r="O87" s="524"/>
      <c r="P87" s="32" t="str">
        <f>VLOOKUP(A85,'zapisy k stolom'!$A$5:$AV$1444,48,0)</f>
        <v>-1,-7,-12,,,,</v>
      </c>
      <c r="Q87" s="511"/>
      <c r="R87" s="520"/>
      <c r="S87" s="511"/>
      <c r="T87" s="511"/>
      <c r="AP87" s="44"/>
      <c r="AQ87" s="44"/>
    </row>
    <row r="88" spans="1:46" s="8" customFormat="1" ht="39.950000000000003" customHeight="1">
      <c r="B88" s="8" t="str">
        <f>CONCATENATE("CH",I80,I88)</f>
        <v>CH84</v>
      </c>
      <c r="C88" s="8" t="str">
        <f>CONCATENATE(K80,T88)</f>
        <v>H3</v>
      </c>
      <c r="E88" s="304"/>
      <c r="F88" s="307"/>
      <c r="G88" s="308"/>
      <c r="H88" s="309"/>
      <c r="I88" s="514">
        <v>4</v>
      </c>
      <c r="J88" s="516" t="str">
        <f>IF(ISERROR(VLOOKUP(B88,vylosovanie!$A$8:$J$39,6,0))=TRUE,"",VLOOKUP(B88,vylosovanie!$A$8:$J$39,6,0))</f>
        <v>TRUBÁČIK Tomáš</v>
      </c>
      <c r="K88" s="517" t="str">
        <f>IF(ISERROR(VLOOKUP(B88,vylosovanie!$A$8:$J$39,8,0))=TRUE,"",VLOOKUP(B88,vylosovanie!$A$8:$J$39,8,0))</f>
        <v>CVČ ZLATÉ MORAVCE</v>
      </c>
      <c r="L88" s="518">
        <f>IF(ISERROR(VLOOKUP(B88,vylosovanie!$A$8:$J$39,9,0))=TRUE,"",VLOOKUP(B88,vylosovanie!$A$8:$J$39,9,0))</f>
        <v>31</v>
      </c>
      <c r="M88" s="521" t="str">
        <f>IF(LEN(P82)=1,":",CONCATENATE(RIGHT(P82,1),":",LEFT(P82,1)))</f>
        <v>2:3</v>
      </c>
      <c r="N88" s="521" t="str">
        <f>IF(LEN(P84)=1,":",CONCATENATE(RIGHT(P84,1),":",LEFT(P84,1)))</f>
        <v>1:3</v>
      </c>
      <c r="O88" s="521" t="str">
        <f>IF(LEN(P86)=1,":",CONCATENATE(RIGHT(P86,1),":",LEFT(P86,1)))</f>
        <v>3:0</v>
      </c>
      <c r="P88" s="523"/>
      <c r="Q88" s="510">
        <f t="shared" ref="Q88" si="109">IF(SUM(Z88:AB88)=0,"",SUM(Z88:AB88))</f>
        <v>4</v>
      </c>
      <c r="R88" s="519" t="str">
        <f t="shared" ref="R88" si="110">IF(CONCATENATE(AG88,":",AL88)="0:0","",CONCATENATE(AG88,":",AL88))</f>
        <v>6:6</v>
      </c>
      <c r="S88" s="510">
        <f t="shared" ref="S88" si="111">IF(ISERROR(AG88/AL88)=TRUE,"",AG88/AL88)</f>
        <v>1</v>
      </c>
      <c r="T88" s="510">
        <f>IF(AT88&gt;1,"",IF(ISERROR(RANK(Q88,Q82:Q89,0))=TRUE,"",RANK(Q88,Q82:Q89,0)))</f>
        <v>3</v>
      </c>
      <c r="Z88" s="34">
        <f>IF(LEFT(M88,1)="x",0,IF(LEFT(M88,1)&gt;RIGHT(M88,1),2,IF(LEFT(M88,1)&lt;RIGHT(M88,1),1,"")))</f>
        <v>1</v>
      </c>
      <c r="AA88" s="34">
        <f>IF(LEFT(N88,1)="x",0,IF(LEFT(N88,1)&gt;RIGHT(N88,1),2,IF(LEFT(N88,1)&lt;RIGHT(N88,1),1,"")))</f>
        <v>1</v>
      </c>
      <c r="AB88" s="34">
        <f>IF(LEFT(O88,1)="x",0,IF(LEFT(O88,1)&gt;RIGHT(O88,1),2,IF(LEFT(O88,1)&lt;RIGHT(O88,1),1,"")))</f>
        <v>2</v>
      </c>
      <c r="AD88" s="34">
        <f>IF(LEFT(M88,1)="x",0,VALUE(LEFT(M88,1)))</f>
        <v>2</v>
      </c>
      <c r="AE88" s="34">
        <f>IF(LEFT(N88,1)="x",0,VALUE(LEFT(N88,1)))</f>
        <v>1</v>
      </c>
      <c r="AF88" s="34">
        <f>IF(LEFT(O88,1)="x",0,VALUE(LEFT(O88,1)))</f>
        <v>3</v>
      </c>
      <c r="AG88" s="8">
        <f>IF(ISERROR(VALUE(AD88))=TRUE,0,VALUE(AD88))+IF(ISERROR(VALUE(AE88))=TRUE,0,VALUE(AE88))+IF(ISERROR(VALUE(AF88))=TRUE,0,VALUE(AF88))</f>
        <v>6</v>
      </c>
      <c r="AI88" s="34">
        <f>IF(RIGHT(M88,1)="x",0,VALUE(RIGHT(M88,1)))</f>
        <v>3</v>
      </c>
      <c r="AJ88" s="34">
        <f>IF(RIGHT(N88,1)="x",0,VALUE(RIGHT(N88,1)))</f>
        <v>3</v>
      </c>
      <c r="AK88" s="34">
        <f>IF(RIGHT(O88,1)="x",0,VALUE(RIGHT(O88,1)))</f>
        <v>0</v>
      </c>
      <c r="AL88" s="8">
        <f>IF(ISERROR(VALUE(AI88))=TRUE,0,VALUE(AI88))+IF(ISERROR(VALUE(AJ88))=TRUE,0,VALUE(AJ88))+IF(ISERROR(VALUE(AK88))=TRUE,0,VALUE(AK88))</f>
        <v>6</v>
      </c>
      <c r="AP88" s="46">
        <f>IF(LEFT(M88,1)="x",1,0)</f>
        <v>0</v>
      </c>
      <c r="AQ88" s="46">
        <f>IF(LEFT(N88,1)="x",1,0)</f>
        <v>0</v>
      </c>
      <c r="AR88" s="46">
        <f>IF(LEFT(O88,1)="x",1,0)</f>
        <v>0</v>
      </c>
      <c r="AT88" s="8">
        <f>SUM(AP88:AR88)</f>
        <v>0</v>
      </c>
    </row>
    <row r="89" spans="1:46" s="8" customFormat="1" ht="30" customHeight="1" thickBot="1">
      <c r="E89" s="304"/>
      <c r="F89" s="307"/>
      <c r="G89" s="308"/>
      <c r="H89" s="309"/>
      <c r="I89" s="515"/>
      <c r="J89" s="516"/>
      <c r="K89" s="517"/>
      <c r="L89" s="518"/>
      <c r="M89" s="522"/>
      <c r="N89" s="522"/>
      <c r="O89" s="522"/>
      <c r="P89" s="524"/>
      <c r="Q89" s="511"/>
      <c r="R89" s="520"/>
      <c r="S89" s="511"/>
      <c r="T89" s="511"/>
      <c r="AP89" s="44"/>
      <c r="AQ89" s="44"/>
    </row>
    <row r="90" spans="1:46" s="8" customFormat="1" ht="39.950000000000003" customHeight="1">
      <c r="E90" s="299"/>
      <c r="F90" s="299"/>
      <c r="G90" s="299"/>
      <c r="H90" s="299"/>
      <c r="L90" s="19"/>
      <c r="M90" s="9"/>
      <c r="N90" s="9"/>
      <c r="O90" s="9"/>
      <c r="P90" s="9"/>
      <c r="Q90" s="19"/>
      <c r="R90" s="9"/>
      <c r="S90" s="9"/>
      <c r="T90" s="9"/>
      <c r="AP90" s="44"/>
      <c r="AQ90" s="44"/>
    </row>
    <row r="91" spans="1:46" s="8" customFormat="1" ht="39.950000000000003" customHeight="1">
      <c r="E91" s="299"/>
      <c r="F91" s="299"/>
      <c r="G91" s="299"/>
      <c r="H91" s="299"/>
      <c r="L91" s="19"/>
      <c r="M91" s="9"/>
      <c r="N91" s="9"/>
      <c r="O91" s="9"/>
      <c r="P91" s="9"/>
      <c r="Q91" s="19"/>
      <c r="R91" s="9"/>
      <c r="S91" s="9"/>
      <c r="T91" s="9"/>
      <c r="AP91" s="44"/>
      <c r="AQ91" s="44"/>
    </row>
    <row r="92" spans="1:46" s="8" customFormat="1" ht="39.950000000000003" customHeight="1">
      <c r="E92" s="299"/>
      <c r="F92" s="299"/>
      <c r="G92" s="299"/>
      <c r="H92" s="299"/>
      <c r="L92" s="19"/>
      <c r="M92" s="9"/>
      <c r="N92" s="9"/>
      <c r="O92" s="9"/>
      <c r="P92" s="9"/>
      <c r="Q92" s="19"/>
      <c r="R92" s="9"/>
      <c r="S92" s="9"/>
      <c r="T92" s="9"/>
      <c r="AP92" s="44"/>
      <c r="AQ92" s="44"/>
    </row>
    <row r="93" spans="1:46" s="8" customFormat="1" ht="39.950000000000003" customHeight="1">
      <c r="E93" s="299"/>
      <c r="F93" s="299"/>
      <c r="G93" s="299"/>
      <c r="H93" s="299"/>
      <c r="L93" s="19"/>
      <c r="M93" s="9"/>
      <c r="N93" s="9"/>
      <c r="O93" s="9"/>
      <c r="P93" s="9"/>
      <c r="Q93" s="19"/>
      <c r="R93" s="9"/>
      <c r="S93" s="9"/>
      <c r="T93" s="9"/>
      <c r="AP93" s="44"/>
      <c r="AQ93" s="44"/>
    </row>
    <row r="94" spans="1:46" s="8" customFormat="1" ht="39.950000000000003" customHeight="1">
      <c r="E94" s="299"/>
      <c r="F94" s="299"/>
      <c r="G94" s="299"/>
      <c r="H94" s="299"/>
      <c r="L94" s="19"/>
      <c r="M94" s="9"/>
      <c r="N94" s="9"/>
      <c r="O94" s="9"/>
      <c r="P94" s="9"/>
      <c r="Q94" s="19"/>
      <c r="R94" s="9"/>
      <c r="S94" s="9"/>
      <c r="T94" s="9"/>
      <c r="AP94" s="44"/>
      <c r="AQ94" s="44"/>
    </row>
    <row r="95" spans="1:46" s="8" customFormat="1" ht="39.950000000000003" customHeight="1">
      <c r="E95" s="299"/>
      <c r="F95" s="299"/>
      <c r="G95" s="299"/>
      <c r="H95" s="299"/>
      <c r="L95" s="19"/>
      <c r="M95" s="9"/>
      <c r="N95" s="9"/>
      <c r="O95" s="9"/>
      <c r="P95" s="9"/>
      <c r="Q95" s="19"/>
      <c r="R95" s="9"/>
      <c r="S95" s="9"/>
      <c r="T95" s="9"/>
      <c r="AP95" s="44"/>
      <c r="AQ95" s="44"/>
    </row>
    <row r="96" spans="1:46" s="8" customFormat="1" ht="39.950000000000003" customHeight="1">
      <c r="E96" s="299"/>
      <c r="F96" s="299"/>
      <c r="G96" s="299"/>
      <c r="H96" s="299"/>
      <c r="L96" s="19"/>
      <c r="M96" s="9"/>
      <c r="N96" s="9"/>
      <c r="O96" s="9"/>
      <c r="P96" s="9"/>
      <c r="Q96" s="19"/>
      <c r="R96" s="9"/>
      <c r="S96" s="9"/>
      <c r="T96" s="9"/>
      <c r="AP96" s="44"/>
      <c r="AQ96" s="44"/>
    </row>
    <row r="97" spans="5:43" s="8" customFormat="1" ht="39.950000000000003" customHeight="1">
      <c r="E97" s="299"/>
      <c r="F97" s="299"/>
      <c r="G97" s="299"/>
      <c r="H97" s="299"/>
      <c r="L97" s="19"/>
      <c r="M97" s="9"/>
      <c r="N97" s="9"/>
      <c r="O97" s="9"/>
      <c r="P97" s="9"/>
      <c r="Q97" s="19"/>
      <c r="R97" s="9"/>
      <c r="S97" s="9"/>
      <c r="T97" s="9"/>
      <c r="AP97" s="44"/>
      <c r="AQ97" s="44"/>
    </row>
    <row r="98" spans="5:43" s="8" customFormat="1" ht="39.950000000000003" customHeight="1">
      <c r="E98" s="299"/>
      <c r="F98" s="299"/>
      <c r="G98" s="299"/>
      <c r="H98" s="299"/>
      <c r="L98" s="19"/>
      <c r="M98" s="9"/>
      <c r="N98" s="9"/>
      <c r="O98" s="9"/>
      <c r="P98" s="9"/>
      <c r="Q98" s="19"/>
      <c r="R98" s="9"/>
      <c r="S98" s="9"/>
      <c r="T98" s="9"/>
      <c r="AP98" s="44"/>
      <c r="AQ98" s="44"/>
    </row>
    <row r="99" spans="5:43" s="8" customFormat="1" ht="39.950000000000003" customHeight="1">
      <c r="E99" s="299"/>
      <c r="F99" s="299"/>
      <c r="G99" s="299"/>
      <c r="H99" s="299"/>
      <c r="L99" s="19"/>
      <c r="M99" s="9"/>
      <c r="N99" s="9"/>
      <c r="O99" s="9"/>
      <c r="P99" s="9"/>
      <c r="Q99" s="19"/>
      <c r="R99" s="9"/>
      <c r="S99" s="9"/>
      <c r="T99" s="9"/>
      <c r="AP99" s="44"/>
      <c r="AQ99" s="44"/>
    </row>
    <row r="100" spans="5:43" s="8" customFormat="1" ht="39.950000000000003" customHeight="1">
      <c r="E100" s="299"/>
      <c r="F100" s="299"/>
      <c r="G100" s="299"/>
      <c r="H100" s="299"/>
      <c r="L100" s="19"/>
      <c r="M100" s="9"/>
      <c r="N100" s="9"/>
      <c r="O100" s="9"/>
      <c r="P100" s="9"/>
      <c r="Q100" s="19"/>
      <c r="R100" s="9"/>
      <c r="S100" s="9"/>
      <c r="T100" s="9"/>
      <c r="AP100" s="44"/>
      <c r="AQ100" s="44"/>
    </row>
    <row r="101" spans="5:43" s="8" customFormat="1" ht="39.950000000000003" customHeight="1">
      <c r="E101" s="299"/>
      <c r="F101" s="299"/>
      <c r="G101" s="299"/>
      <c r="H101" s="299"/>
      <c r="L101" s="19"/>
      <c r="M101" s="9"/>
      <c r="N101" s="9"/>
      <c r="O101" s="9"/>
      <c r="P101" s="9"/>
      <c r="Q101" s="19"/>
      <c r="R101" s="9"/>
      <c r="S101" s="9"/>
      <c r="T101" s="9"/>
      <c r="AP101" s="44"/>
      <c r="AQ101" s="44"/>
    </row>
    <row r="102" spans="5:43" s="8" customFormat="1" ht="39.950000000000003" customHeight="1">
      <c r="E102" s="299"/>
      <c r="F102" s="299"/>
      <c r="G102" s="299"/>
      <c r="H102" s="299"/>
      <c r="L102" s="19"/>
      <c r="M102" s="9"/>
      <c r="N102" s="9"/>
      <c r="O102" s="9"/>
      <c r="P102" s="9"/>
      <c r="Q102" s="19"/>
      <c r="R102" s="9"/>
      <c r="S102" s="9"/>
      <c r="T102" s="9"/>
      <c r="AP102" s="44"/>
      <c r="AQ102" s="44"/>
    </row>
    <row r="103" spans="5:43" s="8" customFormat="1" ht="39.950000000000003" customHeight="1">
      <c r="E103" s="299"/>
      <c r="F103" s="299"/>
      <c r="G103" s="299"/>
      <c r="H103" s="299"/>
      <c r="L103" s="19"/>
      <c r="M103" s="9"/>
      <c r="N103" s="9"/>
      <c r="O103" s="9"/>
      <c r="P103" s="9"/>
      <c r="Q103" s="19"/>
      <c r="R103" s="9"/>
      <c r="S103" s="9"/>
      <c r="T103" s="9"/>
      <c r="AP103" s="44"/>
      <c r="AQ103" s="44"/>
    </row>
    <row r="104" spans="5:43" s="8" customFormat="1" ht="39.950000000000003" customHeight="1">
      <c r="E104" s="299"/>
      <c r="F104" s="299"/>
      <c r="G104" s="299"/>
      <c r="H104" s="299"/>
      <c r="L104" s="19"/>
      <c r="M104" s="9"/>
      <c r="N104" s="9"/>
      <c r="O104" s="9"/>
      <c r="P104" s="9"/>
      <c r="Q104" s="19"/>
      <c r="R104" s="9"/>
      <c r="S104" s="9"/>
      <c r="T104" s="9"/>
      <c r="AP104" s="44"/>
      <c r="AQ104" s="44"/>
    </row>
    <row r="105" spans="5:43" s="8" customFormat="1" ht="39.950000000000003" customHeight="1">
      <c r="E105" s="299"/>
      <c r="F105" s="299"/>
      <c r="G105" s="299"/>
      <c r="H105" s="299"/>
      <c r="L105" s="19"/>
      <c r="M105" s="9"/>
      <c r="N105" s="9"/>
      <c r="O105" s="9"/>
      <c r="P105" s="9"/>
      <c r="Q105" s="19"/>
      <c r="R105" s="9"/>
      <c r="S105" s="9"/>
      <c r="T105" s="9"/>
      <c r="AP105" s="44"/>
      <c r="AQ105" s="44"/>
    </row>
    <row r="106" spans="5:43" s="8" customFormat="1" ht="39.950000000000003" customHeight="1">
      <c r="E106" s="299"/>
      <c r="F106" s="299"/>
      <c r="G106" s="299"/>
      <c r="H106" s="299"/>
      <c r="L106" s="19"/>
      <c r="M106" s="9"/>
      <c r="N106" s="9"/>
      <c r="O106" s="9"/>
      <c r="P106" s="9"/>
      <c r="Q106" s="19"/>
      <c r="R106" s="9"/>
      <c r="S106" s="9"/>
      <c r="T106" s="9"/>
      <c r="AP106" s="44"/>
      <c r="AQ106" s="44"/>
    </row>
    <row r="107" spans="5:43" s="8" customFormat="1" ht="39.950000000000003" customHeight="1">
      <c r="E107" s="299"/>
      <c r="F107" s="299"/>
      <c r="G107" s="299"/>
      <c r="H107" s="299"/>
      <c r="L107" s="19"/>
      <c r="M107" s="9"/>
      <c r="N107" s="9"/>
      <c r="O107" s="9"/>
      <c r="P107" s="9"/>
      <c r="Q107" s="19"/>
      <c r="R107" s="9"/>
      <c r="S107" s="9"/>
      <c r="T107" s="9"/>
      <c r="AP107" s="44"/>
      <c r="AQ107" s="44"/>
    </row>
    <row r="108" spans="5:43" s="8" customFormat="1" ht="39.950000000000003" customHeight="1">
      <c r="E108" s="299"/>
      <c r="F108" s="299"/>
      <c r="G108" s="299"/>
      <c r="H108" s="299"/>
      <c r="L108" s="19"/>
      <c r="M108" s="9"/>
      <c r="N108" s="9"/>
      <c r="O108" s="9"/>
      <c r="P108" s="9"/>
      <c r="Q108" s="19"/>
      <c r="R108" s="9"/>
      <c r="S108" s="9"/>
      <c r="T108" s="9"/>
      <c r="AP108" s="44"/>
      <c r="AQ108" s="44"/>
    </row>
    <row r="109" spans="5:43" s="8" customFormat="1" ht="39.950000000000003" customHeight="1">
      <c r="E109" s="299"/>
      <c r="F109" s="299"/>
      <c r="G109" s="299"/>
      <c r="H109" s="299"/>
      <c r="L109" s="19"/>
      <c r="M109" s="9"/>
      <c r="N109" s="9"/>
      <c r="O109" s="9"/>
      <c r="P109" s="9"/>
      <c r="Q109" s="19"/>
      <c r="R109" s="9"/>
      <c r="S109" s="9"/>
      <c r="T109" s="9"/>
      <c r="AP109" s="44"/>
      <c r="AQ109" s="44"/>
    </row>
    <row r="110" spans="5:43" s="8" customFormat="1" ht="39.950000000000003" customHeight="1">
      <c r="E110" s="299"/>
      <c r="F110" s="299"/>
      <c r="G110" s="299"/>
      <c r="H110" s="299"/>
      <c r="L110" s="19"/>
      <c r="M110" s="9"/>
      <c r="N110" s="9"/>
      <c r="O110" s="9"/>
      <c r="P110" s="9"/>
      <c r="Q110" s="19"/>
      <c r="R110" s="9"/>
      <c r="S110" s="9"/>
      <c r="T110" s="9"/>
      <c r="AP110" s="44"/>
      <c r="AQ110" s="44"/>
    </row>
    <row r="111" spans="5:43" s="8" customFormat="1" ht="39.950000000000003" customHeight="1">
      <c r="E111" s="299"/>
      <c r="F111" s="299"/>
      <c r="G111" s="299"/>
      <c r="H111" s="299"/>
      <c r="L111" s="19"/>
      <c r="M111" s="9"/>
      <c r="N111" s="9"/>
      <c r="O111" s="9"/>
      <c r="P111" s="9"/>
      <c r="Q111" s="19"/>
      <c r="R111" s="9"/>
      <c r="S111" s="9"/>
      <c r="T111" s="9"/>
      <c r="AP111" s="44"/>
      <c r="AQ111" s="44"/>
    </row>
    <row r="112" spans="5:43" s="8" customFormat="1" ht="39.950000000000003" customHeight="1">
      <c r="E112" s="299"/>
      <c r="F112" s="299"/>
      <c r="G112" s="299"/>
      <c r="H112" s="299"/>
      <c r="L112" s="19"/>
      <c r="M112" s="9"/>
      <c r="N112" s="9"/>
      <c r="O112" s="9"/>
      <c r="P112" s="9"/>
      <c r="Q112" s="19"/>
      <c r="R112" s="9"/>
      <c r="S112" s="9"/>
      <c r="T112" s="9"/>
      <c r="AP112" s="44"/>
      <c r="AQ112" s="44"/>
    </row>
    <row r="113" spans="5:43" s="8" customFormat="1" ht="39.950000000000003" customHeight="1">
      <c r="E113" s="299"/>
      <c r="F113" s="299"/>
      <c r="G113" s="299"/>
      <c r="H113" s="299"/>
      <c r="L113" s="19"/>
      <c r="M113" s="9"/>
      <c r="N113" s="9"/>
      <c r="O113" s="9"/>
      <c r="P113" s="9"/>
      <c r="Q113" s="19"/>
      <c r="R113" s="9"/>
      <c r="S113" s="9"/>
      <c r="T113" s="9"/>
      <c r="AP113" s="44"/>
      <c r="AQ113" s="44"/>
    </row>
    <row r="114" spans="5:43" s="8" customFormat="1" ht="39.950000000000003" customHeight="1">
      <c r="E114" s="299"/>
      <c r="F114" s="299"/>
      <c r="G114" s="299"/>
      <c r="H114" s="299"/>
      <c r="L114" s="19"/>
      <c r="M114" s="9"/>
      <c r="N114" s="9"/>
      <c r="O114" s="9"/>
      <c r="P114" s="9"/>
      <c r="Q114" s="19"/>
      <c r="R114" s="9"/>
      <c r="S114" s="9"/>
      <c r="T114" s="9"/>
      <c r="AP114" s="44"/>
      <c r="AQ114" s="44"/>
    </row>
    <row r="115" spans="5:43" s="8" customFormat="1" ht="39.950000000000003" customHeight="1">
      <c r="E115" s="299"/>
      <c r="F115" s="299"/>
      <c r="G115" s="299"/>
      <c r="H115" s="299"/>
      <c r="L115" s="19"/>
      <c r="M115" s="9"/>
      <c r="N115" s="9"/>
      <c r="O115" s="9"/>
      <c r="P115" s="9"/>
      <c r="Q115" s="19"/>
      <c r="R115" s="9"/>
      <c r="S115" s="9"/>
      <c r="T115" s="9"/>
      <c r="AP115" s="44"/>
      <c r="AQ115" s="44"/>
    </row>
    <row r="116" spans="5:43" s="8" customFormat="1" ht="39.950000000000003" customHeight="1">
      <c r="E116" s="299"/>
      <c r="F116" s="299"/>
      <c r="G116" s="299"/>
      <c r="H116" s="299"/>
      <c r="L116" s="19"/>
      <c r="M116" s="9"/>
      <c r="N116" s="9"/>
      <c r="O116" s="9"/>
      <c r="P116" s="9"/>
      <c r="Q116" s="19"/>
      <c r="R116" s="9"/>
      <c r="S116" s="9"/>
      <c r="T116" s="9"/>
      <c r="AP116" s="44"/>
      <c r="AQ116" s="44"/>
    </row>
    <row r="117" spans="5:43" s="8" customFormat="1" ht="39.950000000000003" customHeight="1">
      <c r="E117" s="299"/>
      <c r="F117" s="299"/>
      <c r="G117" s="299"/>
      <c r="H117" s="299"/>
      <c r="L117" s="19"/>
      <c r="M117" s="9"/>
      <c r="N117" s="9"/>
      <c r="O117" s="9"/>
      <c r="P117" s="9"/>
      <c r="Q117" s="19"/>
      <c r="R117" s="9"/>
      <c r="S117" s="9"/>
      <c r="T117" s="9"/>
      <c r="AP117" s="44"/>
      <c r="AQ117" s="44"/>
    </row>
    <row r="118" spans="5:43" s="8" customFormat="1" ht="39.950000000000003" customHeight="1">
      <c r="E118" s="299"/>
      <c r="F118" s="299"/>
      <c r="G118" s="299"/>
      <c r="H118" s="299"/>
      <c r="L118" s="19"/>
      <c r="M118" s="9"/>
      <c r="N118" s="9"/>
      <c r="O118" s="9"/>
      <c r="P118" s="9"/>
      <c r="Q118" s="19"/>
      <c r="R118" s="9"/>
      <c r="S118" s="9"/>
      <c r="T118" s="9"/>
      <c r="AP118" s="44"/>
      <c r="AQ118" s="44"/>
    </row>
    <row r="119" spans="5:43" s="8" customFormat="1" ht="39.950000000000003" customHeight="1">
      <c r="E119" s="299"/>
      <c r="F119" s="299"/>
      <c r="G119" s="299"/>
      <c r="H119" s="299"/>
      <c r="L119" s="19"/>
      <c r="M119" s="9"/>
      <c r="N119" s="9"/>
      <c r="O119" s="9"/>
      <c r="P119" s="9"/>
      <c r="Q119" s="19"/>
      <c r="R119" s="9"/>
      <c r="S119" s="9"/>
      <c r="T119" s="9"/>
      <c r="AP119" s="44"/>
      <c r="AQ119" s="44"/>
    </row>
    <row r="120" spans="5:43" s="8" customFormat="1" ht="39.950000000000003" customHeight="1">
      <c r="E120" s="299"/>
      <c r="F120" s="299"/>
      <c r="G120" s="299"/>
      <c r="H120" s="299"/>
      <c r="L120" s="19"/>
      <c r="M120" s="9"/>
      <c r="N120" s="9"/>
      <c r="O120" s="9"/>
      <c r="P120" s="9"/>
      <c r="Q120" s="19"/>
      <c r="R120" s="9"/>
      <c r="S120" s="9"/>
      <c r="T120" s="9"/>
      <c r="AP120" s="44"/>
      <c r="AQ120" s="44"/>
    </row>
    <row r="121" spans="5:43" s="8" customFormat="1" ht="39.950000000000003" customHeight="1">
      <c r="E121" s="299"/>
      <c r="F121" s="299"/>
      <c r="G121" s="299"/>
      <c r="H121" s="299"/>
      <c r="L121" s="19"/>
      <c r="M121" s="9"/>
      <c r="N121" s="9"/>
      <c r="O121" s="9"/>
      <c r="P121" s="9"/>
      <c r="Q121" s="19"/>
      <c r="R121" s="9"/>
      <c r="S121" s="9"/>
      <c r="T121" s="9"/>
      <c r="AP121" s="44"/>
      <c r="AQ121" s="44"/>
    </row>
    <row r="122" spans="5:43" s="8" customFormat="1" ht="39.950000000000003" customHeight="1">
      <c r="E122" s="299"/>
      <c r="F122" s="299"/>
      <c r="G122" s="299"/>
      <c r="H122" s="299"/>
      <c r="L122" s="19"/>
      <c r="M122" s="9"/>
      <c r="N122" s="9"/>
      <c r="O122" s="9"/>
      <c r="P122" s="9"/>
      <c r="Q122" s="19"/>
      <c r="R122" s="9"/>
      <c r="S122" s="9"/>
      <c r="T122" s="9"/>
      <c r="AP122" s="44"/>
      <c r="AQ122" s="44"/>
    </row>
    <row r="123" spans="5:43" s="8" customFormat="1" ht="39.950000000000003" customHeight="1">
      <c r="E123" s="299"/>
      <c r="F123" s="299"/>
      <c r="G123" s="299"/>
      <c r="H123" s="299"/>
      <c r="L123" s="19"/>
      <c r="M123" s="9"/>
      <c r="N123" s="9"/>
      <c r="O123" s="9"/>
      <c r="P123" s="9"/>
      <c r="Q123" s="19"/>
      <c r="R123" s="9"/>
      <c r="S123" s="9"/>
      <c r="T123" s="9"/>
      <c r="AP123" s="44"/>
      <c r="AQ123" s="44"/>
    </row>
    <row r="124" spans="5:43" s="8" customFormat="1" ht="39.950000000000003" customHeight="1">
      <c r="E124" s="299"/>
      <c r="F124" s="299"/>
      <c r="G124" s="299"/>
      <c r="H124" s="299"/>
      <c r="L124" s="19"/>
      <c r="M124" s="9"/>
      <c r="N124" s="9"/>
      <c r="O124" s="9"/>
      <c r="P124" s="9"/>
      <c r="Q124" s="19"/>
      <c r="R124" s="9"/>
      <c r="S124" s="9"/>
      <c r="T124" s="9"/>
      <c r="AP124" s="44"/>
      <c r="AQ124" s="44"/>
    </row>
    <row r="125" spans="5:43" s="8" customFormat="1" ht="39.950000000000003" customHeight="1">
      <c r="E125" s="299"/>
      <c r="F125" s="299"/>
      <c r="G125" s="299"/>
      <c r="H125" s="299"/>
      <c r="L125" s="19"/>
      <c r="M125" s="9"/>
      <c r="N125" s="9"/>
      <c r="O125" s="9"/>
      <c r="P125" s="9"/>
      <c r="Q125" s="19"/>
      <c r="R125" s="9"/>
      <c r="S125" s="9"/>
      <c r="T125" s="9"/>
      <c r="AP125" s="44"/>
      <c r="AQ125" s="44"/>
    </row>
    <row r="126" spans="5:43" s="8" customFormat="1" ht="39.950000000000003" customHeight="1">
      <c r="E126" s="299"/>
      <c r="F126" s="299"/>
      <c r="G126" s="299"/>
      <c r="H126" s="299"/>
      <c r="L126" s="19"/>
      <c r="M126" s="9"/>
      <c r="N126" s="9"/>
      <c r="O126" s="9"/>
      <c r="P126" s="9"/>
      <c r="Q126" s="19"/>
      <c r="R126" s="9"/>
      <c r="S126" s="9"/>
      <c r="T126" s="9"/>
      <c r="AP126" s="44"/>
      <c r="AQ126" s="44"/>
    </row>
    <row r="127" spans="5:43" s="8" customFormat="1" ht="39.950000000000003" customHeight="1">
      <c r="E127" s="299"/>
      <c r="F127" s="299"/>
      <c r="G127" s="299"/>
      <c r="H127" s="299"/>
      <c r="L127" s="19"/>
      <c r="M127" s="9"/>
      <c r="N127" s="9"/>
      <c r="O127" s="9"/>
      <c r="P127" s="9"/>
      <c r="Q127" s="19"/>
      <c r="R127" s="9"/>
      <c r="S127" s="9"/>
      <c r="T127" s="9"/>
      <c r="AP127" s="44"/>
      <c r="AQ127" s="44"/>
    </row>
    <row r="128" spans="5:43" s="8" customFormat="1" ht="39.950000000000003" customHeight="1">
      <c r="E128" s="299"/>
      <c r="F128" s="299"/>
      <c r="G128" s="299"/>
      <c r="H128" s="299"/>
      <c r="L128" s="19"/>
      <c r="M128" s="9"/>
      <c r="N128" s="9"/>
      <c r="O128" s="9"/>
      <c r="P128" s="9"/>
      <c r="Q128" s="19"/>
      <c r="R128" s="9"/>
      <c r="S128" s="9"/>
      <c r="T128" s="9"/>
      <c r="AP128" s="44"/>
      <c r="AQ128" s="44"/>
    </row>
    <row r="129" spans="5:43" s="8" customFormat="1" ht="39.950000000000003" customHeight="1">
      <c r="E129" s="299"/>
      <c r="F129" s="299"/>
      <c r="G129" s="299"/>
      <c r="H129" s="299"/>
      <c r="L129" s="19"/>
      <c r="M129" s="9"/>
      <c r="N129" s="9"/>
      <c r="O129" s="9"/>
      <c r="P129" s="9"/>
      <c r="Q129" s="19"/>
      <c r="R129" s="9"/>
      <c r="S129" s="9"/>
      <c r="T129" s="9"/>
      <c r="AP129" s="44"/>
      <c r="AQ129" s="44"/>
    </row>
    <row r="130" spans="5:43" s="8" customFormat="1" ht="39.950000000000003" customHeight="1">
      <c r="E130" s="299"/>
      <c r="F130" s="299"/>
      <c r="G130" s="299"/>
      <c r="H130" s="299"/>
      <c r="L130" s="19"/>
      <c r="M130" s="9"/>
      <c r="N130" s="9"/>
      <c r="O130" s="9"/>
      <c r="P130" s="9"/>
      <c r="Q130" s="19"/>
      <c r="R130" s="9"/>
      <c r="S130" s="9"/>
      <c r="T130" s="9"/>
      <c r="AP130" s="44"/>
      <c r="AQ130" s="44"/>
    </row>
    <row r="131" spans="5:43" s="8" customFormat="1" ht="39.950000000000003" customHeight="1">
      <c r="E131" s="299"/>
      <c r="F131" s="299"/>
      <c r="G131" s="299"/>
      <c r="H131" s="299"/>
      <c r="L131" s="19"/>
      <c r="M131" s="9"/>
      <c r="N131" s="9"/>
      <c r="O131" s="9"/>
      <c r="P131" s="9"/>
      <c r="Q131" s="19"/>
      <c r="R131" s="9"/>
      <c r="S131" s="9"/>
      <c r="T131" s="9"/>
      <c r="AP131" s="44"/>
      <c r="AQ131" s="44"/>
    </row>
    <row r="132" spans="5:43" s="2" customFormat="1" ht="39.950000000000003" customHeight="1">
      <c r="E132" s="299"/>
      <c r="F132" s="299"/>
      <c r="G132" s="299"/>
      <c r="H132" s="299"/>
      <c r="L132" s="3"/>
      <c r="M132" s="3"/>
      <c r="N132" s="3"/>
      <c r="O132" s="3"/>
      <c r="P132" s="3"/>
      <c r="Q132" s="3"/>
      <c r="R132" s="3"/>
      <c r="S132" s="3"/>
      <c r="T132" s="3"/>
      <c r="AP132" s="43"/>
      <c r="AQ132" s="43"/>
    </row>
    <row r="133" spans="5:43" s="2" customFormat="1" ht="39.950000000000003" customHeight="1">
      <c r="E133" s="299"/>
      <c r="F133" s="299"/>
      <c r="G133" s="299"/>
      <c r="H133" s="299"/>
      <c r="L133" s="3"/>
      <c r="M133" s="3"/>
      <c r="N133" s="3"/>
      <c r="O133" s="3"/>
      <c r="P133" s="3"/>
      <c r="Q133" s="3"/>
      <c r="R133" s="3"/>
      <c r="S133" s="3"/>
      <c r="T133" s="3"/>
      <c r="AP133" s="43"/>
      <c r="AQ133" s="43"/>
    </row>
    <row r="134" spans="5:43" s="2" customFormat="1" ht="39.950000000000003" customHeight="1">
      <c r="E134" s="299"/>
      <c r="F134" s="299"/>
      <c r="G134" s="299"/>
      <c r="H134" s="299"/>
      <c r="L134" s="3"/>
      <c r="M134" s="3"/>
      <c r="N134" s="3"/>
      <c r="O134" s="3"/>
      <c r="P134" s="3"/>
      <c r="Q134" s="3"/>
      <c r="R134" s="3"/>
      <c r="S134" s="3"/>
      <c r="T134" s="3"/>
      <c r="AP134" s="43"/>
      <c r="AQ134" s="43"/>
    </row>
    <row r="135" spans="5:43" s="2" customFormat="1" ht="39.950000000000003" customHeight="1">
      <c r="E135" s="299"/>
      <c r="F135" s="299"/>
      <c r="G135" s="299"/>
      <c r="H135" s="299"/>
      <c r="L135" s="3"/>
      <c r="M135" s="3"/>
      <c r="N135" s="3"/>
      <c r="O135" s="3"/>
      <c r="P135" s="3"/>
      <c r="Q135" s="3"/>
      <c r="R135" s="3"/>
      <c r="S135" s="3"/>
      <c r="T135" s="3"/>
      <c r="AP135" s="43"/>
      <c r="AQ135" s="43"/>
    </row>
    <row r="136" spans="5:43" s="2" customFormat="1" ht="39.950000000000003" customHeight="1">
      <c r="E136" s="299"/>
      <c r="F136" s="299"/>
      <c r="G136" s="299"/>
      <c r="H136" s="299"/>
      <c r="L136" s="3"/>
      <c r="M136" s="3"/>
      <c r="N136" s="3"/>
      <c r="O136" s="3"/>
      <c r="P136" s="3"/>
      <c r="Q136" s="3"/>
      <c r="R136" s="3"/>
      <c r="S136" s="3"/>
      <c r="T136" s="3"/>
      <c r="AP136" s="43"/>
      <c r="AQ136" s="43"/>
    </row>
    <row r="137" spans="5:43" s="2" customFormat="1" ht="39.950000000000003" customHeight="1">
      <c r="E137" s="299"/>
      <c r="F137" s="299"/>
      <c r="G137" s="299"/>
      <c r="H137" s="299"/>
      <c r="L137" s="3"/>
      <c r="M137" s="3"/>
      <c r="N137" s="3"/>
      <c r="O137" s="3"/>
      <c r="P137" s="3"/>
      <c r="Q137" s="3"/>
      <c r="R137" s="3"/>
      <c r="S137" s="3"/>
      <c r="T137" s="3"/>
      <c r="AP137" s="43"/>
      <c r="AQ137" s="43"/>
    </row>
    <row r="138" spans="5:43" s="2" customFormat="1" ht="39.950000000000003" customHeight="1">
      <c r="E138" s="299"/>
      <c r="F138" s="299"/>
      <c r="G138" s="299"/>
      <c r="H138" s="299"/>
      <c r="L138" s="3"/>
      <c r="M138" s="3"/>
      <c r="N138" s="3"/>
      <c r="O138" s="3"/>
      <c r="P138" s="3"/>
      <c r="Q138" s="3"/>
      <c r="R138" s="3"/>
      <c r="S138" s="3"/>
      <c r="T138" s="3"/>
      <c r="AP138" s="43"/>
      <c r="AQ138" s="43"/>
    </row>
    <row r="139" spans="5:43" s="2" customFormat="1" ht="39.950000000000003" customHeight="1">
      <c r="E139" s="299"/>
      <c r="F139" s="299"/>
      <c r="G139" s="299"/>
      <c r="H139" s="299"/>
      <c r="L139" s="3"/>
      <c r="M139" s="3"/>
      <c r="N139" s="3"/>
      <c r="O139" s="3"/>
      <c r="P139" s="3"/>
      <c r="Q139" s="3"/>
      <c r="R139" s="3"/>
      <c r="S139" s="3"/>
      <c r="T139" s="3"/>
      <c r="AP139" s="43"/>
      <c r="AQ139" s="43"/>
    </row>
    <row r="140" spans="5:43" s="2" customFormat="1" ht="39.950000000000003" customHeight="1">
      <c r="E140" s="299"/>
      <c r="F140" s="299"/>
      <c r="G140" s="299"/>
      <c r="H140" s="299"/>
      <c r="L140" s="3"/>
      <c r="M140" s="3"/>
      <c r="N140" s="3"/>
      <c r="O140" s="3"/>
      <c r="P140" s="3"/>
      <c r="Q140" s="3"/>
      <c r="R140" s="3"/>
      <c r="S140" s="3"/>
      <c r="T140" s="3"/>
      <c r="AP140" s="43"/>
      <c r="AQ140" s="43"/>
    </row>
    <row r="141" spans="5:43" s="2" customFormat="1" ht="39.950000000000003" customHeight="1">
      <c r="E141" s="299"/>
      <c r="F141" s="299"/>
      <c r="G141" s="299"/>
      <c r="H141" s="299"/>
      <c r="L141" s="3"/>
      <c r="M141" s="3"/>
      <c r="N141" s="3"/>
      <c r="O141" s="3"/>
      <c r="P141" s="3"/>
      <c r="Q141" s="3"/>
      <c r="R141" s="3"/>
      <c r="S141" s="3"/>
      <c r="T141" s="3"/>
      <c r="AP141" s="43"/>
      <c r="AQ141" s="43"/>
    </row>
    <row r="142" spans="5:43" s="2" customFormat="1" ht="39.950000000000003" customHeight="1">
      <c r="E142" s="299"/>
      <c r="F142" s="299"/>
      <c r="G142" s="299"/>
      <c r="H142" s="299"/>
      <c r="L142" s="3"/>
      <c r="M142" s="3"/>
      <c r="N142" s="3"/>
      <c r="O142" s="3"/>
      <c r="P142" s="3"/>
      <c r="Q142" s="3"/>
      <c r="R142" s="3"/>
      <c r="S142" s="3"/>
      <c r="T142" s="3"/>
      <c r="AP142" s="43"/>
      <c r="AQ142" s="43"/>
    </row>
    <row r="143" spans="5:43" s="2" customFormat="1" ht="39.950000000000003" customHeight="1">
      <c r="E143" s="299"/>
      <c r="F143" s="299"/>
      <c r="G143" s="299"/>
      <c r="H143" s="299"/>
      <c r="L143" s="3"/>
      <c r="M143" s="3"/>
      <c r="N143" s="3"/>
      <c r="O143" s="3"/>
      <c r="P143" s="3"/>
      <c r="Q143" s="3"/>
      <c r="R143" s="3"/>
      <c r="S143" s="3"/>
      <c r="T143" s="3"/>
      <c r="AP143" s="43"/>
      <c r="AQ143" s="43"/>
    </row>
    <row r="144" spans="5:43" s="2" customFormat="1" ht="39.950000000000003" customHeight="1">
      <c r="E144" s="299"/>
      <c r="F144" s="299"/>
      <c r="G144" s="299"/>
      <c r="H144" s="299"/>
      <c r="L144" s="3"/>
      <c r="M144" s="3"/>
      <c r="N144" s="3"/>
      <c r="O144" s="3"/>
      <c r="P144" s="3"/>
      <c r="Q144" s="3"/>
      <c r="R144" s="3"/>
      <c r="S144" s="3"/>
      <c r="T144" s="3"/>
      <c r="AP144" s="43"/>
      <c r="AQ144" s="43"/>
    </row>
    <row r="145" spans="5:43" s="2" customFormat="1" ht="39.950000000000003" customHeight="1">
      <c r="E145" s="299"/>
      <c r="F145" s="299"/>
      <c r="G145" s="299"/>
      <c r="H145" s="299"/>
      <c r="L145" s="3"/>
      <c r="M145" s="3"/>
      <c r="N145" s="3"/>
      <c r="O145" s="3"/>
      <c r="P145" s="3"/>
      <c r="Q145" s="3"/>
      <c r="R145" s="3"/>
      <c r="S145" s="3"/>
      <c r="T145" s="3"/>
      <c r="AP145" s="43"/>
      <c r="AQ145" s="43"/>
    </row>
    <row r="146" spans="5:43" s="2" customFormat="1" ht="39.950000000000003" customHeight="1">
      <c r="E146" s="299"/>
      <c r="F146" s="299"/>
      <c r="G146" s="299"/>
      <c r="H146" s="299"/>
      <c r="L146" s="3"/>
      <c r="M146" s="3"/>
      <c r="N146" s="3"/>
      <c r="O146" s="3"/>
      <c r="P146" s="3"/>
      <c r="Q146" s="3"/>
      <c r="R146" s="3"/>
      <c r="S146" s="3"/>
      <c r="T146" s="3"/>
      <c r="AP146" s="43"/>
      <c r="AQ146" s="43"/>
    </row>
    <row r="147" spans="5:43" s="2" customFormat="1" ht="39.950000000000003" customHeight="1">
      <c r="E147" s="299"/>
      <c r="F147" s="299"/>
      <c r="G147" s="299"/>
      <c r="H147" s="299"/>
      <c r="L147" s="3"/>
      <c r="M147" s="3"/>
      <c r="N147" s="3"/>
      <c r="O147" s="3"/>
      <c r="P147" s="3"/>
      <c r="Q147" s="3"/>
      <c r="R147" s="3"/>
      <c r="S147" s="3"/>
      <c r="T147" s="3"/>
      <c r="AP147" s="43"/>
      <c r="AQ147" s="43"/>
    </row>
    <row r="148" spans="5:43" s="2" customFormat="1" ht="39.950000000000003" customHeight="1">
      <c r="E148" s="299"/>
      <c r="F148" s="299"/>
      <c r="G148" s="299"/>
      <c r="H148" s="299"/>
      <c r="L148" s="3"/>
      <c r="M148" s="3"/>
      <c r="N148" s="3"/>
      <c r="O148" s="3"/>
      <c r="P148" s="3"/>
      <c r="Q148" s="3"/>
      <c r="R148" s="3"/>
      <c r="S148" s="3"/>
      <c r="T148" s="3"/>
      <c r="AP148" s="43"/>
      <c r="AQ148" s="43"/>
    </row>
    <row r="149" spans="5:43" s="2" customFormat="1" ht="39.950000000000003" customHeight="1">
      <c r="E149" s="299"/>
      <c r="F149" s="299"/>
      <c r="G149" s="299"/>
      <c r="H149" s="299"/>
      <c r="L149" s="3"/>
      <c r="M149" s="3"/>
      <c r="N149" s="3"/>
      <c r="O149" s="3"/>
      <c r="P149" s="3"/>
      <c r="Q149" s="3"/>
      <c r="R149" s="3"/>
      <c r="S149" s="3"/>
      <c r="T149" s="3"/>
      <c r="AP149" s="43"/>
      <c r="AQ149" s="43"/>
    </row>
    <row r="150" spans="5:43" s="2" customFormat="1" ht="39.950000000000003" customHeight="1">
      <c r="E150" s="299"/>
      <c r="F150" s="299"/>
      <c r="G150" s="299"/>
      <c r="H150" s="299"/>
      <c r="L150" s="3"/>
      <c r="M150" s="3"/>
      <c r="N150" s="3"/>
      <c r="O150" s="3"/>
      <c r="P150" s="3"/>
      <c r="Q150" s="3"/>
      <c r="R150" s="3"/>
      <c r="S150" s="3"/>
      <c r="T150" s="3"/>
      <c r="AP150" s="43"/>
      <c r="AQ150" s="43"/>
    </row>
    <row r="151" spans="5:43" s="2" customFormat="1" ht="39.950000000000003" customHeight="1">
      <c r="E151" s="299"/>
      <c r="F151" s="299"/>
      <c r="G151" s="299"/>
      <c r="H151" s="299"/>
      <c r="L151" s="3"/>
      <c r="M151" s="3"/>
      <c r="N151" s="3"/>
      <c r="O151" s="3"/>
      <c r="P151" s="3"/>
      <c r="Q151" s="3"/>
      <c r="R151" s="3"/>
      <c r="S151" s="3"/>
      <c r="T151" s="3"/>
      <c r="AP151" s="43"/>
      <c r="AQ151" s="43"/>
    </row>
    <row r="152" spans="5:43" s="2" customFormat="1" ht="39.950000000000003" customHeight="1">
      <c r="E152" s="299"/>
      <c r="F152" s="299"/>
      <c r="G152" s="299"/>
      <c r="H152" s="299"/>
      <c r="L152" s="3"/>
      <c r="M152" s="3"/>
      <c r="N152" s="3"/>
      <c r="O152" s="3"/>
      <c r="P152" s="3"/>
      <c r="Q152" s="3"/>
      <c r="R152" s="3"/>
      <c r="S152" s="3"/>
      <c r="T152" s="3"/>
      <c r="AP152" s="43"/>
      <c r="AQ152" s="43"/>
    </row>
    <row r="153" spans="5:43" s="2" customFormat="1" ht="39.950000000000003" customHeight="1">
      <c r="E153" s="299"/>
      <c r="F153" s="299"/>
      <c r="G153" s="299"/>
      <c r="H153" s="299"/>
      <c r="L153" s="3"/>
      <c r="M153" s="3"/>
      <c r="N153" s="3"/>
      <c r="O153" s="3"/>
      <c r="P153" s="3"/>
      <c r="Q153" s="3"/>
      <c r="R153" s="3"/>
      <c r="S153" s="3"/>
      <c r="T153" s="3"/>
      <c r="AP153" s="43"/>
      <c r="AQ153" s="43"/>
    </row>
    <row r="154" spans="5:43" s="2" customFormat="1" ht="39.950000000000003" customHeight="1">
      <c r="E154" s="299"/>
      <c r="F154" s="299"/>
      <c r="G154" s="299"/>
      <c r="H154" s="299"/>
      <c r="L154" s="3"/>
      <c r="M154" s="3"/>
      <c r="N154" s="3"/>
      <c r="O154" s="3"/>
      <c r="P154" s="3"/>
      <c r="Q154" s="3"/>
      <c r="R154" s="3"/>
      <c r="S154" s="3"/>
      <c r="T154" s="3"/>
      <c r="AP154" s="43"/>
      <c r="AQ154" s="43"/>
    </row>
    <row r="155" spans="5:43" s="2" customFormat="1" ht="39.950000000000003" customHeight="1">
      <c r="E155" s="299"/>
      <c r="F155" s="299"/>
      <c r="G155" s="299"/>
      <c r="H155" s="299"/>
      <c r="L155" s="3"/>
      <c r="M155" s="3"/>
      <c r="N155" s="3"/>
      <c r="O155" s="3"/>
      <c r="P155" s="3"/>
      <c r="Q155" s="3"/>
      <c r="R155" s="3"/>
      <c r="S155" s="3"/>
      <c r="T155" s="3"/>
      <c r="AP155" s="43"/>
      <c r="AQ155" s="43"/>
    </row>
    <row r="156" spans="5:43" s="2" customFormat="1" ht="39.950000000000003" customHeight="1">
      <c r="E156" s="299"/>
      <c r="F156" s="299"/>
      <c r="G156" s="299"/>
      <c r="H156" s="299"/>
      <c r="L156" s="3"/>
      <c r="M156" s="3"/>
      <c r="N156" s="3"/>
      <c r="O156" s="3"/>
      <c r="P156" s="3"/>
      <c r="Q156" s="3"/>
      <c r="R156" s="3"/>
      <c r="S156" s="3"/>
      <c r="T156" s="3"/>
      <c r="AP156" s="43"/>
      <c r="AQ156" s="43"/>
    </row>
    <row r="157" spans="5:43" s="2" customFormat="1" ht="39.950000000000003" customHeight="1">
      <c r="E157" s="299"/>
      <c r="F157" s="299"/>
      <c r="G157" s="299"/>
      <c r="H157" s="299"/>
      <c r="L157" s="3"/>
      <c r="M157" s="3"/>
      <c r="N157" s="3"/>
      <c r="O157" s="3"/>
      <c r="P157" s="3"/>
      <c r="Q157" s="3"/>
      <c r="R157" s="3"/>
      <c r="S157" s="3"/>
      <c r="T157" s="3"/>
      <c r="AP157" s="43"/>
      <c r="AQ157" s="43"/>
    </row>
    <row r="158" spans="5:43" s="2" customFormat="1" ht="39.950000000000003" customHeight="1">
      <c r="E158" s="299"/>
      <c r="F158" s="299"/>
      <c r="G158" s="299"/>
      <c r="H158" s="299"/>
      <c r="L158" s="3"/>
      <c r="M158" s="3"/>
      <c r="N158" s="3"/>
      <c r="O158" s="3"/>
      <c r="P158" s="3"/>
      <c r="Q158" s="3"/>
      <c r="R158" s="3"/>
      <c r="S158" s="3"/>
      <c r="T158" s="3"/>
      <c r="AP158" s="43"/>
      <c r="AQ158" s="43"/>
    </row>
    <row r="159" spans="5:43" s="2" customFormat="1" ht="39.950000000000003" customHeight="1">
      <c r="E159" s="299"/>
      <c r="F159" s="299"/>
      <c r="G159" s="299"/>
      <c r="H159" s="299"/>
      <c r="L159" s="3"/>
      <c r="M159" s="3"/>
      <c r="N159" s="3"/>
      <c r="O159" s="3"/>
      <c r="P159" s="3"/>
      <c r="Q159" s="3"/>
      <c r="R159" s="3"/>
      <c r="S159" s="3"/>
      <c r="T159" s="3"/>
      <c r="AP159" s="43"/>
      <c r="AQ159" s="43"/>
    </row>
    <row r="160" spans="5:43" s="2" customFormat="1" ht="39.950000000000003" customHeight="1">
      <c r="E160" s="299"/>
      <c r="F160" s="299"/>
      <c r="G160" s="299"/>
      <c r="H160" s="299"/>
      <c r="L160" s="3"/>
      <c r="M160" s="3"/>
      <c r="N160" s="3"/>
      <c r="O160" s="3"/>
      <c r="P160" s="3"/>
      <c r="Q160" s="3"/>
      <c r="R160" s="3"/>
      <c r="S160" s="3"/>
      <c r="T160" s="3"/>
      <c r="AP160" s="43"/>
      <c r="AQ160" s="43"/>
    </row>
    <row r="161" spans="5:43" s="2" customFormat="1" ht="39.950000000000003" customHeight="1">
      <c r="E161" s="299"/>
      <c r="F161" s="299"/>
      <c r="G161" s="299"/>
      <c r="H161" s="299"/>
      <c r="L161" s="3"/>
      <c r="M161" s="3"/>
      <c r="N161" s="3"/>
      <c r="O161" s="3"/>
      <c r="P161" s="3"/>
      <c r="Q161" s="3"/>
      <c r="R161" s="3"/>
      <c r="S161" s="3"/>
      <c r="T161" s="3"/>
      <c r="AP161" s="43"/>
      <c r="AQ161" s="43"/>
    </row>
    <row r="162" spans="5:43" s="2" customFormat="1" ht="39.950000000000003" customHeight="1">
      <c r="E162" s="299"/>
      <c r="F162" s="299"/>
      <c r="G162" s="299"/>
      <c r="H162" s="299"/>
      <c r="L162" s="3"/>
      <c r="M162" s="3"/>
      <c r="N162" s="3"/>
      <c r="O162" s="3"/>
      <c r="P162" s="3"/>
      <c r="Q162" s="3"/>
      <c r="R162" s="3"/>
      <c r="S162" s="3"/>
      <c r="T162" s="3"/>
      <c r="AP162" s="43"/>
      <c r="AQ162" s="43"/>
    </row>
    <row r="163" spans="5:43" s="2" customFormat="1" ht="39.950000000000003" customHeight="1">
      <c r="E163" s="299"/>
      <c r="F163" s="299"/>
      <c r="G163" s="299"/>
      <c r="H163" s="299"/>
      <c r="L163" s="3"/>
      <c r="M163" s="3"/>
      <c r="N163" s="3"/>
      <c r="O163" s="3"/>
      <c r="P163" s="3"/>
      <c r="Q163" s="3"/>
      <c r="R163" s="3"/>
      <c r="S163" s="3"/>
      <c r="T163" s="3"/>
      <c r="AP163" s="43"/>
      <c r="AQ163" s="43"/>
    </row>
    <row r="164" spans="5:43" s="2" customFormat="1" ht="39.950000000000003" customHeight="1">
      <c r="E164" s="299"/>
      <c r="F164" s="299"/>
      <c r="G164" s="299"/>
      <c r="H164" s="299"/>
      <c r="L164" s="3"/>
      <c r="M164" s="3"/>
      <c r="N164" s="3"/>
      <c r="O164" s="3"/>
      <c r="P164" s="3"/>
      <c r="Q164" s="3"/>
      <c r="R164" s="3"/>
      <c r="S164" s="3"/>
      <c r="T164" s="3"/>
      <c r="AP164" s="43"/>
      <c r="AQ164" s="43"/>
    </row>
    <row r="165" spans="5:43" s="2" customFormat="1" ht="39.950000000000003" customHeight="1">
      <c r="E165" s="299"/>
      <c r="F165" s="299"/>
      <c r="G165" s="299"/>
      <c r="H165" s="299"/>
      <c r="L165" s="3"/>
      <c r="M165" s="3"/>
      <c r="N165" s="3"/>
      <c r="O165" s="3"/>
      <c r="P165" s="3"/>
      <c r="Q165" s="3"/>
      <c r="R165" s="3"/>
      <c r="S165" s="3"/>
      <c r="T165" s="3"/>
      <c r="AP165" s="43"/>
      <c r="AQ165" s="43"/>
    </row>
    <row r="166" spans="5:43" s="2" customFormat="1" ht="39.950000000000003" customHeight="1">
      <c r="E166" s="299"/>
      <c r="F166" s="299"/>
      <c r="G166" s="299"/>
      <c r="H166" s="299"/>
      <c r="L166" s="3"/>
      <c r="M166" s="3"/>
      <c r="N166" s="3"/>
      <c r="O166" s="3"/>
      <c r="P166" s="3"/>
      <c r="Q166" s="3"/>
      <c r="R166" s="3"/>
      <c r="S166" s="3"/>
      <c r="T166" s="3"/>
      <c r="AP166" s="43"/>
      <c r="AQ166" s="43"/>
    </row>
    <row r="167" spans="5:43" s="2" customFormat="1" ht="39.950000000000003" customHeight="1">
      <c r="E167" s="299"/>
      <c r="F167" s="299"/>
      <c r="G167" s="299"/>
      <c r="H167" s="299"/>
      <c r="L167" s="3"/>
      <c r="M167" s="3"/>
      <c r="N167" s="3"/>
      <c r="O167" s="3"/>
      <c r="P167" s="3"/>
      <c r="Q167" s="3"/>
      <c r="R167" s="3"/>
      <c r="S167" s="3"/>
      <c r="T167" s="3"/>
      <c r="AP167" s="43"/>
      <c r="AQ167" s="43"/>
    </row>
    <row r="168" spans="5:43" s="2" customFormat="1" ht="39.950000000000003" customHeight="1">
      <c r="E168" s="299"/>
      <c r="F168" s="299"/>
      <c r="G168" s="299"/>
      <c r="H168" s="299"/>
      <c r="L168" s="3"/>
      <c r="M168" s="3"/>
      <c r="N168" s="3"/>
      <c r="O168" s="3"/>
      <c r="P168" s="3"/>
      <c r="Q168" s="3"/>
      <c r="R168" s="3"/>
      <c r="S168" s="3"/>
      <c r="T168" s="3"/>
      <c r="AP168" s="43"/>
      <c r="AQ168" s="43"/>
    </row>
    <row r="169" spans="5:43" s="2" customFormat="1" ht="39.950000000000003" customHeight="1">
      <c r="E169" s="299"/>
      <c r="F169" s="299"/>
      <c r="G169" s="299"/>
      <c r="H169" s="299"/>
      <c r="L169" s="3"/>
      <c r="M169" s="3"/>
      <c r="N169" s="3"/>
      <c r="O169" s="3"/>
      <c r="P169" s="3"/>
      <c r="Q169" s="3"/>
      <c r="R169" s="3"/>
      <c r="S169" s="3"/>
      <c r="T169" s="3"/>
      <c r="AP169" s="43"/>
      <c r="AQ169" s="43"/>
    </row>
    <row r="170" spans="5:43" s="2" customFormat="1" ht="39.950000000000003" customHeight="1">
      <c r="E170" s="299"/>
      <c r="F170" s="299"/>
      <c r="G170" s="299"/>
      <c r="H170" s="299"/>
      <c r="L170" s="3"/>
      <c r="M170" s="3"/>
      <c r="N170" s="3"/>
      <c r="O170" s="3"/>
      <c r="P170" s="3"/>
      <c r="Q170" s="3"/>
      <c r="R170" s="3"/>
      <c r="S170" s="3"/>
      <c r="T170" s="3"/>
      <c r="AP170" s="43"/>
      <c r="AQ170" s="43"/>
    </row>
    <row r="171" spans="5:43" s="2" customFormat="1" ht="39.950000000000003" customHeight="1">
      <c r="E171" s="299"/>
      <c r="F171" s="299"/>
      <c r="G171" s="299"/>
      <c r="H171" s="299"/>
      <c r="L171" s="3"/>
      <c r="M171" s="3"/>
      <c r="N171" s="3"/>
      <c r="O171" s="3"/>
      <c r="P171" s="3"/>
      <c r="Q171" s="3"/>
      <c r="R171" s="3"/>
      <c r="S171" s="3"/>
      <c r="T171" s="3"/>
      <c r="AP171" s="43"/>
      <c r="AQ171" s="43"/>
    </row>
    <row r="172" spans="5:43" s="2" customFormat="1" ht="39.950000000000003" customHeight="1">
      <c r="E172" s="299"/>
      <c r="F172" s="299"/>
      <c r="G172" s="299"/>
      <c r="H172" s="299"/>
      <c r="L172" s="3"/>
      <c r="M172" s="3"/>
      <c r="N172" s="3"/>
      <c r="O172" s="3"/>
      <c r="P172" s="3"/>
      <c r="Q172" s="3"/>
      <c r="R172" s="3"/>
      <c r="S172" s="3"/>
      <c r="T172" s="3"/>
      <c r="AP172" s="43"/>
      <c r="AQ172" s="43"/>
    </row>
    <row r="173" spans="5:43" s="2" customFormat="1" ht="39.950000000000003" customHeight="1">
      <c r="E173" s="299"/>
      <c r="F173" s="299"/>
      <c r="G173" s="299"/>
      <c r="H173" s="299"/>
      <c r="L173" s="3"/>
      <c r="M173" s="3"/>
      <c r="N173" s="3"/>
      <c r="O173" s="3"/>
      <c r="P173" s="3"/>
      <c r="Q173" s="3"/>
      <c r="R173" s="3"/>
      <c r="S173" s="3"/>
      <c r="T173" s="3"/>
      <c r="AP173" s="43"/>
      <c r="AQ173" s="43"/>
    </row>
    <row r="174" spans="5:43" s="2" customFormat="1" ht="39.950000000000003" customHeight="1">
      <c r="E174" s="299"/>
      <c r="F174" s="299"/>
      <c r="G174" s="299"/>
      <c r="H174" s="299"/>
      <c r="L174" s="3"/>
      <c r="M174" s="3"/>
      <c r="N174" s="3"/>
      <c r="O174" s="3"/>
      <c r="P174" s="3"/>
      <c r="Q174" s="3"/>
      <c r="R174" s="3"/>
      <c r="S174" s="3"/>
      <c r="T174" s="3"/>
      <c r="AP174" s="43"/>
      <c r="AQ174" s="43"/>
    </row>
    <row r="175" spans="5:43" s="2" customFormat="1" ht="39.950000000000003" customHeight="1">
      <c r="E175" s="299"/>
      <c r="F175" s="299"/>
      <c r="G175" s="299"/>
      <c r="H175" s="299"/>
      <c r="L175" s="3"/>
      <c r="M175" s="3"/>
      <c r="N175" s="3"/>
      <c r="O175" s="3"/>
      <c r="P175" s="3"/>
      <c r="Q175" s="3"/>
      <c r="R175" s="3"/>
      <c r="S175" s="3"/>
      <c r="T175" s="3"/>
      <c r="AP175" s="43"/>
      <c r="AQ175" s="43"/>
    </row>
    <row r="176" spans="5:43" s="2" customFormat="1" ht="39.950000000000003" customHeight="1">
      <c r="E176" s="299"/>
      <c r="F176" s="299"/>
      <c r="G176" s="299"/>
      <c r="H176" s="299"/>
      <c r="L176" s="3"/>
      <c r="M176" s="3"/>
      <c r="N176" s="3"/>
      <c r="O176" s="3"/>
      <c r="P176" s="3"/>
      <c r="Q176" s="3"/>
      <c r="R176" s="3"/>
      <c r="S176" s="3"/>
      <c r="T176" s="3"/>
      <c r="AP176" s="43"/>
      <c r="AQ176" s="43"/>
    </row>
    <row r="177" spans="5:43" s="2" customFormat="1" ht="39.950000000000003" customHeight="1">
      <c r="E177" s="299"/>
      <c r="F177" s="299"/>
      <c r="G177" s="299"/>
      <c r="H177" s="299"/>
      <c r="L177" s="3"/>
      <c r="M177" s="3"/>
      <c r="N177" s="3"/>
      <c r="O177" s="3"/>
      <c r="P177" s="3"/>
      <c r="Q177" s="3"/>
      <c r="R177" s="3"/>
      <c r="S177" s="3"/>
      <c r="T177" s="3"/>
      <c r="AP177" s="43"/>
      <c r="AQ177" s="43"/>
    </row>
    <row r="178" spans="5:43" s="2" customFormat="1">
      <c r="E178" s="299"/>
      <c r="F178" s="299"/>
      <c r="G178" s="299"/>
      <c r="H178" s="299"/>
      <c r="L178" s="3"/>
      <c r="M178" s="3"/>
      <c r="N178" s="3"/>
      <c r="O178" s="3"/>
      <c r="P178" s="3"/>
      <c r="Q178" s="3"/>
      <c r="R178" s="3"/>
      <c r="S178" s="3"/>
      <c r="T178" s="3"/>
      <c r="AP178" s="43"/>
      <c r="AQ178" s="43"/>
    </row>
    <row r="179" spans="5:43" s="2" customFormat="1">
      <c r="E179" s="299"/>
      <c r="F179" s="299"/>
      <c r="G179" s="299"/>
      <c r="H179" s="299"/>
      <c r="L179" s="3"/>
      <c r="M179" s="3"/>
      <c r="N179" s="3"/>
      <c r="O179" s="3"/>
      <c r="P179" s="3"/>
      <c r="Q179" s="3"/>
      <c r="R179" s="3"/>
      <c r="S179" s="3"/>
      <c r="T179" s="3"/>
      <c r="AP179" s="43"/>
      <c r="AQ179" s="43"/>
    </row>
    <row r="180" spans="5:43" s="2" customFormat="1">
      <c r="E180" s="299"/>
      <c r="F180" s="299"/>
      <c r="G180" s="299"/>
      <c r="H180" s="299"/>
      <c r="L180" s="3"/>
      <c r="M180" s="3"/>
      <c r="N180" s="3"/>
      <c r="O180" s="3"/>
      <c r="P180" s="3"/>
      <c r="Q180" s="3"/>
      <c r="R180" s="3"/>
      <c r="S180" s="3"/>
      <c r="T180" s="3"/>
      <c r="AP180" s="43"/>
      <c r="AQ180" s="43"/>
    </row>
    <row r="181" spans="5:43" s="2" customFormat="1">
      <c r="E181" s="299"/>
      <c r="F181" s="299"/>
      <c r="G181" s="299"/>
      <c r="H181" s="299"/>
      <c r="L181" s="3"/>
      <c r="M181" s="3"/>
      <c r="N181" s="3"/>
      <c r="O181" s="3"/>
      <c r="P181" s="3"/>
      <c r="Q181" s="3"/>
      <c r="R181" s="3"/>
      <c r="S181" s="3"/>
      <c r="T181" s="3"/>
      <c r="AP181" s="43"/>
      <c r="AQ181" s="43"/>
    </row>
    <row r="182" spans="5:43" s="2" customFormat="1">
      <c r="E182" s="299"/>
      <c r="F182" s="299"/>
      <c r="G182" s="299"/>
      <c r="H182" s="299"/>
      <c r="L182" s="3"/>
      <c r="M182" s="3"/>
      <c r="N182" s="3"/>
      <c r="O182" s="3"/>
      <c r="P182" s="3"/>
      <c r="Q182" s="3"/>
      <c r="R182" s="3"/>
      <c r="S182" s="3"/>
      <c r="T182" s="3"/>
      <c r="AP182" s="43"/>
      <c r="AQ182" s="43"/>
    </row>
    <row r="183" spans="5:43" s="2" customFormat="1">
      <c r="E183" s="299"/>
      <c r="F183" s="299"/>
      <c r="G183" s="299"/>
      <c r="H183" s="299"/>
      <c r="L183" s="3"/>
      <c r="M183" s="3"/>
      <c r="N183" s="3"/>
      <c r="O183" s="3"/>
      <c r="P183" s="3"/>
      <c r="Q183" s="3"/>
      <c r="R183" s="3"/>
      <c r="S183" s="3"/>
      <c r="T183" s="3"/>
      <c r="AP183" s="43"/>
      <c r="AQ183" s="43"/>
    </row>
    <row r="184" spans="5:43" s="2" customFormat="1">
      <c r="E184" s="299"/>
      <c r="F184" s="299"/>
      <c r="G184" s="299"/>
      <c r="H184" s="299"/>
      <c r="L184" s="3"/>
      <c r="M184" s="3"/>
      <c r="N184" s="3"/>
      <c r="O184" s="3"/>
      <c r="P184" s="3"/>
      <c r="Q184" s="3"/>
      <c r="R184" s="3"/>
      <c r="S184" s="3"/>
      <c r="T184" s="3"/>
      <c r="AP184" s="43"/>
      <c r="AQ184" s="43"/>
    </row>
    <row r="185" spans="5:43" s="2" customFormat="1">
      <c r="E185" s="299"/>
      <c r="F185" s="299"/>
      <c r="G185" s="299"/>
      <c r="H185" s="299"/>
      <c r="L185" s="3"/>
      <c r="M185" s="3"/>
      <c r="N185" s="3"/>
      <c r="O185" s="3"/>
      <c r="P185" s="3"/>
      <c r="Q185" s="3"/>
      <c r="R185" s="3"/>
      <c r="S185" s="3"/>
      <c r="T185" s="3"/>
      <c r="AP185" s="43"/>
      <c r="AQ185" s="43"/>
    </row>
    <row r="186" spans="5:43" s="2" customFormat="1">
      <c r="E186" s="299"/>
      <c r="F186" s="299"/>
      <c r="G186" s="299"/>
      <c r="H186" s="299"/>
      <c r="L186" s="3"/>
      <c r="M186" s="3"/>
      <c r="N186" s="3"/>
      <c r="O186" s="3"/>
      <c r="P186" s="3"/>
      <c r="Q186" s="3"/>
      <c r="R186" s="3"/>
      <c r="S186" s="3"/>
      <c r="T186" s="3"/>
      <c r="AP186" s="43"/>
      <c r="AQ186" s="43"/>
    </row>
    <row r="187" spans="5:43" s="2" customFormat="1">
      <c r="E187" s="299"/>
      <c r="F187" s="299"/>
      <c r="G187" s="299"/>
      <c r="H187" s="299"/>
      <c r="L187" s="3"/>
      <c r="M187" s="3"/>
      <c r="N187" s="3"/>
      <c r="O187" s="3"/>
      <c r="P187" s="3"/>
      <c r="Q187" s="3"/>
      <c r="R187" s="3"/>
      <c r="S187" s="3"/>
      <c r="T187" s="3"/>
      <c r="AP187" s="43"/>
      <c r="AQ187" s="43"/>
    </row>
    <row r="188" spans="5:43" s="2" customFormat="1">
      <c r="E188" s="299"/>
      <c r="F188" s="299"/>
      <c r="G188" s="299"/>
      <c r="H188" s="299"/>
      <c r="L188" s="3"/>
      <c r="M188" s="3"/>
      <c r="N188" s="3"/>
      <c r="O188" s="3"/>
      <c r="P188" s="3"/>
      <c r="Q188" s="3"/>
      <c r="R188" s="3"/>
      <c r="S188" s="3"/>
      <c r="T188" s="3"/>
      <c r="AP188" s="43"/>
      <c r="AQ188" s="43"/>
    </row>
    <row r="189" spans="5:43" s="2" customFormat="1">
      <c r="E189" s="299"/>
      <c r="F189" s="299"/>
      <c r="G189" s="299"/>
      <c r="H189" s="299"/>
      <c r="L189" s="3"/>
      <c r="M189" s="3"/>
      <c r="N189" s="3"/>
      <c r="O189" s="3"/>
      <c r="P189" s="3"/>
      <c r="Q189" s="3"/>
      <c r="R189" s="3"/>
      <c r="S189" s="3"/>
      <c r="T189" s="3"/>
      <c r="AP189" s="43"/>
      <c r="AQ189" s="43"/>
    </row>
    <row r="190" spans="5:43" s="2" customFormat="1">
      <c r="E190" s="299"/>
      <c r="F190" s="299"/>
      <c r="G190" s="299"/>
      <c r="H190" s="299"/>
      <c r="L190" s="3"/>
      <c r="M190" s="3"/>
      <c r="N190" s="3"/>
      <c r="O190" s="3"/>
      <c r="P190" s="3"/>
      <c r="Q190" s="3"/>
      <c r="R190" s="3"/>
      <c r="S190" s="3"/>
      <c r="T190" s="3"/>
      <c r="AP190" s="43"/>
      <c r="AQ190" s="43"/>
    </row>
    <row r="191" spans="5:43" s="2" customFormat="1">
      <c r="E191" s="299"/>
      <c r="F191" s="299"/>
      <c r="G191" s="299"/>
      <c r="H191" s="299"/>
      <c r="L191" s="3"/>
      <c r="M191" s="3"/>
      <c r="N191" s="3"/>
      <c r="O191" s="3"/>
      <c r="P191" s="3"/>
      <c r="Q191" s="3"/>
      <c r="R191" s="3"/>
      <c r="S191" s="3"/>
      <c r="T191" s="3"/>
      <c r="AP191" s="43"/>
      <c r="AQ191" s="43"/>
    </row>
    <row r="192" spans="5:43" s="2" customFormat="1">
      <c r="E192" s="299"/>
      <c r="F192" s="299"/>
      <c r="G192" s="299"/>
      <c r="H192" s="299"/>
      <c r="L192" s="3"/>
      <c r="M192" s="3"/>
      <c r="N192" s="3"/>
      <c r="O192" s="3"/>
      <c r="P192" s="3"/>
      <c r="Q192" s="3"/>
      <c r="R192" s="3"/>
      <c r="S192" s="3"/>
      <c r="T192" s="3"/>
      <c r="AP192" s="43"/>
      <c r="AQ192" s="43"/>
    </row>
    <row r="193" spans="5:43" s="2" customFormat="1">
      <c r="E193" s="299"/>
      <c r="F193" s="299"/>
      <c r="G193" s="299"/>
      <c r="H193" s="299"/>
      <c r="L193" s="3"/>
      <c r="M193" s="3"/>
      <c r="N193" s="3"/>
      <c r="O193" s="3"/>
      <c r="P193" s="3"/>
      <c r="Q193" s="3"/>
      <c r="R193" s="3"/>
      <c r="S193" s="3"/>
      <c r="T193" s="3"/>
      <c r="AP193" s="43"/>
      <c r="AQ193" s="43"/>
    </row>
    <row r="194" spans="5:43" s="2" customFormat="1">
      <c r="E194" s="299"/>
      <c r="F194" s="299"/>
      <c r="G194" s="299"/>
      <c r="H194" s="299"/>
      <c r="L194" s="3"/>
      <c r="M194" s="3"/>
      <c r="N194" s="3"/>
      <c r="O194" s="3"/>
      <c r="P194" s="3"/>
      <c r="Q194" s="3"/>
      <c r="R194" s="3"/>
      <c r="S194" s="3"/>
      <c r="T194" s="3"/>
      <c r="AP194" s="43"/>
      <c r="AQ194" s="43"/>
    </row>
    <row r="195" spans="5:43" s="2" customFormat="1">
      <c r="E195" s="299"/>
      <c r="F195" s="299"/>
      <c r="G195" s="299"/>
      <c r="H195" s="299"/>
      <c r="L195" s="3"/>
      <c r="M195" s="3"/>
      <c r="N195" s="3"/>
      <c r="O195" s="3"/>
      <c r="P195" s="3"/>
      <c r="Q195" s="3"/>
      <c r="R195" s="3"/>
      <c r="S195" s="3"/>
      <c r="T195" s="3"/>
      <c r="AP195" s="43"/>
      <c r="AQ195" s="43"/>
    </row>
    <row r="196" spans="5:43" s="2" customFormat="1">
      <c r="E196" s="299"/>
      <c r="F196" s="299"/>
      <c r="G196" s="299"/>
      <c r="H196" s="299"/>
      <c r="L196" s="3"/>
      <c r="M196" s="3"/>
      <c r="N196" s="3"/>
      <c r="O196" s="3"/>
      <c r="P196" s="3"/>
      <c r="Q196" s="3"/>
      <c r="R196" s="3"/>
      <c r="S196" s="3"/>
      <c r="T196" s="3"/>
      <c r="AP196" s="43"/>
      <c r="AQ196" s="43"/>
    </row>
    <row r="197" spans="5:43" s="2" customFormat="1">
      <c r="E197" s="299"/>
      <c r="F197" s="299"/>
      <c r="G197" s="299"/>
      <c r="H197" s="299"/>
      <c r="L197" s="3"/>
      <c r="M197" s="3"/>
      <c r="N197" s="3"/>
      <c r="O197" s="3"/>
      <c r="P197" s="3"/>
      <c r="Q197" s="3"/>
      <c r="R197" s="3"/>
      <c r="S197" s="3"/>
      <c r="T197" s="3"/>
      <c r="AP197" s="43"/>
      <c r="AQ197" s="43"/>
    </row>
    <row r="198" spans="5:43" s="2" customFormat="1">
      <c r="E198" s="299"/>
      <c r="F198" s="299"/>
      <c r="G198" s="299"/>
      <c r="H198" s="299"/>
      <c r="L198" s="3"/>
      <c r="M198" s="3"/>
      <c r="N198" s="3"/>
      <c r="O198" s="3"/>
      <c r="P198" s="3"/>
      <c r="Q198" s="3"/>
      <c r="R198" s="3"/>
      <c r="S198" s="3"/>
      <c r="T198" s="3"/>
      <c r="AP198" s="43"/>
      <c r="AQ198" s="43"/>
    </row>
    <row r="199" spans="5:43" s="2" customFormat="1">
      <c r="E199" s="299"/>
      <c r="F199" s="299"/>
      <c r="G199" s="299"/>
      <c r="H199" s="299"/>
      <c r="L199" s="3"/>
      <c r="M199" s="3"/>
      <c r="N199" s="3"/>
      <c r="O199" s="3"/>
      <c r="P199" s="3"/>
      <c r="Q199" s="3"/>
      <c r="R199" s="3"/>
      <c r="S199" s="3"/>
      <c r="T199" s="3"/>
      <c r="AP199" s="43"/>
      <c r="AQ199" s="43"/>
    </row>
    <row r="200" spans="5:43" s="2" customFormat="1">
      <c r="E200" s="299"/>
      <c r="F200" s="299"/>
      <c r="G200" s="299"/>
      <c r="H200" s="299"/>
      <c r="L200" s="3"/>
      <c r="M200" s="3"/>
      <c r="N200" s="3"/>
      <c r="O200" s="3"/>
      <c r="P200" s="3"/>
      <c r="Q200" s="3"/>
      <c r="R200" s="3"/>
      <c r="S200" s="3"/>
      <c r="T200" s="3"/>
      <c r="AP200" s="43"/>
      <c r="AQ200" s="43"/>
    </row>
    <row r="201" spans="5:43" s="2" customFormat="1">
      <c r="E201" s="299"/>
      <c r="F201" s="299"/>
      <c r="G201" s="299"/>
      <c r="H201" s="299"/>
      <c r="L201" s="3"/>
      <c r="M201" s="3"/>
      <c r="N201" s="3"/>
      <c r="O201" s="3"/>
      <c r="P201" s="3"/>
      <c r="Q201" s="3"/>
      <c r="R201" s="3"/>
      <c r="S201" s="3"/>
      <c r="T201" s="3"/>
      <c r="AP201" s="43"/>
      <c r="AQ201" s="43"/>
    </row>
    <row r="202" spans="5:43" s="2" customFormat="1">
      <c r="E202" s="299"/>
      <c r="F202" s="299"/>
      <c r="G202" s="299"/>
      <c r="H202" s="299"/>
      <c r="L202" s="3"/>
      <c r="M202" s="3"/>
      <c r="N202" s="3"/>
      <c r="O202" s="3"/>
      <c r="P202" s="3"/>
      <c r="Q202" s="3"/>
      <c r="R202" s="3"/>
      <c r="S202" s="3"/>
      <c r="T202" s="3"/>
      <c r="AP202" s="43"/>
      <c r="AQ202" s="43"/>
    </row>
    <row r="203" spans="5:43" s="2" customFormat="1">
      <c r="E203" s="299"/>
      <c r="F203" s="299"/>
      <c r="G203" s="299"/>
      <c r="H203" s="299"/>
      <c r="L203" s="3"/>
      <c r="M203" s="3"/>
      <c r="N203" s="3"/>
      <c r="O203" s="3"/>
      <c r="P203" s="3"/>
      <c r="Q203" s="3"/>
      <c r="R203" s="3"/>
      <c r="S203" s="3"/>
      <c r="T203" s="3"/>
      <c r="AP203" s="43"/>
      <c r="AQ203" s="43"/>
    </row>
    <row r="204" spans="5:43" s="2" customFormat="1">
      <c r="E204" s="299"/>
      <c r="F204" s="299"/>
      <c r="G204" s="299"/>
      <c r="H204" s="299"/>
      <c r="L204" s="3"/>
      <c r="M204" s="3"/>
      <c r="N204" s="3"/>
      <c r="O204" s="3"/>
      <c r="P204" s="3"/>
      <c r="Q204" s="3"/>
      <c r="R204" s="3"/>
      <c r="S204" s="3"/>
      <c r="T204" s="3"/>
      <c r="AP204" s="43"/>
      <c r="AQ204" s="43"/>
    </row>
    <row r="205" spans="5:43" s="2" customFormat="1">
      <c r="E205" s="299"/>
      <c r="F205" s="299"/>
      <c r="G205" s="299"/>
      <c r="H205" s="299"/>
      <c r="L205" s="3"/>
      <c r="M205" s="3"/>
      <c r="N205" s="3"/>
      <c r="O205" s="3"/>
      <c r="P205" s="3"/>
      <c r="Q205" s="3"/>
      <c r="R205" s="3"/>
      <c r="S205" s="3"/>
      <c r="T205" s="3"/>
      <c r="AP205" s="43"/>
      <c r="AQ205" s="43"/>
    </row>
    <row r="206" spans="5:43" s="2" customFormat="1">
      <c r="E206" s="299"/>
      <c r="F206" s="299"/>
      <c r="G206" s="299"/>
      <c r="H206" s="299"/>
      <c r="L206" s="3"/>
      <c r="M206" s="3"/>
      <c r="N206" s="3"/>
      <c r="O206" s="3"/>
      <c r="P206" s="3"/>
      <c r="Q206" s="3"/>
      <c r="R206" s="3"/>
      <c r="S206" s="3"/>
      <c r="T206" s="3"/>
      <c r="AP206" s="43"/>
      <c r="AQ206" s="43"/>
    </row>
    <row r="207" spans="5:43" s="2" customFormat="1">
      <c r="E207" s="299"/>
      <c r="F207" s="299"/>
      <c r="G207" s="299"/>
      <c r="H207" s="299"/>
      <c r="L207" s="3"/>
      <c r="M207" s="3"/>
      <c r="N207" s="3"/>
      <c r="O207" s="3"/>
      <c r="P207" s="3"/>
      <c r="Q207" s="3"/>
      <c r="R207" s="3"/>
      <c r="S207" s="3"/>
      <c r="T207" s="3"/>
      <c r="AP207" s="43"/>
      <c r="AQ207" s="43"/>
    </row>
    <row r="208" spans="5:43" s="2" customFormat="1">
      <c r="E208" s="299"/>
      <c r="F208" s="299"/>
      <c r="G208" s="299"/>
      <c r="H208" s="299"/>
      <c r="L208" s="3"/>
      <c r="M208" s="3"/>
      <c r="N208" s="3"/>
      <c r="O208" s="3"/>
      <c r="P208" s="3"/>
      <c r="Q208" s="3"/>
      <c r="R208" s="3"/>
      <c r="S208" s="3"/>
      <c r="T208" s="3"/>
      <c r="AP208" s="43"/>
      <c r="AQ208" s="43"/>
    </row>
    <row r="209" spans="5:43" s="2" customFormat="1">
      <c r="E209" s="299"/>
      <c r="F209" s="299"/>
      <c r="G209" s="299"/>
      <c r="H209" s="299"/>
      <c r="L209" s="3"/>
      <c r="M209" s="3"/>
      <c r="N209" s="3"/>
      <c r="O209" s="3"/>
      <c r="P209" s="3"/>
      <c r="Q209" s="3"/>
      <c r="R209" s="3"/>
      <c r="S209" s="3"/>
      <c r="T209" s="3"/>
      <c r="AP209" s="43"/>
      <c r="AQ209" s="43"/>
    </row>
    <row r="210" spans="5:43" s="2" customFormat="1">
      <c r="E210" s="299"/>
      <c r="F210" s="299"/>
      <c r="G210" s="299"/>
      <c r="H210" s="299"/>
      <c r="L210" s="3"/>
      <c r="M210" s="3"/>
      <c r="N210" s="3"/>
      <c r="O210" s="3"/>
      <c r="P210" s="3"/>
      <c r="Q210" s="3"/>
      <c r="R210" s="3"/>
      <c r="S210" s="3"/>
      <c r="T210" s="3"/>
      <c r="AP210" s="43"/>
      <c r="AQ210" s="43"/>
    </row>
    <row r="211" spans="5:43" s="2" customFormat="1">
      <c r="E211" s="299"/>
      <c r="F211" s="299"/>
      <c r="G211" s="299"/>
      <c r="H211" s="299"/>
      <c r="L211" s="3"/>
      <c r="M211" s="3"/>
      <c r="N211" s="3"/>
      <c r="O211" s="3"/>
      <c r="P211" s="3"/>
      <c r="Q211" s="3"/>
      <c r="R211" s="3"/>
      <c r="S211" s="3"/>
      <c r="T211" s="3"/>
      <c r="AP211" s="43"/>
      <c r="AQ211" s="43"/>
    </row>
    <row r="212" spans="5:43" s="2" customFormat="1">
      <c r="E212" s="299"/>
      <c r="F212" s="299"/>
      <c r="G212" s="299"/>
      <c r="H212" s="299"/>
      <c r="L212" s="3"/>
      <c r="M212" s="3"/>
      <c r="N212" s="3"/>
      <c r="O212" s="3"/>
      <c r="P212" s="3"/>
      <c r="Q212" s="3"/>
      <c r="R212" s="3"/>
      <c r="S212" s="3"/>
      <c r="T212" s="3"/>
      <c r="AP212" s="43"/>
      <c r="AQ212" s="43"/>
    </row>
    <row r="213" spans="5:43" s="2" customFormat="1">
      <c r="E213" s="299"/>
      <c r="F213" s="299"/>
      <c r="G213" s="299"/>
      <c r="H213" s="299"/>
      <c r="L213" s="3"/>
      <c r="M213" s="3"/>
      <c r="N213" s="3"/>
      <c r="O213" s="3"/>
      <c r="P213" s="3"/>
      <c r="Q213" s="3"/>
      <c r="R213" s="3"/>
      <c r="S213" s="3"/>
      <c r="T213" s="3"/>
      <c r="AP213" s="43"/>
      <c r="AQ213" s="43"/>
    </row>
    <row r="214" spans="5:43" s="2" customFormat="1">
      <c r="E214" s="299"/>
      <c r="F214" s="299"/>
      <c r="G214" s="299"/>
      <c r="H214" s="299"/>
      <c r="L214" s="3"/>
      <c r="M214" s="3"/>
      <c r="N214" s="3"/>
      <c r="O214" s="3"/>
      <c r="P214" s="3"/>
      <c r="Q214" s="3"/>
      <c r="R214" s="3"/>
      <c r="S214" s="3"/>
      <c r="T214" s="3"/>
      <c r="AP214" s="43"/>
      <c r="AQ214" s="43"/>
    </row>
    <row r="215" spans="5:43" s="2" customFormat="1">
      <c r="E215" s="299"/>
      <c r="F215" s="299"/>
      <c r="G215" s="299"/>
      <c r="H215" s="299"/>
      <c r="L215" s="3"/>
      <c r="M215" s="3"/>
      <c r="N215" s="3"/>
      <c r="O215" s="3"/>
      <c r="P215" s="3"/>
      <c r="Q215" s="3"/>
      <c r="R215" s="3"/>
      <c r="S215" s="3"/>
      <c r="T215" s="3"/>
      <c r="AP215" s="43"/>
      <c r="AQ215" s="43"/>
    </row>
    <row r="216" spans="5:43" s="2" customFormat="1">
      <c r="E216" s="299"/>
      <c r="F216" s="299"/>
      <c r="G216" s="299"/>
      <c r="H216" s="299"/>
      <c r="L216" s="3"/>
      <c r="M216" s="3"/>
      <c r="N216" s="3"/>
      <c r="O216" s="3"/>
      <c r="P216" s="3"/>
      <c r="Q216" s="3"/>
      <c r="R216" s="3"/>
      <c r="S216" s="3"/>
      <c r="T216" s="3"/>
      <c r="AP216" s="43"/>
      <c r="AQ216" s="43"/>
    </row>
    <row r="217" spans="5:43" s="2" customFormat="1">
      <c r="E217" s="299"/>
      <c r="F217" s="299"/>
      <c r="G217" s="299"/>
      <c r="H217" s="299"/>
      <c r="L217" s="3"/>
      <c r="M217" s="3"/>
      <c r="N217" s="3"/>
      <c r="O217" s="3"/>
      <c r="P217" s="3"/>
      <c r="Q217" s="3"/>
      <c r="R217" s="3"/>
      <c r="S217" s="3"/>
      <c r="T217" s="3"/>
      <c r="AP217" s="43"/>
      <c r="AQ217" s="43"/>
    </row>
    <row r="218" spans="5:43" s="2" customFormat="1">
      <c r="E218" s="299"/>
      <c r="F218" s="299"/>
      <c r="G218" s="299"/>
      <c r="H218" s="299"/>
      <c r="L218" s="3"/>
      <c r="M218" s="3"/>
      <c r="N218" s="3"/>
      <c r="O218" s="3"/>
      <c r="P218" s="3"/>
      <c r="Q218" s="3"/>
      <c r="R218" s="3"/>
      <c r="S218" s="3"/>
      <c r="T218" s="3"/>
      <c r="AP218" s="43"/>
      <c r="AQ218" s="43"/>
    </row>
    <row r="219" spans="5:43" s="2" customFormat="1">
      <c r="E219" s="299"/>
      <c r="F219" s="299"/>
      <c r="G219" s="299"/>
      <c r="H219" s="299"/>
      <c r="L219" s="3"/>
      <c r="M219" s="3"/>
      <c r="N219" s="3"/>
      <c r="O219" s="3"/>
      <c r="P219" s="3"/>
      <c r="Q219" s="3"/>
      <c r="R219" s="3"/>
      <c r="S219" s="3"/>
      <c r="T219" s="3"/>
      <c r="AP219" s="43"/>
      <c r="AQ219" s="43"/>
    </row>
    <row r="220" spans="5:43" s="2" customFormat="1">
      <c r="E220" s="299"/>
      <c r="F220" s="299"/>
      <c r="G220" s="299"/>
      <c r="H220" s="299"/>
      <c r="L220" s="3"/>
      <c r="M220" s="3"/>
      <c r="N220" s="3"/>
      <c r="O220" s="3"/>
      <c r="P220" s="3"/>
      <c r="Q220" s="3"/>
      <c r="R220" s="3"/>
      <c r="S220" s="3"/>
      <c r="T220" s="3"/>
      <c r="AP220" s="43"/>
      <c r="AQ220" s="43"/>
    </row>
    <row r="221" spans="5:43" s="2" customFormat="1">
      <c r="E221" s="299"/>
      <c r="F221" s="299"/>
      <c r="G221" s="299"/>
      <c r="H221" s="299"/>
      <c r="L221" s="3"/>
      <c r="M221" s="3"/>
      <c r="N221" s="3"/>
      <c r="O221" s="3"/>
      <c r="P221" s="3"/>
      <c r="Q221" s="3"/>
      <c r="R221" s="3"/>
      <c r="S221" s="3"/>
      <c r="T221" s="3"/>
      <c r="AP221" s="43"/>
      <c r="AQ221" s="43"/>
    </row>
    <row r="222" spans="5:43" s="2" customFormat="1">
      <c r="E222" s="299"/>
      <c r="F222" s="299"/>
      <c r="G222" s="299"/>
      <c r="H222" s="299"/>
      <c r="L222" s="3"/>
      <c r="M222" s="3"/>
      <c r="N222" s="3"/>
      <c r="O222" s="3"/>
      <c r="P222" s="3"/>
      <c r="Q222" s="3"/>
      <c r="R222" s="3"/>
      <c r="S222" s="3"/>
      <c r="T222" s="3"/>
      <c r="AP222" s="43"/>
      <c r="AQ222" s="43"/>
    </row>
    <row r="223" spans="5:43" s="2" customFormat="1">
      <c r="E223" s="299"/>
      <c r="F223" s="299"/>
      <c r="G223" s="299"/>
      <c r="H223" s="299"/>
      <c r="L223" s="3"/>
      <c r="M223" s="3"/>
      <c r="N223" s="3"/>
      <c r="O223" s="3"/>
      <c r="P223" s="3"/>
      <c r="Q223" s="3"/>
      <c r="R223" s="3"/>
      <c r="S223" s="3"/>
      <c r="T223" s="3"/>
      <c r="AP223" s="43"/>
      <c r="AQ223" s="43"/>
    </row>
    <row r="224" spans="5:43" s="2" customFormat="1">
      <c r="E224" s="299"/>
      <c r="F224" s="299"/>
      <c r="G224" s="299"/>
      <c r="H224" s="299"/>
      <c r="L224" s="3"/>
      <c r="M224" s="3"/>
      <c r="N224" s="3"/>
      <c r="O224" s="3"/>
      <c r="P224" s="3"/>
      <c r="Q224" s="3"/>
      <c r="R224" s="3"/>
      <c r="S224" s="3"/>
      <c r="T224" s="3"/>
      <c r="AP224" s="43"/>
      <c r="AQ224" s="43"/>
    </row>
    <row r="225" spans="5:43" s="2" customFormat="1">
      <c r="E225" s="299"/>
      <c r="F225" s="299"/>
      <c r="G225" s="299"/>
      <c r="H225" s="299"/>
      <c r="L225" s="3"/>
      <c r="M225" s="3"/>
      <c r="N225" s="3"/>
      <c r="O225" s="3"/>
      <c r="P225" s="3"/>
      <c r="Q225" s="3"/>
      <c r="R225" s="3"/>
      <c r="S225" s="3"/>
      <c r="T225" s="3"/>
      <c r="AP225" s="43"/>
      <c r="AQ225" s="43"/>
    </row>
    <row r="226" spans="5:43" s="2" customFormat="1">
      <c r="E226" s="299"/>
      <c r="F226" s="299"/>
      <c r="G226" s="299"/>
      <c r="H226" s="299"/>
      <c r="L226" s="3"/>
      <c r="M226" s="3"/>
      <c r="N226" s="3"/>
      <c r="O226" s="3"/>
      <c r="P226" s="3"/>
      <c r="Q226" s="3"/>
      <c r="R226" s="3"/>
      <c r="S226" s="3"/>
      <c r="T226" s="3"/>
      <c r="AP226" s="43"/>
      <c r="AQ226" s="43"/>
    </row>
    <row r="227" spans="5:43" s="2" customFormat="1">
      <c r="E227" s="299"/>
      <c r="F227" s="299"/>
      <c r="G227" s="299"/>
      <c r="H227" s="299"/>
      <c r="L227" s="3"/>
      <c r="M227" s="3"/>
      <c r="N227" s="3"/>
      <c r="O227" s="3"/>
      <c r="P227" s="3"/>
      <c r="Q227" s="3"/>
      <c r="R227" s="3"/>
      <c r="S227" s="3"/>
      <c r="T227" s="3"/>
      <c r="AP227" s="43"/>
      <c r="AQ227" s="43"/>
    </row>
    <row r="228" spans="5:43" s="2" customFormat="1">
      <c r="E228" s="299"/>
      <c r="F228" s="299"/>
      <c r="G228" s="299"/>
      <c r="H228" s="299"/>
      <c r="L228" s="3"/>
      <c r="M228" s="3"/>
      <c r="N228" s="3"/>
      <c r="O228" s="3"/>
      <c r="P228" s="3"/>
      <c r="Q228" s="3"/>
      <c r="R228" s="3"/>
      <c r="S228" s="3"/>
      <c r="T228" s="3"/>
      <c r="AP228" s="43"/>
      <c r="AQ228" s="43"/>
    </row>
    <row r="229" spans="5:43" s="2" customFormat="1">
      <c r="E229" s="299"/>
      <c r="F229" s="299"/>
      <c r="G229" s="299"/>
      <c r="H229" s="299"/>
      <c r="L229" s="3"/>
      <c r="M229" s="3"/>
      <c r="N229" s="3"/>
      <c r="O229" s="3"/>
      <c r="P229" s="3"/>
      <c r="Q229" s="3"/>
      <c r="R229" s="3"/>
      <c r="S229" s="3"/>
      <c r="T229" s="3"/>
      <c r="AP229" s="43"/>
      <c r="AQ229" s="43"/>
    </row>
    <row r="230" spans="5:43" s="2" customFormat="1">
      <c r="E230" s="299"/>
      <c r="F230" s="299"/>
      <c r="G230" s="299"/>
      <c r="H230" s="299"/>
      <c r="L230" s="3"/>
      <c r="M230" s="3"/>
      <c r="N230" s="3"/>
      <c r="O230" s="3"/>
      <c r="P230" s="3"/>
      <c r="Q230" s="3"/>
      <c r="R230" s="3"/>
      <c r="S230" s="3"/>
      <c r="T230" s="3"/>
      <c r="AP230" s="43"/>
      <c r="AQ230" s="43"/>
    </row>
    <row r="231" spans="5:43" s="2" customFormat="1">
      <c r="E231" s="299"/>
      <c r="F231" s="299"/>
      <c r="G231" s="299"/>
      <c r="H231" s="299"/>
      <c r="L231" s="3"/>
      <c r="M231" s="3"/>
      <c r="N231" s="3"/>
      <c r="O231" s="3"/>
      <c r="P231" s="3"/>
      <c r="Q231" s="3"/>
      <c r="R231" s="3"/>
      <c r="S231" s="3"/>
      <c r="T231" s="3"/>
      <c r="AP231" s="43"/>
      <c r="AQ231" s="43"/>
    </row>
    <row r="232" spans="5:43" s="2" customFormat="1">
      <c r="E232" s="299"/>
      <c r="F232" s="299"/>
      <c r="G232" s="299"/>
      <c r="H232" s="299"/>
      <c r="L232" s="3"/>
      <c r="M232" s="3"/>
      <c r="N232" s="3"/>
      <c r="O232" s="3"/>
      <c r="P232" s="3"/>
      <c r="Q232" s="3"/>
      <c r="R232" s="3"/>
      <c r="S232" s="3"/>
      <c r="T232" s="3"/>
      <c r="AP232" s="43"/>
      <c r="AQ232" s="43"/>
    </row>
    <row r="233" spans="5:43" s="2" customFormat="1">
      <c r="E233" s="299"/>
      <c r="F233" s="299"/>
      <c r="G233" s="299"/>
      <c r="H233" s="299"/>
      <c r="L233" s="3"/>
      <c r="M233" s="3"/>
      <c r="N233" s="3"/>
      <c r="O233" s="3"/>
      <c r="P233" s="3"/>
      <c r="Q233" s="3"/>
      <c r="R233" s="3"/>
      <c r="S233" s="3"/>
      <c r="T233" s="3"/>
      <c r="AP233" s="43"/>
      <c r="AQ233" s="43"/>
    </row>
    <row r="234" spans="5:43" s="2" customFormat="1">
      <c r="E234" s="299"/>
      <c r="F234" s="299"/>
      <c r="G234" s="299"/>
      <c r="H234" s="299"/>
      <c r="L234" s="3"/>
      <c r="M234" s="3"/>
      <c r="N234" s="3"/>
      <c r="O234" s="3"/>
      <c r="P234" s="3"/>
      <c r="Q234" s="3"/>
      <c r="R234" s="3"/>
      <c r="S234" s="3"/>
      <c r="T234" s="3"/>
      <c r="AP234" s="43"/>
      <c r="AQ234" s="43"/>
    </row>
    <row r="235" spans="5:43" s="2" customFormat="1">
      <c r="E235" s="299"/>
      <c r="F235" s="299"/>
      <c r="G235" s="299"/>
      <c r="H235" s="299"/>
      <c r="L235" s="3"/>
      <c r="M235" s="3"/>
      <c r="N235" s="3"/>
      <c r="O235" s="3"/>
      <c r="P235" s="3"/>
      <c r="Q235" s="3"/>
      <c r="R235" s="3"/>
      <c r="S235" s="3"/>
      <c r="T235" s="3"/>
      <c r="AP235" s="43"/>
      <c r="AQ235" s="43"/>
    </row>
    <row r="236" spans="5:43" s="2" customFormat="1">
      <c r="E236" s="299"/>
      <c r="F236" s="299"/>
      <c r="G236" s="299"/>
      <c r="H236" s="299"/>
      <c r="L236" s="3"/>
      <c r="M236" s="3"/>
      <c r="N236" s="3"/>
      <c r="O236" s="3"/>
      <c r="P236" s="3"/>
      <c r="Q236" s="3"/>
      <c r="R236" s="3"/>
      <c r="S236" s="3"/>
      <c r="T236" s="3"/>
      <c r="AP236" s="43"/>
      <c r="AQ236" s="43"/>
    </row>
    <row r="237" spans="5:43" s="2" customFormat="1">
      <c r="E237" s="299"/>
      <c r="F237" s="299"/>
      <c r="G237" s="299"/>
      <c r="H237" s="299"/>
      <c r="L237" s="3"/>
      <c r="M237" s="3"/>
      <c r="N237" s="3"/>
      <c r="O237" s="3"/>
      <c r="P237" s="3"/>
      <c r="Q237" s="3"/>
      <c r="R237" s="3"/>
      <c r="S237" s="3"/>
      <c r="T237" s="3"/>
      <c r="AP237" s="43"/>
      <c r="AQ237" s="43"/>
    </row>
    <row r="238" spans="5:43" s="2" customFormat="1">
      <c r="E238" s="299"/>
      <c r="F238" s="299"/>
      <c r="G238" s="299"/>
      <c r="H238" s="299"/>
      <c r="L238" s="3"/>
      <c r="M238" s="3"/>
      <c r="N238" s="3"/>
      <c r="O238" s="3"/>
      <c r="P238" s="3"/>
      <c r="Q238" s="3"/>
      <c r="R238" s="3"/>
      <c r="S238" s="3"/>
      <c r="T238" s="3"/>
      <c r="AP238" s="43"/>
      <c r="AQ238" s="43"/>
    </row>
    <row r="239" spans="5:43" s="2" customFormat="1">
      <c r="E239" s="299"/>
      <c r="F239" s="299"/>
      <c r="G239" s="299"/>
      <c r="H239" s="299"/>
      <c r="L239" s="3"/>
      <c r="M239" s="3"/>
      <c r="N239" s="3"/>
      <c r="O239" s="3"/>
      <c r="P239" s="3"/>
      <c r="Q239" s="3"/>
      <c r="R239" s="3"/>
      <c r="S239" s="3"/>
      <c r="T239" s="3"/>
      <c r="AP239" s="43"/>
      <c r="AQ239" s="43"/>
    </row>
    <row r="240" spans="5:43" s="2" customFormat="1">
      <c r="E240" s="299"/>
      <c r="F240" s="299"/>
      <c r="G240" s="299"/>
      <c r="H240" s="299"/>
      <c r="L240" s="3"/>
      <c r="M240" s="3"/>
      <c r="N240" s="3"/>
      <c r="O240" s="3"/>
      <c r="P240" s="3"/>
      <c r="Q240" s="3"/>
      <c r="R240" s="3"/>
      <c r="S240" s="3"/>
      <c r="T240" s="3"/>
      <c r="AP240" s="43"/>
      <c r="AQ240" s="43"/>
    </row>
    <row r="241" spans="5:43" s="2" customFormat="1">
      <c r="E241" s="299"/>
      <c r="F241" s="299"/>
      <c r="G241" s="299"/>
      <c r="H241" s="299"/>
      <c r="L241" s="3"/>
      <c r="M241" s="3"/>
      <c r="N241" s="3"/>
      <c r="O241" s="3"/>
      <c r="P241" s="3"/>
      <c r="Q241" s="3"/>
      <c r="R241" s="3"/>
      <c r="S241" s="3"/>
      <c r="T241" s="3"/>
      <c r="AP241" s="43"/>
      <c r="AQ241" s="43"/>
    </row>
    <row r="242" spans="5:43" s="2" customFormat="1">
      <c r="E242" s="299"/>
      <c r="F242" s="299"/>
      <c r="G242" s="299"/>
      <c r="H242" s="299"/>
      <c r="L242" s="3"/>
      <c r="M242" s="3"/>
      <c r="N242" s="3"/>
      <c r="O242" s="3"/>
      <c r="P242" s="3"/>
      <c r="Q242" s="3"/>
      <c r="R242" s="3"/>
      <c r="S242" s="3"/>
      <c r="T242" s="3"/>
      <c r="AP242" s="43"/>
      <c r="AQ242" s="43"/>
    </row>
    <row r="243" spans="5:43" s="2" customFormat="1">
      <c r="E243" s="299"/>
      <c r="F243" s="299"/>
      <c r="G243" s="299"/>
      <c r="H243" s="299"/>
      <c r="L243" s="3"/>
      <c r="M243" s="3"/>
      <c r="N243" s="3"/>
      <c r="O243" s="3"/>
      <c r="P243" s="3"/>
      <c r="Q243" s="3"/>
      <c r="R243" s="3"/>
      <c r="S243" s="3"/>
      <c r="T243" s="3"/>
      <c r="AP243" s="43"/>
      <c r="AQ243" s="43"/>
    </row>
    <row r="244" spans="5:43" s="2" customFormat="1">
      <c r="E244" s="299"/>
      <c r="F244" s="299"/>
      <c r="G244" s="299"/>
      <c r="H244" s="299"/>
      <c r="L244" s="3"/>
      <c r="M244" s="3"/>
      <c r="N244" s="3"/>
      <c r="O244" s="3"/>
      <c r="P244" s="3"/>
      <c r="Q244" s="3"/>
      <c r="R244" s="3"/>
      <c r="S244" s="3"/>
      <c r="T244" s="3"/>
      <c r="AP244" s="43"/>
      <c r="AQ244" s="43"/>
    </row>
    <row r="245" spans="5:43" s="2" customFormat="1">
      <c r="E245" s="299"/>
      <c r="F245" s="299"/>
      <c r="G245" s="299"/>
      <c r="H245" s="299"/>
      <c r="L245" s="3"/>
      <c r="M245" s="3"/>
      <c r="N245" s="3"/>
      <c r="O245" s="3"/>
      <c r="P245" s="3"/>
      <c r="Q245" s="3"/>
      <c r="R245" s="3"/>
      <c r="S245" s="3"/>
      <c r="T245" s="3"/>
      <c r="AP245" s="43"/>
      <c r="AQ245" s="43"/>
    </row>
    <row r="246" spans="5:43" s="2" customFormat="1">
      <c r="E246" s="299"/>
      <c r="F246" s="299"/>
      <c r="G246" s="299"/>
      <c r="H246" s="299"/>
      <c r="L246" s="3"/>
      <c r="M246" s="3"/>
      <c r="N246" s="3"/>
      <c r="O246" s="3"/>
      <c r="P246" s="3"/>
      <c r="Q246" s="3"/>
      <c r="R246" s="3"/>
      <c r="S246" s="3"/>
      <c r="T246" s="3"/>
      <c r="AP246" s="43"/>
      <c r="AQ246" s="43"/>
    </row>
    <row r="247" spans="5:43" s="2" customFormat="1">
      <c r="E247" s="299"/>
      <c r="F247" s="299"/>
      <c r="G247" s="299"/>
      <c r="H247" s="299"/>
      <c r="L247" s="3"/>
      <c r="M247" s="3"/>
      <c r="N247" s="3"/>
      <c r="O247" s="3"/>
      <c r="P247" s="3"/>
      <c r="Q247" s="3"/>
      <c r="R247" s="3"/>
      <c r="S247" s="3"/>
      <c r="T247" s="3"/>
      <c r="AP247" s="43"/>
      <c r="AQ247" s="43"/>
    </row>
    <row r="248" spans="5:43" s="2" customFormat="1">
      <c r="E248" s="299"/>
      <c r="F248" s="299"/>
      <c r="G248" s="299"/>
      <c r="H248" s="299"/>
      <c r="L248" s="3"/>
      <c r="M248" s="3"/>
      <c r="N248" s="3"/>
      <c r="O248" s="3"/>
      <c r="P248" s="3"/>
      <c r="Q248" s="3"/>
      <c r="R248" s="3"/>
      <c r="S248" s="3"/>
      <c r="T248" s="3"/>
      <c r="AP248" s="43"/>
      <c r="AQ248" s="43"/>
    </row>
    <row r="249" spans="5:43" s="2" customFormat="1">
      <c r="E249" s="299"/>
      <c r="F249" s="299"/>
      <c r="G249" s="299"/>
      <c r="H249" s="299"/>
      <c r="L249" s="3"/>
      <c r="M249" s="3"/>
      <c r="N249" s="3"/>
      <c r="O249" s="3"/>
      <c r="P249" s="3"/>
      <c r="Q249" s="3"/>
      <c r="R249" s="3"/>
      <c r="S249" s="3"/>
      <c r="T249" s="3"/>
      <c r="AP249" s="43"/>
      <c r="AQ249" s="43"/>
    </row>
    <row r="250" spans="5:43" s="2" customFormat="1">
      <c r="E250" s="299"/>
      <c r="F250" s="299"/>
      <c r="G250" s="299"/>
      <c r="H250" s="299"/>
      <c r="L250" s="3"/>
      <c r="M250" s="3"/>
      <c r="N250" s="3"/>
      <c r="O250" s="3"/>
      <c r="P250" s="3"/>
      <c r="Q250" s="3"/>
      <c r="R250" s="3"/>
      <c r="S250" s="3"/>
      <c r="T250" s="3"/>
      <c r="AP250" s="43"/>
      <c r="AQ250" s="43"/>
    </row>
    <row r="251" spans="5:43" s="2" customFormat="1">
      <c r="E251" s="299"/>
      <c r="F251" s="299"/>
      <c r="G251" s="299"/>
      <c r="H251" s="299"/>
      <c r="L251" s="3"/>
      <c r="M251" s="3"/>
      <c r="N251" s="3"/>
      <c r="O251" s="3"/>
      <c r="P251" s="3"/>
      <c r="Q251" s="3"/>
      <c r="R251" s="3"/>
      <c r="S251" s="3"/>
      <c r="T251" s="3"/>
      <c r="AP251" s="43"/>
      <c r="AQ251" s="43"/>
    </row>
    <row r="252" spans="5:43" s="2" customFormat="1">
      <c r="E252" s="299"/>
      <c r="F252" s="299"/>
      <c r="G252" s="299"/>
      <c r="H252" s="299"/>
      <c r="L252" s="3"/>
      <c r="M252" s="3"/>
      <c r="N252" s="3"/>
      <c r="O252" s="3"/>
      <c r="P252" s="3"/>
      <c r="Q252" s="3"/>
      <c r="R252" s="3"/>
      <c r="S252" s="3"/>
      <c r="T252" s="3"/>
      <c r="AP252" s="43"/>
      <c r="AQ252" s="43"/>
    </row>
    <row r="253" spans="5:43" s="2" customFormat="1">
      <c r="E253" s="299"/>
      <c r="F253" s="299"/>
      <c r="G253" s="299"/>
      <c r="H253" s="299"/>
      <c r="L253" s="3"/>
      <c r="M253" s="3"/>
      <c r="N253" s="3"/>
      <c r="O253" s="3"/>
      <c r="P253" s="3"/>
      <c r="Q253" s="3"/>
      <c r="R253" s="3"/>
      <c r="S253" s="3"/>
      <c r="T253" s="3"/>
      <c r="AP253" s="43"/>
      <c r="AQ253" s="43"/>
    </row>
    <row r="254" spans="5:43" s="2" customFormat="1">
      <c r="E254" s="299"/>
      <c r="F254" s="299"/>
      <c r="G254" s="299"/>
      <c r="H254" s="299"/>
      <c r="L254" s="3"/>
      <c r="M254" s="3"/>
      <c r="N254" s="3"/>
      <c r="O254" s="3"/>
      <c r="P254" s="3"/>
      <c r="Q254" s="3"/>
      <c r="R254" s="3"/>
      <c r="S254" s="3"/>
      <c r="T254" s="3"/>
      <c r="AP254" s="43"/>
      <c r="AQ254" s="43"/>
    </row>
    <row r="255" spans="5:43" s="2" customFormat="1">
      <c r="E255" s="299"/>
      <c r="F255" s="299"/>
      <c r="G255" s="299"/>
      <c r="H255" s="299"/>
      <c r="L255" s="3"/>
      <c r="M255" s="3"/>
      <c r="N255" s="3"/>
      <c r="O255" s="3"/>
      <c r="P255" s="3"/>
      <c r="Q255" s="3"/>
      <c r="R255" s="3"/>
      <c r="S255" s="3"/>
      <c r="T255" s="3"/>
      <c r="AP255" s="43"/>
      <c r="AQ255" s="43"/>
    </row>
    <row r="256" spans="5:43" s="2" customFormat="1">
      <c r="E256" s="299"/>
      <c r="F256" s="299"/>
      <c r="G256" s="299"/>
      <c r="H256" s="299"/>
      <c r="L256" s="3"/>
      <c r="M256" s="3"/>
      <c r="N256" s="3"/>
      <c r="O256" s="3"/>
      <c r="P256" s="3"/>
      <c r="Q256" s="3"/>
      <c r="R256" s="3"/>
      <c r="S256" s="3"/>
      <c r="T256" s="3"/>
      <c r="AP256" s="43"/>
      <c r="AQ256" s="43"/>
    </row>
    <row r="257" spans="5:43" s="2" customFormat="1">
      <c r="E257" s="299"/>
      <c r="F257" s="299"/>
      <c r="G257" s="299"/>
      <c r="H257" s="299"/>
      <c r="L257" s="3"/>
      <c r="M257" s="3"/>
      <c r="N257" s="3"/>
      <c r="O257" s="3"/>
      <c r="P257" s="3"/>
      <c r="Q257" s="3"/>
      <c r="R257" s="3"/>
      <c r="S257" s="3"/>
      <c r="T257" s="3"/>
      <c r="AP257" s="43"/>
      <c r="AQ257" s="43"/>
    </row>
    <row r="258" spans="5:43" s="2" customFormat="1">
      <c r="E258" s="299"/>
      <c r="F258" s="299"/>
      <c r="G258" s="299"/>
      <c r="H258" s="299"/>
      <c r="L258" s="3"/>
      <c r="M258" s="3"/>
      <c r="N258" s="3"/>
      <c r="O258" s="3"/>
      <c r="P258" s="3"/>
      <c r="Q258" s="3"/>
      <c r="R258" s="3"/>
      <c r="S258" s="3"/>
      <c r="T258" s="3"/>
      <c r="AP258" s="43"/>
      <c r="AQ258" s="43"/>
    </row>
    <row r="259" spans="5:43" s="2" customFormat="1">
      <c r="E259" s="299"/>
      <c r="F259" s="299"/>
      <c r="G259" s="299"/>
      <c r="H259" s="299"/>
      <c r="L259" s="3"/>
      <c r="M259" s="3"/>
      <c r="N259" s="3"/>
      <c r="O259" s="3"/>
      <c r="P259" s="3"/>
      <c r="Q259" s="3"/>
      <c r="R259" s="3"/>
      <c r="S259" s="3"/>
      <c r="T259" s="3"/>
      <c r="AP259" s="43"/>
      <c r="AQ259" s="43"/>
    </row>
    <row r="260" spans="5:43" s="2" customFormat="1">
      <c r="E260" s="299"/>
      <c r="F260" s="299"/>
      <c r="G260" s="299"/>
      <c r="H260" s="299"/>
      <c r="L260" s="3"/>
      <c r="M260" s="3"/>
      <c r="N260" s="3"/>
      <c r="O260" s="3"/>
      <c r="P260" s="3"/>
      <c r="Q260" s="3"/>
      <c r="R260" s="3"/>
      <c r="S260" s="3"/>
      <c r="T260" s="3"/>
      <c r="AP260" s="43"/>
      <c r="AQ260" s="43"/>
    </row>
    <row r="261" spans="5:43" s="2" customFormat="1">
      <c r="E261" s="299"/>
      <c r="F261" s="299"/>
      <c r="G261" s="299"/>
      <c r="H261" s="299"/>
      <c r="L261" s="3"/>
      <c r="M261" s="3"/>
      <c r="N261" s="3"/>
      <c r="O261" s="3"/>
      <c r="P261" s="3"/>
      <c r="Q261" s="3"/>
      <c r="R261" s="3"/>
      <c r="S261" s="3"/>
      <c r="T261" s="3"/>
      <c r="AP261" s="43"/>
      <c r="AQ261" s="43"/>
    </row>
    <row r="262" spans="5:43" s="2" customFormat="1">
      <c r="E262" s="299"/>
      <c r="F262" s="299"/>
      <c r="G262" s="299"/>
      <c r="H262" s="299"/>
      <c r="L262" s="3"/>
      <c r="M262" s="3"/>
      <c r="N262" s="3"/>
      <c r="O262" s="3"/>
      <c r="P262" s="3"/>
      <c r="Q262" s="3"/>
      <c r="R262" s="3"/>
      <c r="S262" s="3"/>
      <c r="T262" s="3"/>
      <c r="AP262" s="43"/>
      <c r="AQ262" s="43"/>
    </row>
    <row r="263" spans="5:43" s="2" customFormat="1">
      <c r="E263" s="299"/>
      <c r="F263" s="299"/>
      <c r="G263" s="299"/>
      <c r="H263" s="299"/>
      <c r="L263" s="3"/>
      <c r="M263" s="3"/>
      <c r="N263" s="3"/>
      <c r="O263" s="3"/>
      <c r="P263" s="3"/>
      <c r="Q263" s="3"/>
      <c r="R263" s="3"/>
      <c r="S263" s="3"/>
      <c r="T263" s="3"/>
      <c r="AP263" s="43"/>
      <c r="AQ263" s="43"/>
    </row>
    <row r="264" spans="5:43" s="2" customFormat="1">
      <c r="E264" s="299"/>
      <c r="F264" s="299"/>
      <c r="G264" s="299"/>
      <c r="H264" s="299"/>
      <c r="L264" s="3"/>
      <c r="M264" s="3"/>
      <c r="N264" s="3"/>
      <c r="O264" s="3"/>
      <c r="P264" s="3"/>
      <c r="Q264" s="3"/>
      <c r="R264" s="3"/>
      <c r="S264" s="3"/>
      <c r="T264" s="3"/>
      <c r="AP264" s="43"/>
      <c r="AQ264" s="43"/>
    </row>
    <row r="265" spans="5:43" s="2" customFormat="1">
      <c r="E265" s="299"/>
      <c r="F265" s="299"/>
      <c r="G265" s="299"/>
      <c r="H265" s="299"/>
      <c r="L265" s="3"/>
      <c r="M265" s="3"/>
      <c r="N265" s="3"/>
      <c r="O265" s="3"/>
      <c r="P265" s="3"/>
      <c r="Q265" s="3"/>
      <c r="R265" s="3"/>
      <c r="S265" s="3"/>
      <c r="T265" s="3"/>
      <c r="AP265" s="43"/>
      <c r="AQ265" s="43"/>
    </row>
    <row r="266" spans="5:43" s="2" customFormat="1">
      <c r="E266" s="299"/>
      <c r="F266" s="299"/>
      <c r="G266" s="299"/>
      <c r="H266" s="299"/>
      <c r="L266" s="3"/>
      <c r="M266" s="3"/>
      <c r="N266" s="3"/>
      <c r="O266" s="3"/>
      <c r="P266" s="3"/>
      <c r="Q266" s="3"/>
      <c r="R266" s="3"/>
      <c r="S266" s="3"/>
      <c r="T266" s="3"/>
      <c r="AP266" s="43"/>
      <c r="AQ266" s="43"/>
    </row>
    <row r="267" spans="5:43" s="2" customFormat="1">
      <c r="E267" s="299"/>
      <c r="F267" s="299"/>
      <c r="G267" s="299"/>
      <c r="H267" s="299"/>
      <c r="L267" s="3"/>
      <c r="M267" s="3"/>
      <c r="N267" s="3"/>
      <c r="O267" s="3"/>
      <c r="P267" s="3"/>
      <c r="Q267" s="3"/>
      <c r="R267" s="3"/>
      <c r="S267" s="3"/>
      <c r="T267" s="3"/>
      <c r="AP267" s="43"/>
      <c r="AQ267" s="43"/>
    </row>
    <row r="268" spans="5:43" s="2" customFormat="1">
      <c r="E268" s="299"/>
      <c r="F268" s="299"/>
      <c r="G268" s="299"/>
      <c r="H268" s="299"/>
      <c r="L268" s="3"/>
      <c r="M268" s="3"/>
      <c r="N268" s="3"/>
      <c r="O268" s="3"/>
      <c r="P268" s="3"/>
      <c r="Q268" s="3"/>
      <c r="R268" s="3"/>
      <c r="S268" s="3"/>
      <c r="T268" s="3"/>
      <c r="AP268" s="43"/>
      <c r="AQ268" s="43"/>
    </row>
    <row r="269" spans="5:43" s="2" customFormat="1">
      <c r="E269" s="299"/>
      <c r="F269" s="299"/>
      <c r="G269" s="299"/>
      <c r="H269" s="299"/>
      <c r="L269" s="3"/>
      <c r="M269" s="3"/>
      <c r="N269" s="3"/>
      <c r="O269" s="3"/>
      <c r="P269" s="3"/>
      <c r="Q269" s="3"/>
      <c r="R269" s="3"/>
      <c r="S269" s="3"/>
      <c r="T269" s="3"/>
      <c r="AP269" s="43"/>
      <c r="AQ269" s="43"/>
    </row>
    <row r="270" spans="5:43" s="2" customFormat="1">
      <c r="E270" s="299"/>
      <c r="F270" s="299"/>
      <c r="G270" s="299"/>
      <c r="H270" s="299"/>
      <c r="L270" s="3"/>
      <c r="M270" s="3"/>
      <c r="N270" s="3"/>
      <c r="O270" s="3"/>
      <c r="P270" s="3"/>
      <c r="Q270" s="3"/>
      <c r="R270" s="3"/>
      <c r="S270" s="3"/>
      <c r="T270" s="3"/>
      <c r="AP270" s="43"/>
      <c r="AQ270" s="43"/>
    </row>
    <row r="271" spans="5:43" s="2" customFormat="1">
      <c r="E271" s="299"/>
      <c r="F271" s="299"/>
      <c r="G271" s="299"/>
      <c r="H271" s="299"/>
      <c r="L271" s="3"/>
      <c r="M271" s="3"/>
      <c r="N271" s="3"/>
      <c r="O271" s="3"/>
      <c r="P271" s="3"/>
      <c r="Q271" s="3"/>
      <c r="R271" s="3"/>
      <c r="S271" s="3"/>
      <c r="T271" s="3"/>
      <c r="AP271" s="43"/>
      <c r="AQ271" s="43"/>
    </row>
    <row r="272" spans="5:43" s="2" customFormat="1">
      <c r="E272" s="299"/>
      <c r="F272" s="299"/>
      <c r="G272" s="299"/>
      <c r="H272" s="299"/>
      <c r="L272" s="3"/>
      <c r="M272" s="3"/>
      <c r="N272" s="3"/>
      <c r="O272" s="3"/>
      <c r="P272" s="3"/>
      <c r="Q272" s="3"/>
      <c r="R272" s="3"/>
      <c r="S272" s="3"/>
      <c r="T272" s="3"/>
      <c r="AP272" s="43"/>
      <c r="AQ272" s="43"/>
    </row>
    <row r="273" spans="5:43" s="2" customFormat="1">
      <c r="E273" s="299"/>
      <c r="F273" s="299"/>
      <c r="G273" s="299"/>
      <c r="H273" s="299"/>
      <c r="L273" s="3"/>
      <c r="M273" s="3"/>
      <c r="N273" s="3"/>
      <c r="O273" s="3"/>
      <c r="P273" s="3"/>
      <c r="Q273" s="3"/>
      <c r="R273" s="3"/>
      <c r="S273" s="3"/>
      <c r="T273" s="3"/>
      <c r="AP273" s="43"/>
      <c r="AQ273" s="43"/>
    </row>
    <row r="274" spans="5:43" s="2" customFormat="1">
      <c r="E274" s="299"/>
      <c r="F274" s="299"/>
      <c r="G274" s="299"/>
      <c r="H274" s="299"/>
      <c r="L274" s="3"/>
      <c r="M274" s="3"/>
      <c r="N274" s="3"/>
      <c r="O274" s="3"/>
      <c r="P274" s="3"/>
      <c r="Q274" s="3"/>
      <c r="R274" s="3"/>
      <c r="S274" s="3"/>
      <c r="T274" s="3"/>
      <c r="AP274" s="43"/>
      <c r="AQ274" s="43"/>
    </row>
    <row r="275" spans="5:43" s="2" customFormat="1">
      <c r="E275" s="299"/>
      <c r="F275" s="299"/>
      <c r="G275" s="299"/>
      <c r="H275" s="299"/>
      <c r="L275" s="3"/>
      <c r="M275" s="3"/>
      <c r="N275" s="3"/>
      <c r="O275" s="3"/>
      <c r="P275" s="3"/>
      <c r="Q275" s="3"/>
      <c r="R275" s="3"/>
      <c r="S275" s="3"/>
      <c r="T275" s="3"/>
      <c r="AP275" s="43"/>
      <c r="AQ275" s="43"/>
    </row>
    <row r="276" spans="5:43" s="2" customFormat="1">
      <c r="E276" s="299"/>
      <c r="F276" s="299"/>
      <c r="G276" s="299"/>
      <c r="H276" s="299"/>
      <c r="L276" s="3"/>
      <c r="M276" s="3"/>
      <c r="N276" s="3"/>
      <c r="O276" s="3"/>
      <c r="P276" s="3"/>
      <c r="Q276" s="3"/>
      <c r="R276" s="3"/>
      <c r="S276" s="3"/>
      <c r="T276" s="3"/>
      <c r="AP276" s="43"/>
      <c r="AQ276" s="43"/>
    </row>
    <row r="277" spans="5:43" s="2" customFormat="1">
      <c r="E277" s="299"/>
      <c r="F277" s="299"/>
      <c r="G277" s="299"/>
      <c r="H277" s="299"/>
      <c r="L277" s="3"/>
      <c r="M277" s="3"/>
      <c r="N277" s="3"/>
      <c r="O277" s="3"/>
      <c r="P277" s="3"/>
      <c r="Q277" s="3"/>
      <c r="R277" s="3"/>
      <c r="S277" s="3"/>
      <c r="T277" s="3"/>
      <c r="AP277" s="43"/>
      <c r="AQ277" s="43"/>
    </row>
    <row r="278" spans="5:43" s="2" customFormat="1">
      <c r="E278" s="299"/>
      <c r="F278" s="299"/>
      <c r="G278" s="299"/>
      <c r="H278" s="299"/>
      <c r="L278" s="3"/>
      <c r="M278" s="3"/>
      <c r="N278" s="3"/>
      <c r="O278" s="3"/>
      <c r="P278" s="3"/>
      <c r="Q278" s="3"/>
      <c r="R278" s="3"/>
      <c r="S278" s="3"/>
      <c r="T278" s="3"/>
      <c r="AP278" s="43"/>
      <c r="AQ278" s="43"/>
    </row>
    <row r="279" spans="5:43" s="2" customFormat="1">
      <c r="E279" s="299"/>
      <c r="F279" s="299"/>
      <c r="G279" s="299"/>
      <c r="H279" s="299"/>
      <c r="L279" s="3"/>
      <c r="M279" s="3"/>
      <c r="N279" s="3"/>
      <c r="O279" s="3"/>
      <c r="P279" s="3"/>
      <c r="Q279" s="3"/>
      <c r="R279" s="3"/>
      <c r="S279" s="3"/>
      <c r="T279" s="3"/>
      <c r="AP279" s="43"/>
      <c r="AQ279" s="43"/>
    </row>
    <row r="280" spans="5:43" s="2" customFormat="1">
      <c r="E280" s="299"/>
      <c r="F280" s="299"/>
      <c r="G280" s="299"/>
      <c r="H280" s="299"/>
      <c r="L280" s="3"/>
      <c r="M280" s="3"/>
      <c r="N280" s="3"/>
      <c r="O280" s="3"/>
      <c r="P280" s="3"/>
      <c r="Q280" s="3"/>
      <c r="R280" s="3"/>
      <c r="S280" s="3"/>
      <c r="T280" s="3"/>
      <c r="AP280" s="43"/>
      <c r="AQ280" s="43"/>
    </row>
    <row r="281" spans="5:43" s="2" customFormat="1">
      <c r="E281" s="299"/>
      <c r="F281" s="299"/>
      <c r="G281" s="299"/>
      <c r="H281" s="299"/>
      <c r="L281" s="3"/>
      <c r="M281" s="3"/>
      <c r="N281" s="3"/>
      <c r="O281" s="3"/>
      <c r="P281" s="3"/>
      <c r="Q281" s="3"/>
      <c r="R281" s="3"/>
      <c r="S281" s="3"/>
      <c r="T281" s="3"/>
      <c r="AP281" s="43"/>
      <c r="AQ281" s="43"/>
    </row>
    <row r="282" spans="5:43" s="2" customFormat="1">
      <c r="E282" s="299"/>
      <c r="F282" s="299"/>
      <c r="G282" s="299"/>
      <c r="H282" s="299"/>
      <c r="L282" s="3"/>
      <c r="M282" s="3"/>
      <c r="N282" s="3"/>
      <c r="O282" s="3"/>
      <c r="P282" s="3"/>
      <c r="Q282" s="3"/>
      <c r="R282" s="3"/>
      <c r="S282" s="3"/>
      <c r="T282" s="3"/>
      <c r="AP282" s="43"/>
      <c r="AQ282" s="43"/>
    </row>
    <row r="283" spans="5:43" s="2" customFormat="1">
      <c r="E283" s="299"/>
      <c r="F283" s="299"/>
      <c r="G283" s="299"/>
      <c r="H283" s="299"/>
      <c r="L283" s="3"/>
      <c r="M283" s="3"/>
      <c r="N283" s="3"/>
      <c r="O283" s="3"/>
      <c r="P283" s="3"/>
      <c r="Q283" s="3"/>
      <c r="R283" s="3"/>
      <c r="S283" s="3"/>
      <c r="T283" s="3"/>
      <c r="AP283" s="43"/>
      <c r="AQ283" s="43"/>
    </row>
    <row r="284" spans="5:43" s="2" customFormat="1">
      <c r="E284" s="299"/>
      <c r="F284" s="299"/>
      <c r="G284" s="299"/>
      <c r="H284" s="299"/>
      <c r="L284" s="3"/>
      <c r="M284" s="3"/>
      <c r="N284" s="3"/>
      <c r="O284" s="3"/>
      <c r="P284" s="3"/>
      <c r="Q284" s="3"/>
      <c r="R284" s="3"/>
      <c r="S284" s="3"/>
      <c r="T284" s="3"/>
      <c r="AP284" s="43"/>
      <c r="AQ284" s="43"/>
    </row>
    <row r="285" spans="5:43" s="2" customFormat="1">
      <c r="E285" s="299"/>
      <c r="F285" s="299"/>
      <c r="G285" s="299"/>
      <c r="H285" s="299"/>
      <c r="L285" s="3"/>
      <c r="M285" s="3"/>
      <c r="N285" s="3"/>
      <c r="O285" s="3"/>
      <c r="P285" s="3"/>
      <c r="Q285" s="3"/>
      <c r="R285" s="3"/>
      <c r="S285" s="3"/>
      <c r="T285" s="3"/>
      <c r="AP285" s="43"/>
      <c r="AQ285" s="43"/>
    </row>
    <row r="286" spans="5:43" s="2" customFormat="1">
      <c r="E286" s="299"/>
      <c r="F286" s="299"/>
      <c r="G286" s="299"/>
      <c r="H286" s="299"/>
      <c r="L286" s="3"/>
      <c r="M286" s="3"/>
      <c r="N286" s="3"/>
      <c r="O286" s="3"/>
      <c r="P286" s="3"/>
      <c r="Q286" s="3"/>
      <c r="R286" s="3"/>
      <c r="S286" s="3"/>
      <c r="T286" s="3"/>
      <c r="AP286" s="43"/>
      <c r="AQ286" s="43"/>
    </row>
    <row r="287" spans="5:43" s="2" customFormat="1">
      <c r="E287" s="299"/>
      <c r="F287" s="299"/>
      <c r="G287" s="299"/>
      <c r="H287" s="299"/>
      <c r="L287" s="3"/>
      <c r="M287" s="3"/>
      <c r="N287" s="3"/>
      <c r="O287" s="3"/>
      <c r="P287" s="3"/>
      <c r="Q287" s="3"/>
      <c r="R287" s="3"/>
      <c r="S287" s="3"/>
      <c r="T287" s="3"/>
      <c r="AP287" s="43"/>
      <c r="AQ287" s="43"/>
    </row>
    <row r="288" spans="5:43" s="2" customFormat="1">
      <c r="E288" s="299"/>
      <c r="F288" s="299"/>
      <c r="G288" s="299"/>
      <c r="H288" s="299"/>
      <c r="L288" s="3"/>
      <c r="M288" s="3"/>
      <c r="N288" s="3"/>
      <c r="O288" s="3"/>
      <c r="P288" s="3"/>
      <c r="Q288" s="3"/>
      <c r="R288" s="3"/>
      <c r="S288" s="3"/>
      <c r="T288" s="3"/>
      <c r="AP288" s="43"/>
      <c r="AQ288" s="43"/>
    </row>
    <row r="289" spans="5:43" s="2" customFormat="1">
      <c r="E289" s="299"/>
      <c r="F289" s="299"/>
      <c r="G289" s="299"/>
      <c r="H289" s="299"/>
      <c r="L289" s="3"/>
      <c r="M289" s="3"/>
      <c r="N289" s="3"/>
      <c r="O289" s="3"/>
      <c r="P289" s="3"/>
      <c r="Q289" s="3"/>
      <c r="R289" s="3"/>
      <c r="S289" s="3"/>
      <c r="T289" s="3"/>
      <c r="AP289" s="43"/>
      <c r="AQ289" s="43"/>
    </row>
    <row r="290" spans="5:43" s="2" customFormat="1">
      <c r="E290" s="299"/>
      <c r="F290" s="299"/>
      <c r="G290" s="299"/>
      <c r="H290" s="299"/>
      <c r="L290" s="3"/>
      <c r="M290" s="3"/>
      <c r="N290" s="3"/>
      <c r="O290" s="3"/>
      <c r="P290" s="3"/>
      <c r="Q290" s="3"/>
      <c r="R290" s="3"/>
      <c r="S290" s="3"/>
      <c r="T290" s="3"/>
      <c r="AP290" s="43"/>
      <c r="AQ290" s="43"/>
    </row>
    <row r="291" spans="5:43" s="2" customFormat="1">
      <c r="E291" s="299"/>
      <c r="F291" s="299"/>
      <c r="G291" s="299"/>
      <c r="H291" s="299"/>
      <c r="L291" s="3"/>
      <c r="M291" s="3"/>
      <c r="N291" s="3"/>
      <c r="O291" s="3"/>
      <c r="P291" s="3"/>
      <c r="Q291" s="3"/>
      <c r="R291" s="3"/>
      <c r="S291" s="3"/>
      <c r="T291" s="3"/>
      <c r="AP291" s="43"/>
      <c r="AQ291" s="43"/>
    </row>
    <row r="292" spans="5:43" s="2" customFormat="1">
      <c r="E292" s="299"/>
      <c r="F292" s="299"/>
      <c r="G292" s="299"/>
      <c r="H292" s="299"/>
      <c r="L292" s="3"/>
      <c r="M292" s="3"/>
      <c r="N292" s="3"/>
      <c r="O292" s="3"/>
      <c r="P292" s="3"/>
      <c r="Q292" s="3"/>
      <c r="R292" s="3"/>
      <c r="S292" s="3"/>
      <c r="T292" s="3"/>
      <c r="AP292" s="43"/>
      <c r="AQ292" s="43"/>
    </row>
    <row r="293" spans="5:43" s="2" customFormat="1">
      <c r="E293" s="299"/>
      <c r="F293" s="299"/>
      <c r="G293" s="299"/>
      <c r="H293" s="299"/>
      <c r="L293" s="3"/>
      <c r="M293" s="3"/>
      <c r="N293" s="3"/>
      <c r="O293" s="3"/>
      <c r="P293" s="3"/>
      <c r="Q293" s="3"/>
      <c r="R293" s="3"/>
      <c r="S293" s="3"/>
      <c r="T293" s="3"/>
      <c r="AP293" s="43"/>
      <c r="AQ293" s="43"/>
    </row>
    <row r="294" spans="5:43" s="2" customFormat="1">
      <c r="E294" s="299"/>
      <c r="F294" s="299"/>
      <c r="G294" s="299"/>
      <c r="H294" s="299"/>
      <c r="L294" s="3"/>
      <c r="M294" s="3"/>
      <c r="N294" s="3"/>
      <c r="O294" s="3"/>
      <c r="P294" s="3"/>
      <c r="Q294" s="3"/>
      <c r="R294" s="3"/>
      <c r="S294" s="3"/>
      <c r="T294" s="3"/>
      <c r="AP294" s="43"/>
      <c r="AQ294" s="43"/>
    </row>
    <row r="295" spans="5:43" s="2" customFormat="1">
      <c r="E295" s="299"/>
      <c r="F295" s="299"/>
      <c r="G295" s="299"/>
      <c r="H295" s="299"/>
      <c r="L295" s="3"/>
      <c r="M295" s="3"/>
      <c r="N295" s="3"/>
      <c r="O295" s="3"/>
      <c r="P295" s="3"/>
      <c r="Q295" s="3"/>
      <c r="R295" s="3"/>
      <c r="S295" s="3"/>
      <c r="T295" s="3"/>
      <c r="AP295" s="43"/>
      <c r="AQ295" s="43"/>
    </row>
    <row r="296" spans="5:43" s="2" customFormat="1">
      <c r="E296" s="299"/>
      <c r="F296" s="299"/>
      <c r="G296" s="299"/>
      <c r="H296" s="299"/>
      <c r="L296" s="3"/>
      <c r="M296" s="3"/>
      <c r="N296" s="3"/>
      <c r="O296" s="3"/>
      <c r="P296" s="3"/>
      <c r="Q296" s="3"/>
      <c r="R296" s="3"/>
      <c r="S296" s="3"/>
      <c r="T296" s="3"/>
      <c r="AP296" s="43"/>
      <c r="AQ296" s="43"/>
    </row>
    <row r="297" spans="5:43" s="2" customFormat="1">
      <c r="E297" s="299"/>
      <c r="F297" s="299"/>
      <c r="G297" s="299"/>
      <c r="H297" s="299"/>
      <c r="L297" s="3"/>
      <c r="M297" s="3"/>
      <c r="N297" s="3"/>
      <c r="O297" s="3"/>
      <c r="P297" s="3"/>
      <c r="Q297" s="3"/>
      <c r="R297" s="3"/>
      <c r="S297" s="3"/>
      <c r="T297" s="3"/>
      <c r="AP297" s="43"/>
      <c r="AQ297" s="43"/>
    </row>
    <row r="298" spans="5:43" s="2" customFormat="1">
      <c r="E298" s="299"/>
      <c r="F298" s="299"/>
      <c r="G298" s="299"/>
      <c r="H298" s="299"/>
      <c r="L298" s="3"/>
      <c r="M298" s="3"/>
      <c r="N298" s="3"/>
      <c r="O298" s="3"/>
      <c r="P298" s="3"/>
      <c r="Q298" s="3"/>
      <c r="R298" s="3"/>
      <c r="S298" s="3"/>
      <c r="T298" s="3"/>
      <c r="AP298" s="43"/>
      <c r="AQ298" s="43"/>
    </row>
    <row r="299" spans="5:43" s="2" customFormat="1">
      <c r="E299" s="299"/>
      <c r="F299" s="299"/>
      <c r="G299" s="299"/>
      <c r="H299" s="299"/>
      <c r="L299" s="3"/>
      <c r="M299" s="3"/>
      <c r="N299" s="3"/>
      <c r="O299" s="3"/>
      <c r="P299" s="3"/>
      <c r="Q299" s="3"/>
      <c r="R299" s="3"/>
      <c r="S299" s="3"/>
      <c r="T299" s="3"/>
      <c r="AP299" s="43"/>
      <c r="AQ299" s="43"/>
    </row>
    <row r="300" spans="5:43" s="2" customFormat="1">
      <c r="E300" s="299"/>
      <c r="F300" s="299"/>
      <c r="G300" s="299"/>
      <c r="H300" s="299"/>
      <c r="L300" s="3"/>
      <c r="M300" s="3"/>
      <c r="N300" s="3"/>
      <c r="O300" s="3"/>
      <c r="P300" s="3"/>
      <c r="Q300" s="3"/>
      <c r="R300" s="3"/>
      <c r="S300" s="3"/>
      <c r="T300" s="3"/>
      <c r="AP300" s="43"/>
      <c r="AQ300" s="43"/>
    </row>
    <row r="301" spans="5:43" s="2" customFormat="1">
      <c r="E301" s="299"/>
      <c r="F301" s="299"/>
      <c r="G301" s="299"/>
      <c r="H301" s="299"/>
      <c r="L301" s="3"/>
      <c r="M301" s="3"/>
      <c r="N301" s="3"/>
      <c r="O301" s="3"/>
      <c r="P301" s="3"/>
      <c r="Q301" s="3"/>
      <c r="R301" s="3"/>
      <c r="S301" s="3"/>
      <c r="T301" s="3"/>
      <c r="AP301" s="43"/>
      <c r="AQ301" s="43"/>
    </row>
    <row r="302" spans="5:43" s="2" customFormat="1">
      <c r="E302" s="299"/>
      <c r="F302" s="299"/>
      <c r="G302" s="299"/>
      <c r="H302" s="299"/>
      <c r="L302" s="3"/>
      <c r="M302" s="3"/>
      <c r="N302" s="3"/>
      <c r="O302" s="3"/>
      <c r="P302" s="3"/>
      <c r="Q302" s="3"/>
      <c r="R302" s="3"/>
      <c r="S302" s="3"/>
      <c r="T302" s="3"/>
      <c r="AP302" s="43"/>
      <c r="AQ302" s="43"/>
    </row>
    <row r="303" spans="5:43" s="2" customFormat="1">
      <c r="E303" s="299"/>
      <c r="F303" s="299"/>
      <c r="G303" s="299"/>
      <c r="H303" s="299"/>
      <c r="L303" s="3"/>
      <c r="M303" s="3"/>
      <c r="N303" s="3"/>
      <c r="O303" s="3"/>
      <c r="P303" s="3"/>
      <c r="Q303" s="3"/>
      <c r="R303" s="3"/>
      <c r="S303" s="3"/>
      <c r="T303" s="3"/>
      <c r="AP303" s="43"/>
      <c r="AQ303" s="43"/>
    </row>
    <row r="304" spans="5:43" s="2" customFormat="1">
      <c r="E304" s="299"/>
      <c r="F304" s="299"/>
      <c r="G304" s="299"/>
      <c r="H304" s="299"/>
      <c r="L304" s="3"/>
      <c r="M304" s="3"/>
      <c r="N304" s="3"/>
      <c r="O304" s="3"/>
      <c r="P304" s="3"/>
      <c r="Q304" s="3"/>
      <c r="R304" s="3"/>
      <c r="S304" s="3"/>
      <c r="T304" s="3"/>
      <c r="AP304" s="43"/>
      <c r="AQ304" s="43"/>
    </row>
    <row r="305" spans="5:43" s="2" customFormat="1">
      <c r="E305" s="299"/>
      <c r="F305" s="299"/>
      <c r="G305" s="299"/>
      <c r="H305" s="299"/>
      <c r="L305" s="3"/>
      <c r="M305" s="3"/>
      <c r="N305" s="3"/>
      <c r="O305" s="3"/>
      <c r="P305" s="3"/>
      <c r="Q305" s="3"/>
      <c r="R305" s="3"/>
      <c r="S305" s="3"/>
      <c r="T305" s="3"/>
      <c r="AP305" s="43"/>
      <c r="AQ305" s="43"/>
    </row>
    <row r="306" spans="5:43" s="2" customFormat="1">
      <c r="E306" s="299"/>
      <c r="F306" s="299"/>
      <c r="G306" s="299"/>
      <c r="H306" s="299"/>
      <c r="L306" s="3"/>
      <c r="M306" s="3"/>
      <c r="N306" s="3"/>
      <c r="O306" s="3"/>
      <c r="P306" s="3"/>
      <c r="Q306" s="3"/>
      <c r="R306" s="3"/>
      <c r="S306" s="3"/>
      <c r="T306" s="3"/>
      <c r="AP306" s="43"/>
      <c r="AQ306" s="43"/>
    </row>
    <row r="307" spans="5:43" s="2" customFormat="1">
      <c r="E307" s="299"/>
      <c r="F307" s="299"/>
      <c r="G307" s="299"/>
      <c r="H307" s="299"/>
      <c r="L307" s="3"/>
      <c r="M307" s="3"/>
      <c r="N307" s="3"/>
      <c r="O307" s="3"/>
      <c r="P307" s="3"/>
      <c r="Q307" s="3"/>
      <c r="R307" s="3"/>
      <c r="S307" s="3"/>
      <c r="T307" s="3"/>
      <c r="AP307" s="43"/>
      <c r="AQ307" s="43"/>
    </row>
    <row r="308" spans="5:43" s="2" customFormat="1">
      <c r="E308" s="299"/>
      <c r="F308" s="299"/>
      <c r="G308" s="299"/>
      <c r="H308" s="299"/>
      <c r="L308" s="3"/>
      <c r="M308" s="3"/>
      <c r="N308" s="3"/>
      <c r="O308" s="3"/>
      <c r="P308" s="3"/>
      <c r="Q308" s="3"/>
      <c r="R308" s="3"/>
      <c r="S308" s="3"/>
      <c r="T308" s="3"/>
      <c r="AP308" s="43"/>
      <c r="AQ308" s="43"/>
    </row>
    <row r="309" spans="5:43" s="2" customFormat="1">
      <c r="E309" s="299"/>
      <c r="F309" s="299"/>
      <c r="G309" s="299"/>
      <c r="H309" s="299"/>
      <c r="L309" s="3"/>
      <c r="M309" s="3"/>
      <c r="N309" s="3"/>
      <c r="O309" s="3"/>
      <c r="P309" s="3"/>
      <c r="Q309" s="3"/>
      <c r="R309" s="3"/>
      <c r="S309" s="3"/>
      <c r="T309" s="3"/>
      <c r="AP309" s="43"/>
      <c r="AQ309" s="43"/>
    </row>
    <row r="310" spans="5:43" s="2" customFormat="1">
      <c r="E310" s="299"/>
      <c r="F310" s="299"/>
      <c r="G310" s="299"/>
      <c r="H310" s="299"/>
      <c r="L310" s="3"/>
      <c r="M310" s="3"/>
      <c r="N310" s="3"/>
      <c r="O310" s="3"/>
      <c r="P310" s="3"/>
      <c r="Q310" s="3"/>
      <c r="R310" s="3"/>
      <c r="S310" s="3"/>
      <c r="T310" s="3"/>
      <c r="AP310" s="43"/>
      <c r="AQ310" s="43"/>
    </row>
    <row r="311" spans="5:43" s="2" customFormat="1">
      <c r="E311" s="299"/>
      <c r="F311" s="299"/>
      <c r="G311" s="299"/>
      <c r="H311" s="299"/>
      <c r="L311" s="3"/>
      <c r="M311" s="3"/>
      <c r="N311" s="3"/>
      <c r="O311" s="3"/>
      <c r="P311" s="3"/>
      <c r="Q311" s="3"/>
      <c r="R311" s="3"/>
      <c r="S311" s="3"/>
      <c r="T311" s="3"/>
      <c r="AP311" s="43"/>
      <c r="AQ311" s="43"/>
    </row>
    <row r="312" spans="5:43" s="2" customFormat="1">
      <c r="E312" s="299"/>
      <c r="F312" s="299"/>
      <c r="G312" s="299"/>
      <c r="H312" s="299"/>
      <c r="L312" s="3"/>
      <c r="M312" s="3"/>
      <c r="N312" s="3"/>
      <c r="O312" s="3"/>
      <c r="P312" s="3"/>
      <c r="Q312" s="3"/>
      <c r="R312" s="3"/>
      <c r="S312" s="3"/>
      <c r="T312" s="3"/>
      <c r="AP312" s="43"/>
      <c r="AQ312" s="43"/>
    </row>
    <row r="313" spans="5:43" s="2" customFormat="1">
      <c r="E313" s="299"/>
      <c r="F313" s="299"/>
      <c r="G313" s="299"/>
      <c r="H313" s="299"/>
      <c r="L313" s="3"/>
      <c r="M313" s="3"/>
      <c r="N313" s="3"/>
      <c r="O313" s="3"/>
      <c r="P313" s="3"/>
      <c r="Q313" s="3"/>
      <c r="R313" s="3"/>
      <c r="S313" s="3"/>
      <c r="T313" s="3"/>
      <c r="AP313" s="43"/>
      <c r="AQ313" s="43"/>
    </row>
    <row r="314" spans="5:43" s="2" customFormat="1">
      <c r="E314" s="299"/>
      <c r="F314" s="299"/>
      <c r="G314" s="299"/>
      <c r="H314" s="299"/>
      <c r="L314" s="3"/>
      <c r="M314" s="3"/>
      <c r="N314" s="3"/>
      <c r="O314" s="3"/>
      <c r="P314" s="3"/>
      <c r="Q314" s="3"/>
      <c r="R314" s="3"/>
      <c r="S314" s="3"/>
      <c r="T314" s="3"/>
      <c r="AP314" s="43"/>
      <c r="AQ314" s="43"/>
    </row>
    <row r="315" spans="5:43" s="2" customFormat="1">
      <c r="E315" s="299"/>
      <c r="F315" s="299"/>
      <c r="G315" s="299"/>
      <c r="H315" s="299"/>
      <c r="L315" s="3"/>
      <c r="M315" s="3"/>
      <c r="N315" s="3"/>
      <c r="O315" s="3"/>
      <c r="P315" s="3"/>
      <c r="Q315" s="3"/>
      <c r="R315" s="3"/>
      <c r="S315" s="3"/>
      <c r="T315" s="3"/>
      <c r="AP315" s="43"/>
      <c r="AQ315" s="43"/>
    </row>
    <row r="316" spans="5:43" s="2" customFormat="1">
      <c r="E316" s="299"/>
      <c r="F316" s="299"/>
      <c r="G316" s="299"/>
      <c r="H316" s="299"/>
      <c r="L316" s="3"/>
      <c r="M316" s="3"/>
      <c r="N316" s="3"/>
      <c r="O316" s="3"/>
      <c r="P316" s="3"/>
      <c r="Q316" s="3"/>
      <c r="R316" s="3"/>
      <c r="S316" s="3"/>
      <c r="T316" s="3"/>
      <c r="AP316" s="43"/>
      <c r="AQ316" s="43"/>
    </row>
    <row r="317" spans="5:43" s="2" customFormat="1">
      <c r="E317" s="299"/>
      <c r="F317" s="299"/>
      <c r="G317" s="299"/>
      <c r="H317" s="299"/>
      <c r="L317" s="3"/>
      <c r="M317" s="3"/>
      <c r="N317" s="3"/>
      <c r="O317" s="3"/>
      <c r="P317" s="3"/>
      <c r="Q317" s="3"/>
      <c r="R317" s="3"/>
      <c r="S317" s="3"/>
      <c r="T317" s="3"/>
      <c r="AP317" s="43"/>
      <c r="AQ317" s="43"/>
    </row>
    <row r="318" spans="5:43" s="2" customFormat="1">
      <c r="E318" s="299"/>
      <c r="F318" s="299"/>
      <c r="G318" s="299"/>
      <c r="H318" s="299"/>
      <c r="L318" s="3"/>
      <c r="M318" s="3"/>
      <c r="N318" s="3"/>
      <c r="O318" s="3"/>
      <c r="P318" s="3"/>
      <c r="Q318" s="3"/>
      <c r="R318" s="3"/>
      <c r="S318" s="3"/>
      <c r="T318" s="3"/>
      <c r="AP318" s="43"/>
      <c r="AQ318" s="43"/>
    </row>
    <row r="319" spans="5:43" s="2" customFormat="1">
      <c r="E319" s="299"/>
      <c r="F319" s="299"/>
      <c r="G319" s="299"/>
      <c r="H319" s="299"/>
      <c r="L319" s="3"/>
      <c r="M319" s="3"/>
      <c r="N319" s="3"/>
      <c r="O319" s="3"/>
      <c r="P319" s="3"/>
      <c r="Q319" s="3"/>
      <c r="R319" s="3"/>
      <c r="S319" s="3"/>
      <c r="T319" s="3"/>
      <c r="AP319" s="43"/>
      <c r="AQ319" s="43"/>
    </row>
    <row r="320" spans="5:43" s="2" customFormat="1">
      <c r="E320" s="299"/>
      <c r="F320" s="299"/>
      <c r="G320" s="299"/>
      <c r="H320" s="299"/>
      <c r="L320" s="3"/>
      <c r="M320" s="3"/>
      <c r="N320" s="3"/>
      <c r="O320" s="3"/>
      <c r="P320" s="3"/>
      <c r="Q320" s="3"/>
      <c r="R320" s="3"/>
      <c r="S320" s="3"/>
      <c r="T320" s="3"/>
      <c r="AP320" s="43"/>
      <c r="AQ320" s="43"/>
    </row>
    <row r="321" spans="5:43" s="2" customFormat="1">
      <c r="E321" s="299"/>
      <c r="F321" s="299"/>
      <c r="G321" s="299"/>
      <c r="H321" s="299"/>
      <c r="L321" s="3"/>
      <c r="M321" s="3"/>
      <c r="N321" s="3"/>
      <c r="O321" s="3"/>
      <c r="P321" s="3"/>
      <c r="Q321" s="3"/>
      <c r="R321" s="3"/>
      <c r="S321" s="3"/>
      <c r="T321" s="3"/>
      <c r="AP321" s="43"/>
      <c r="AQ321" s="43"/>
    </row>
    <row r="322" spans="5:43" s="2" customFormat="1">
      <c r="E322" s="299"/>
      <c r="F322" s="299"/>
      <c r="G322" s="299"/>
      <c r="H322" s="299"/>
      <c r="L322" s="3"/>
      <c r="M322" s="3"/>
      <c r="N322" s="3"/>
      <c r="O322" s="3"/>
      <c r="P322" s="3"/>
      <c r="Q322" s="3"/>
      <c r="R322" s="3"/>
      <c r="S322" s="3"/>
      <c r="T322" s="3"/>
      <c r="AP322" s="43"/>
      <c r="AQ322" s="43"/>
    </row>
    <row r="323" spans="5:43" s="2" customFormat="1">
      <c r="E323" s="299"/>
      <c r="F323" s="299"/>
      <c r="G323" s="299"/>
      <c r="H323" s="299"/>
      <c r="L323" s="3"/>
      <c r="M323" s="3"/>
      <c r="N323" s="3"/>
      <c r="O323" s="3"/>
      <c r="P323" s="3"/>
      <c r="Q323" s="3"/>
      <c r="R323" s="3"/>
      <c r="S323" s="3"/>
      <c r="T323" s="3"/>
      <c r="AP323" s="43"/>
      <c r="AQ323" s="43"/>
    </row>
    <row r="324" spans="5:43" s="2" customFormat="1">
      <c r="E324" s="299"/>
      <c r="F324" s="299"/>
      <c r="G324" s="299"/>
      <c r="H324" s="299"/>
      <c r="L324" s="3"/>
      <c r="M324" s="3"/>
      <c r="N324" s="3"/>
      <c r="O324" s="3"/>
      <c r="P324" s="3"/>
      <c r="Q324" s="3"/>
      <c r="R324" s="3"/>
      <c r="S324" s="3"/>
      <c r="T324" s="3"/>
      <c r="AP324" s="43"/>
      <c r="AQ324" s="43"/>
    </row>
    <row r="325" spans="5:43" s="2" customFormat="1">
      <c r="E325" s="299"/>
      <c r="F325" s="299"/>
      <c r="G325" s="299"/>
      <c r="H325" s="299"/>
      <c r="L325" s="3"/>
      <c r="M325" s="3"/>
      <c r="N325" s="3"/>
      <c r="O325" s="3"/>
      <c r="P325" s="3"/>
      <c r="Q325" s="3"/>
      <c r="R325" s="3"/>
      <c r="S325" s="3"/>
      <c r="T325" s="3"/>
      <c r="AP325" s="43"/>
      <c r="AQ325" s="43"/>
    </row>
    <row r="326" spans="5:43" s="2" customFormat="1">
      <c r="E326" s="299"/>
      <c r="F326" s="299"/>
      <c r="G326" s="299"/>
      <c r="H326" s="299"/>
      <c r="L326" s="3"/>
      <c r="M326" s="3"/>
      <c r="N326" s="3"/>
      <c r="O326" s="3"/>
      <c r="P326" s="3"/>
      <c r="Q326" s="3"/>
      <c r="R326" s="3"/>
      <c r="S326" s="3"/>
      <c r="T326" s="3"/>
      <c r="AP326" s="43"/>
      <c r="AQ326" s="43"/>
    </row>
    <row r="327" spans="5:43" s="2" customFormat="1">
      <c r="E327" s="299"/>
      <c r="F327" s="299"/>
      <c r="G327" s="299"/>
      <c r="H327" s="299"/>
      <c r="L327" s="3"/>
      <c r="M327" s="3"/>
      <c r="N327" s="3"/>
      <c r="O327" s="3"/>
      <c r="P327" s="3"/>
      <c r="Q327" s="3"/>
      <c r="R327" s="3"/>
      <c r="S327" s="3"/>
      <c r="T327" s="3"/>
      <c r="AP327" s="43"/>
      <c r="AQ327" s="43"/>
    </row>
    <row r="328" spans="5:43" s="2" customFormat="1">
      <c r="E328" s="299"/>
      <c r="F328" s="299"/>
      <c r="G328" s="299"/>
      <c r="H328" s="299"/>
      <c r="L328" s="3"/>
      <c r="M328" s="3"/>
      <c r="N328" s="3"/>
      <c r="O328" s="3"/>
      <c r="P328" s="3"/>
      <c r="Q328" s="3"/>
      <c r="R328" s="3"/>
      <c r="S328" s="3"/>
      <c r="T328" s="3"/>
      <c r="AP328" s="43"/>
      <c r="AQ328" s="43"/>
    </row>
    <row r="329" spans="5:43" s="2" customFormat="1">
      <c r="E329" s="299"/>
      <c r="F329" s="299"/>
      <c r="G329" s="299"/>
      <c r="H329" s="299"/>
      <c r="L329" s="3"/>
      <c r="M329" s="3"/>
      <c r="N329" s="3"/>
      <c r="O329" s="3"/>
      <c r="P329" s="3"/>
      <c r="Q329" s="3"/>
      <c r="R329" s="3"/>
      <c r="S329" s="3"/>
      <c r="T329" s="3"/>
      <c r="AP329" s="43"/>
      <c r="AQ329" s="43"/>
    </row>
    <row r="330" spans="5:43" s="2" customFormat="1">
      <c r="E330" s="299"/>
      <c r="F330" s="299"/>
      <c r="G330" s="299"/>
      <c r="H330" s="299"/>
      <c r="L330" s="3"/>
      <c r="M330" s="3"/>
      <c r="N330" s="3"/>
      <c r="O330" s="3"/>
      <c r="P330" s="3"/>
      <c r="Q330" s="3"/>
      <c r="R330" s="3"/>
      <c r="S330" s="3"/>
      <c r="T330" s="3"/>
      <c r="AP330" s="43"/>
      <c r="AQ330" s="43"/>
    </row>
    <row r="331" spans="5:43" s="2" customFormat="1">
      <c r="E331" s="299"/>
      <c r="F331" s="299"/>
      <c r="G331" s="299"/>
      <c r="H331" s="299"/>
      <c r="L331" s="3"/>
      <c r="M331" s="3"/>
      <c r="N331" s="3"/>
      <c r="O331" s="3"/>
      <c r="P331" s="3"/>
      <c r="Q331" s="3"/>
      <c r="R331" s="3"/>
      <c r="S331" s="3"/>
      <c r="T331" s="3"/>
      <c r="AP331" s="43"/>
      <c r="AQ331" s="43"/>
    </row>
    <row r="332" spans="5:43" s="2" customFormat="1">
      <c r="E332" s="299"/>
      <c r="F332" s="299"/>
      <c r="G332" s="299"/>
      <c r="H332" s="299"/>
      <c r="L332" s="3"/>
      <c r="M332" s="3"/>
      <c r="N332" s="3"/>
      <c r="O332" s="3"/>
      <c r="P332" s="3"/>
      <c r="Q332" s="3"/>
      <c r="R332" s="3"/>
      <c r="S332" s="3"/>
      <c r="T332" s="3"/>
      <c r="AP332" s="43"/>
      <c r="AQ332" s="43"/>
    </row>
    <row r="333" spans="5:43" s="2" customFormat="1">
      <c r="E333" s="299"/>
      <c r="F333" s="299"/>
      <c r="G333" s="299"/>
      <c r="H333" s="299"/>
      <c r="L333" s="3"/>
      <c r="M333" s="3"/>
      <c r="N333" s="3"/>
      <c r="O333" s="3"/>
      <c r="P333" s="3"/>
      <c r="Q333" s="3"/>
      <c r="R333" s="3"/>
      <c r="S333" s="3"/>
      <c r="T333" s="3"/>
      <c r="AP333" s="43"/>
      <c r="AQ333" s="43"/>
    </row>
    <row r="334" spans="5:43" s="2" customFormat="1">
      <c r="E334" s="299"/>
      <c r="F334" s="299"/>
      <c r="G334" s="299"/>
      <c r="H334" s="299"/>
      <c r="L334" s="3"/>
      <c r="M334" s="3"/>
      <c r="N334" s="3"/>
      <c r="O334" s="3"/>
      <c r="P334" s="3"/>
      <c r="Q334" s="3"/>
      <c r="R334" s="3"/>
      <c r="S334" s="3"/>
      <c r="T334" s="3"/>
      <c r="AP334" s="43"/>
      <c r="AQ334" s="43"/>
    </row>
    <row r="335" spans="5:43" s="2" customFormat="1">
      <c r="E335" s="299"/>
      <c r="F335" s="299"/>
      <c r="G335" s="299"/>
      <c r="H335" s="299"/>
      <c r="L335" s="3"/>
      <c r="M335" s="3"/>
      <c r="N335" s="3"/>
      <c r="O335" s="3"/>
      <c r="P335" s="3"/>
      <c r="Q335" s="3"/>
      <c r="R335" s="3"/>
      <c r="S335" s="3"/>
      <c r="T335" s="3"/>
      <c r="AP335" s="43"/>
      <c r="AQ335" s="43"/>
    </row>
    <row r="336" spans="5:43" s="2" customFormat="1">
      <c r="E336" s="299"/>
      <c r="F336" s="299"/>
      <c r="G336" s="299"/>
      <c r="H336" s="299"/>
      <c r="L336" s="3"/>
      <c r="M336" s="3"/>
      <c r="N336" s="3"/>
      <c r="O336" s="3"/>
      <c r="P336" s="3"/>
      <c r="Q336" s="3"/>
      <c r="R336" s="3"/>
      <c r="S336" s="3"/>
      <c r="T336" s="3"/>
      <c r="AP336" s="43"/>
      <c r="AQ336" s="43"/>
    </row>
    <row r="337" spans="5:43" s="2" customFormat="1">
      <c r="E337" s="299"/>
      <c r="F337" s="299"/>
      <c r="G337" s="299"/>
      <c r="H337" s="299"/>
      <c r="L337" s="3"/>
      <c r="M337" s="3"/>
      <c r="N337" s="3"/>
      <c r="O337" s="3"/>
      <c r="P337" s="3"/>
      <c r="Q337" s="3"/>
      <c r="R337" s="3"/>
      <c r="S337" s="3"/>
      <c r="T337" s="3"/>
      <c r="AP337" s="43"/>
      <c r="AQ337" s="43"/>
    </row>
    <row r="338" spans="5:43" s="2" customFormat="1">
      <c r="E338" s="299"/>
      <c r="F338" s="299"/>
      <c r="G338" s="299"/>
      <c r="H338" s="299"/>
      <c r="L338" s="3"/>
      <c r="M338" s="3"/>
      <c r="N338" s="3"/>
      <c r="O338" s="3"/>
      <c r="P338" s="3"/>
      <c r="Q338" s="3"/>
      <c r="R338" s="3"/>
      <c r="S338" s="3"/>
      <c r="T338" s="3"/>
      <c r="AP338" s="43"/>
      <c r="AQ338" s="43"/>
    </row>
    <row r="339" spans="5:43" s="2" customFormat="1">
      <c r="E339" s="299"/>
      <c r="F339" s="299"/>
      <c r="G339" s="299"/>
      <c r="H339" s="299"/>
      <c r="L339" s="3"/>
      <c r="M339" s="3"/>
      <c r="N339" s="3"/>
      <c r="O339" s="3"/>
      <c r="P339" s="3"/>
      <c r="Q339" s="3"/>
      <c r="R339" s="3"/>
      <c r="S339" s="3"/>
      <c r="T339" s="3"/>
      <c r="AP339" s="43"/>
      <c r="AQ339" s="43"/>
    </row>
    <row r="340" spans="5:43" s="2" customFormat="1">
      <c r="E340" s="299"/>
      <c r="F340" s="299"/>
      <c r="G340" s="299"/>
      <c r="H340" s="299"/>
      <c r="L340" s="3"/>
      <c r="M340" s="3"/>
      <c r="N340" s="3"/>
      <c r="O340" s="3"/>
      <c r="P340" s="3"/>
      <c r="Q340" s="3"/>
      <c r="R340" s="3"/>
      <c r="S340" s="3"/>
      <c r="T340" s="3"/>
      <c r="AP340" s="43"/>
      <c r="AQ340" s="43"/>
    </row>
    <row r="341" spans="5:43" s="2" customFormat="1">
      <c r="E341" s="299"/>
      <c r="F341" s="299"/>
      <c r="G341" s="299"/>
      <c r="H341" s="299"/>
      <c r="L341" s="3"/>
      <c r="M341" s="3"/>
      <c r="N341" s="3"/>
      <c r="O341" s="3"/>
      <c r="P341" s="3"/>
      <c r="Q341" s="3"/>
      <c r="R341" s="3"/>
      <c r="S341" s="3"/>
      <c r="T341" s="3"/>
      <c r="AP341" s="43"/>
      <c r="AQ341" s="43"/>
    </row>
    <row r="342" spans="5:43" s="2" customFormat="1">
      <c r="E342" s="299"/>
      <c r="F342" s="299"/>
      <c r="G342" s="299"/>
      <c r="H342" s="299"/>
      <c r="L342" s="3"/>
      <c r="M342" s="3"/>
      <c r="N342" s="3"/>
      <c r="O342" s="3"/>
      <c r="P342" s="3"/>
      <c r="Q342" s="3"/>
      <c r="R342" s="3"/>
      <c r="S342" s="3"/>
      <c r="T342" s="3"/>
      <c r="AP342" s="43"/>
      <c r="AQ342" s="43"/>
    </row>
    <row r="343" spans="5:43" s="2" customFormat="1">
      <c r="E343" s="299"/>
      <c r="F343" s="299"/>
      <c r="G343" s="299"/>
      <c r="H343" s="299"/>
      <c r="L343" s="3"/>
      <c r="M343" s="3"/>
      <c r="N343" s="3"/>
      <c r="O343" s="3"/>
      <c r="P343" s="3"/>
      <c r="Q343" s="3"/>
      <c r="R343" s="3"/>
      <c r="S343" s="3"/>
      <c r="T343" s="3"/>
      <c r="AP343" s="43"/>
      <c r="AQ343" s="43"/>
    </row>
    <row r="344" spans="5:43" s="2" customFormat="1">
      <c r="E344" s="299"/>
      <c r="F344" s="299"/>
      <c r="G344" s="299"/>
      <c r="H344" s="299"/>
      <c r="L344" s="3"/>
      <c r="M344" s="3"/>
      <c r="N344" s="3"/>
      <c r="O344" s="3"/>
      <c r="P344" s="3"/>
      <c r="Q344" s="3"/>
      <c r="R344" s="3"/>
      <c r="S344" s="3"/>
      <c r="T344" s="3"/>
      <c r="AP344" s="43"/>
      <c r="AQ344" s="43"/>
    </row>
    <row r="345" spans="5:43" s="2" customFormat="1">
      <c r="E345" s="299"/>
      <c r="F345" s="299"/>
      <c r="G345" s="299"/>
      <c r="H345" s="299"/>
      <c r="L345" s="3"/>
      <c r="M345" s="3"/>
      <c r="N345" s="3"/>
      <c r="O345" s="3"/>
      <c r="P345" s="3"/>
      <c r="Q345" s="3"/>
      <c r="R345" s="3"/>
      <c r="S345" s="3"/>
      <c r="T345" s="3"/>
      <c r="AP345" s="43"/>
      <c r="AQ345" s="43"/>
    </row>
    <row r="346" spans="5:43" s="2" customFormat="1">
      <c r="E346" s="299"/>
      <c r="F346" s="299"/>
      <c r="G346" s="299"/>
      <c r="H346" s="299"/>
      <c r="L346" s="3"/>
      <c r="M346" s="3"/>
      <c r="N346" s="3"/>
      <c r="O346" s="3"/>
      <c r="P346" s="3"/>
      <c r="Q346" s="3"/>
      <c r="R346" s="3"/>
      <c r="S346" s="3"/>
      <c r="T346" s="3"/>
      <c r="AP346" s="43"/>
      <c r="AQ346" s="43"/>
    </row>
    <row r="347" spans="5:43" s="2" customFormat="1">
      <c r="E347" s="299"/>
      <c r="F347" s="299"/>
      <c r="G347" s="299"/>
      <c r="H347" s="299"/>
      <c r="L347" s="3"/>
      <c r="M347" s="3"/>
      <c r="N347" s="3"/>
      <c r="O347" s="3"/>
      <c r="P347" s="3"/>
      <c r="Q347" s="3"/>
      <c r="R347" s="3"/>
      <c r="S347" s="3"/>
      <c r="T347" s="3"/>
      <c r="AP347" s="43"/>
      <c r="AQ347" s="43"/>
    </row>
    <row r="348" spans="5:43" s="2" customFormat="1">
      <c r="E348" s="299"/>
      <c r="F348" s="299"/>
      <c r="G348" s="299"/>
      <c r="H348" s="299"/>
      <c r="L348" s="3"/>
      <c r="M348" s="3"/>
      <c r="N348" s="3"/>
      <c r="O348" s="3"/>
      <c r="P348" s="3"/>
      <c r="Q348" s="3"/>
      <c r="R348" s="3"/>
      <c r="S348" s="3"/>
      <c r="T348" s="3"/>
      <c r="AP348" s="43"/>
      <c r="AQ348" s="43"/>
    </row>
    <row r="349" spans="5:43" s="2" customFormat="1">
      <c r="E349" s="299"/>
      <c r="F349" s="299"/>
      <c r="G349" s="299"/>
      <c r="H349" s="299"/>
      <c r="L349" s="3"/>
      <c r="M349" s="3"/>
      <c r="N349" s="3"/>
      <c r="O349" s="3"/>
      <c r="P349" s="3"/>
      <c r="Q349" s="3"/>
      <c r="R349" s="3"/>
      <c r="S349" s="3"/>
      <c r="T349" s="3"/>
      <c r="AP349" s="43"/>
      <c r="AQ349" s="43"/>
    </row>
    <row r="350" spans="5:43" s="2" customFormat="1">
      <c r="E350" s="299"/>
      <c r="F350" s="299"/>
      <c r="G350" s="299"/>
      <c r="H350" s="299"/>
      <c r="L350" s="3"/>
      <c r="M350" s="3"/>
      <c r="N350" s="3"/>
      <c r="O350" s="3"/>
      <c r="P350" s="3"/>
      <c r="Q350" s="3"/>
      <c r="R350" s="3"/>
      <c r="S350" s="3"/>
      <c r="T350" s="3"/>
      <c r="AP350" s="43"/>
      <c r="AQ350" s="43"/>
    </row>
    <row r="351" spans="5:43" s="2" customFormat="1">
      <c r="E351" s="299"/>
      <c r="F351" s="299"/>
      <c r="G351" s="299"/>
      <c r="H351" s="299"/>
      <c r="L351" s="3"/>
      <c r="M351" s="3"/>
      <c r="N351" s="3"/>
      <c r="O351" s="3"/>
      <c r="P351" s="3"/>
      <c r="Q351" s="3"/>
      <c r="R351" s="3"/>
      <c r="S351" s="3"/>
      <c r="T351" s="3"/>
      <c r="AP351" s="43"/>
      <c r="AQ351" s="43"/>
    </row>
    <row r="352" spans="5:43" s="2" customFormat="1">
      <c r="E352" s="299"/>
      <c r="F352" s="299"/>
      <c r="G352" s="299"/>
      <c r="H352" s="299"/>
      <c r="L352" s="3"/>
      <c r="M352" s="3"/>
      <c r="N352" s="3"/>
      <c r="O352" s="3"/>
      <c r="P352" s="3"/>
      <c r="Q352" s="3"/>
      <c r="R352" s="3"/>
      <c r="S352" s="3"/>
      <c r="T352" s="3"/>
      <c r="AP352" s="43"/>
      <c r="AQ352" s="43"/>
    </row>
    <row r="353" spans="5:43" s="2" customFormat="1">
      <c r="E353" s="299"/>
      <c r="F353" s="299"/>
      <c r="G353" s="299"/>
      <c r="H353" s="299"/>
      <c r="L353" s="3"/>
      <c r="M353" s="3"/>
      <c r="N353" s="3"/>
      <c r="O353" s="3"/>
      <c r="P353" s="3"/>
      <c r="Q353" s="3"/>
      <c r="R353" s="3"/>
      <c r="S353" s="3"/>
      <c r="T353" s="3"/>
      <c r="AP353" s="43"/>
      <c r="AQ353" s="43"/>
    </row>
    <row r="354" spans="5:43" s="2" customFormat="1">
      <c r="E354" s="299"/>
      <c r="F354" s="299"/>
      <c r="G354" s="299"/>
      <c r="H354" s="299"/>
      <c r="L354" s="3"/>
      <c r="M354" s="3"/>
      <c r="N354" s="3"/>
      <c r="O354" s="3"/>
      <c r="P354" s="3"/>
      <c r="Q354" s="3"/>
      <c r="R354" s="3"/>
      <c r="S354" s="3"/>
      <c r="T354" s="3"/>
      <c r="AP354" s="43"/>
      <c r="AQ354" s="43"/>
    </row>
    <row r="355" spans="5:43" s="2" customFormat="1">
      <c r="E355" s="299"/>
      <c r="F355" s="299"/>
      <c r="G355" s="299"/>
      <c r="H355" s="299"/>
      <c r="L355" s="3"/>
      <c r="M355" s="3"/>
      <c r="N355" s="3"/>
      <c r="O355" s="3"/>
      <c r="P355" s="3"/>
      <c r="Q355" s="3"/>
      <c r="R355" s="3"/>
      <c r="S355" s="3"/>
      <c r="T355" s="3"/>
      <c r="AP355" s="43"/>
      <c r="AQ355" s="43"/>
    </row>
    <row r="356" spans="5:43" s="2" customFormat="1">
      <c r="E356" s="299"/>
      <c r="F356" s="299"/>
      <c r="G356" s="299"/>
      <c r="H356" s="299"/>
      <c r="L356" s="3"/>
      <c r="M356" s="3"/>
      <c r="N356" s="3"/>
      <c r="O356" s="3"/>
      <c r="P356" s="3"/>
      <c r="Q356" s="3"/>
      <c r="R356" s="3"/>
      <c r="S356" s="3"/>
      <c r="T356" s="3"/>
      <c r="AP356" s="43"/>
      <c r="AQ356" s="43"/>
    </row>
    <row r="357" spans="5:43" s="2" customFormat="1">
      <c r="E357" s="299"/>
      <c r="F357" s="299"/>
      <c r="G357" s="299"/>
      <c r="H357" s="299"/>
      <c r="L357" s="3"/>
      <c r="M357" s="3"/>
      <c r="N357" s="3"/>
      <c r="O357" s="3"/>
      <c r="P357" s="3"/>
      <c r="Q357" s="3"/>
      <c r="R357" s="3"/>
      <c r="S357" s="3"/>
      <c r="T357" s="3"/>
      <c r="AP357" s="43"/>
      <c r="AQ357" s="43"/>
    </row>
    <row r="358" spans="5:43" s="2" customFormat="1">
      <c r="E358" s="299"/>
      <c r="F358" s="299"/>
      <c r="G358" s="299"/>
      <c r="H358" s="299"/>
      <c r="L358" s="3"/>
      <c r="M358" s="3"/>
      <c r="N358" s="3"/>
      <c r="O358" s="3"/>
      <c r="P358" s="3"/>
      <c r="Q358" s="3"/>
      <c r="R358" s="3"/>
      <c r="S358" s="3"/>
      <c r="T358" s="3"/>
      <c r="AP358" s="43"/>
      <c r="AQ358" s="43"/>
    </row>
    <row r="359" spans="5:43" s="2" customFormat="1">
      <c r="E359" s="299"/>
      <c r="F359" s="299"/>
      <c r="G359" s="299"/>
      <c r="H359" s="299"/>
      <c r="L359" s="3"/>
      <c r="M359" s="3"/>
      <c r="N359" s="3"/>
      <c r="O359" s="3"/>
      <c r="P359" s="3"/>
      <c r="Q359" s="3"/>
      <c r="R359" s="3"/>
      <c r="S359" s="3"/>
      <c r="T359" s="3"/>
      <c r="AP359" s="43"/>
      <c r="AQ359" s="43"/>
    </row>
    <row r="360" spans="5:43" s="2" customFormat="1">
      <c r="E360" s="299"/>
      <c r="F360" s="299"/>
      <c r="G360" s="299"/>
      <c r="H360" s="299"/>
      <c r="L360" s="3"/>
      <c r="M360" s="3"/>
      <c r="N360" s="3"/>
      <c r="O360" s="3"/>
      <c r="P360" s="3"/>
      <c r="Q360" s="3"/>
      <c r="R360" s="3"/>
      <c r="S360" s="3"/>
      <c r="T360" s="3"/>
      <c r="AP360" s="43"/>
      <c r="AQ360" s="43"/>
    </row>
    <row r="361" spans="5:43" s="2" customFormat="1">
      <c r="E361" s="299"/>
      <c r="F361" s="299"/>
      <c r="G361" s="299"/>
      <c r="H361" s="299"/>
      <c r="L361" s="3"/>
      <c r="M361" s="3"/>
      <c r="N361" s="3"/>
      <c r="O361" s="3"/>
      <c r="P361" s="3"/>
      <c r="Q361" s="3"/>
      <c r="R361" s="3"/>
      <c r="S361" s="3"/>
      <c r="T361" s="3"/>
      <c r="AP361" s="43"/>
      <c r="AQ361" s="43"/>
    </row>
    <row r="362" spans="5:43" s="2" customFormat="1">
      <c r="E362" s="299"/>
      <c r="F362" s="299"/>
      <c r="G362" s="299"/>
      <c r="H362" s="299"/>
      <c r="L362" s="3"/>
      <c r="M362" s="3"/>
      <c r="N362" s="3"/>
      <c r="O362" s="3"/>
      <c r="P362" s="3"/>
      <c r="Q362" s="3"/>
      <c r="R362" s="3"/>
      <c r="S362" s="3"/>
      <c r="T362" s="3"/>
      <c r="AP362" s="43"/>
      <c r="AQ362" s="43"/>
    </row>
    <row r="363" spans="5:43" s="2" customFormat="1">
      <c r="E363" s="299"/>
      <c r="F363" s="299"/>
      <c r="G363" s="299"/>
      <c r="H363" s="299"/>
      <c r="L363" s="3"/>
      <c r="M363" s="3"/>
      <c r="N363" s="3"/>
      <c r="O363" s="3"/>
      <c r="P363" s="3"/>
      <c r="Q363" s="3"/>
      <c r="R363" s="3"/>
      <c r="S363" s="3"/>
      <c r="T363" s="3"/>
      <c r="AP363" s="43"/>
      <c r="AQ363" s="43"/>
    </row>
    <row r="364" spans="5:43" s="2" customFormat="1">
      <c r="E364" s="299"/>
      <c r="F364" s="299"/>
      <c r="G364" s="299"/>
      <c r="H364" s="299"/>
      <c r="L364" s="3"/>
      <c r="M364" s="3"/>
      <c r="N364" s="3"/>
      <c r="O364" s="3"/>
      <c r="P364" s="3"/>
      <c r="Q364" s="3"/>
      <c r="R364" s="3"/>
      <c r="S364" s="3"/>
      <c r="T364" s="3"/>
      <c r="AP364" s="43"/>
      <c r="AQ364" s="43"/>
    </row>
    <row r="365" spans="5:43" s="2" customFormat="1">
      <c r="E365" s="299"/>
      <c r="F365" s="299"/>
      <c r="G365" s="299"/>
      <c r="H365" s="299"/>
      <c r="L365" s="3"/>
      <c r="M365" s="3"/>
      <c r="N365" s="3"/>
      <c r="O365" s="3"/>
      <c r="P365" s="3"/>
      <c r="Q365" s="3"/>
      <c r="R365" s="3"/>
      <c r="S365" s="3"/>
      <c r="T365" s="3"/>
      <c r="AP365" s="43"/>
      <c r="AQ365" s="43"/>
    </row>
    <row r="366" spans="5:43" s="2" customFormat="1">
      <c r="E366" s="299"/>
      <c r="F366" s="299"/>
      <c r="G366" s="299"/>
      <c r="H366" s="299"/>
      <c r="L366" s="3"/>
      <c r="M366" s="3"/>
      <c r="N366" s="3"/>
      <c r="O366" s="3"/>
      <c r="P366" s="3"/>
      <c r="Q366" s="3"/>
      <c r="R366" s="3"/>
      <c r="S366" s="3"/>
      <c r="T366" s="3"/>
      <c r="AP366" s="43"/>
      <c r="AQ366" s="43"/>
    </row>
    <row r="367" spans="5:43" s="2" customFormat="1">
      <c r="E367" s="299"/>
      <c r="F367" s="299"/>
      <c r="G367" s="299"/>
      <c r="H367" s="299"/>
      <c r="L367" s="3"/>
      <c r="M367" s="3"/>
      <c r="N367" s="3"/>
      <c r="O367" s="3"/>
      <c r="P367" s="3"/>
      <c r="Q367" s="3"/>
      <c r="R367" s="3"/>
      <c r="S367" s="3"/>
      <c r="T367" s="3"/>
      <c r="AP367" s="43"/>
      <c r="AQ367" s="43"/>
    </row>
    <row r="368" spans="5:43" s="2" customFormat="1">
      <c r="E368" s="299"/>
      <c r="F368" s="299"/>
      <c r="G368" s="299"/>
      <c r="H368" s="299"/>
      <c r="L368" s="3"/>
      <c r="M368" s="3"/>
      <c r="N368" s="3"/>
      <c r="O368" s="3"/>
      <c r="P368" s="3"/>
      <c r="Q368" s="3"/>
      <c r="R368" s="3"/>
      <c r="S368" s="3"/>
      <c r="T368" s="3"/>
      <c r="AP368" s="43"/>
      <c r="AQ368" s="43"/>
    </row>
    <row r="369" spans="5:43" s="2" customFormat="1">
      <c r="E369" s="299"/>
      <c r="F369" s="299"/>
      <c r="G369" s="299"/>
      <c r="H369" s="299"/>
      <c r="L369" s="3"/>
      <c r="M369" s="3"/>
      <c r="N369" s="3"/>
      <c r="O369" s="3"/>
      <c r="P369" s="3"/>
      <c r="Q369" s="3"/>
      <c r="R369" s="3"/>
      <c r="S369" s="3"/>
      <c r="T369" s="3"/>
      <c r="AP369" s="43"/>
      <c r="AQ369" s="43"/>
    </row>
    <row r="370" spans="5:43" s="2" customFormat="1">
      <c r="E370" s="299"/>
      <c r="F370" s="299"/>
      <c r="G370" s="299"/>
      <c r="H370" s="299"/>
      <c r="L370" s="3"/>
      <c r="M370" s="3"/>
      <c r="N370" s="3"/>
      <c r="O370" s="3"/>
      <c r="P370" s="3"/>
      <c r="Q370" s="3"/>
      <c r="R370" s="3"/>
      <c r="S370" s="3"/>
      <c r="T370" s="3"/>
      <c r="AP370" s="43"/>
      <c r="AQ370" s="43"/>
    </row>
    <row r="371" spans="5:43" s="2" customFormat="1">
      <c r="E371" s="299"/>
      <c r="F371" s="299"/>
      <c r="G371" s="299"/>
      <c r="H371" s="299"/>
      <c r="L371" s="3"/>
      <c r="M371" s="3"/>
      <c r="N371" s="3"/>
      <c r="O371" s="3"/>
      <c r="P371" s="3"/>
      <c r="Q371" s="3"/>
      <c r="R371" s="3"/>
      <c r="S371" s="3"/>
      <c r="T371" s="3"/>
      <c r="AP371" s="43"/>
      <c r="AQ371" s="43"/>
    </row>
    <row r="372" spans="5:43" s="2" customFormat="1">
      <c r="E372" s="299"/>
      <c r="F372" s="299"/>
      <c r="G372" s="299"/>
      <c r="H372" s="299"/>
      <c r="L372" s="3"/>
      <c r="M372" s="3"/>
      <c r="N372" s="3"/>
      <c r="O372" s="3"/>
      <c r="P372" s="3"/>
      <c r="Q372" s="3"/>
      <c r="R372" s="3"/>
      <c r="S372" s="3"/>
      <c r="T372" s="3"/>
      <c r="AP372" s="43"/>
      <c r="AQ372" s="43"/>
    </row>
    <row r="373" spans="5:43" s="2" customFormat="1">
      <c r="E373" s="299"/>
      <c r="F373" s="299"/>
      <c r="G373" s="299"/>
      <c r="H373" s="299"/>
      <c r="L373" s="3"/>
      <c r="M373" s="3"/>
      <c r="N373" s="3"/>
      <c r="O373" s="3"/>
      <c r="P373" s="3"/>
      <c r="Q373" s="3"/>
      <c r="R373" s="3"/>
      <c r="S373" s="3"/>
      <c r="T373" s="3"/>
      <c r="AP373" s="43"/>
      <c r="AQ373" s="43"/>
    </row>
    <row r="374" spans="5:43" s="2" customFormat="1">
      <c r="E374" s="299"/>
      <c r="F374" s="299"/>
      <c r="G374" s="299"/>
      <c r="H374" s="299"/>
      <c r="L374" s="3"/>
      <c r="M374" s="3"/>
      <c r="N374" s="3"/>
      <c r="O374" s="3"/>
      <c r="P374" s="3"/>
      <c r="Q374" s="3"/>
      <c r="R374" s="3"/>
      <c r="S374" s="3"/>
      <c r="T374" s="3"/>
      <c r="AP374" s="43"/>
      <c r="AQ374" s="43"/>
    </row>
    <row r="375" spans="5:43" s="2" customFormat="1">
      <c r="E375" s="299"/>
      <c r="F375" s="299"/>
      <c r="G375" s="299"/>
      <c r="H375" s="299"/>
      <c r="L375" s="3"/>
      <c r="M375" s="3"/>
      <c r="N375" s="3"/>
      <c r="O375" s="3"/>
      <c r="P375" s="3"/>
      <c r="Q375" s="3"/>
      <c r="R375" s="3"/>
      <c r="S375" s="3"/>
      <c r="T375" s="3"/>
      <c r="AP375" s="43"/>
      <c r="AQ375" s="43"/>
    </row>
    <row r="376" spans="5:43" s="2" customFormat="1">
      <c r="E376" s="299"/>
      <c r="F376" s="299"/>
      <c r="G376" s="299"/>
      <c r="H376" s="299"/>
      <c r="L376" s="3"/>
      <c r="M376" s="3"/>
      <c r="N376" s="3"/>
      <c r="O376" s="3"/>
      <c r="P376" s="3"/>
      <c r="Q376" s="3"/>
      <c r="R376" s="3"/>
      <c r="S376" s="3"/>
      <c r="T376" s="3"/>
      <c r="AP376" s="43"/>
      <c r="AQ376" s="43"/>
    </row>
    <row r="377" spans="5:43" s="2" customFormat="1">
      <c r="E377" s="299"/>
      <c r="F377" s="299"/>
      <c r="G377" s="299"/>
      <c r="H377" s="299"/>
      <c r="L377" s="3"/>
      <c r="M377" s="3"/>
      <c r="N377" s="3"/>
      <c r="O377" s="3"/>
      <c r="P377" s="3"/>
      <c r="Q377" s="3"/>
      <c r="R377" s="3"/>
      <c r="S377" s="3"/>
      <c r="T377" s="3"/>
      <c r="AP377" s="43"/>
      <c r="AQ377" s="43"/>
    </row>
    <row r="378" spans="5:43" s="2" customFormat="1">
      <c r="E378" s="299"/>
      <c r="F378" s="299"/>
      <c r="G378" s="299"/>
      <c r="H378" s="299"/>
      <c r="L378" s="3"/>
      <c r="M378" s="3"/>
      <c r="N378" s="3"/>
      <c r="O378" s="3"/>
      <c r="P378" s="3"/>
      <c r="Q378" s="3"/>
      <c r="R378" s="3"/>
      <c r="S378" s="3"/>
      <c r="T378" s="3"/>
      <c r="AP378" s="43"/>
      <c r="AQ378" s="43"/>
    </row>
    <row r="379" spans="5:43" s="2" customFormat="1">
      <c r="E379" s="299"/>
      <c r="F379" s="299"/>
      <c r="G379" s="299"/>
      <c r="H379" s="299"/>
      <c r="L379" s="3"/>
      <c r="M379" s="3"/>
      <c r="N379" s="3"/>
      <c r="O379" s="3"/>
      <c r="P379" s="3"/>
      <c r="Q379" s="3"/>
      <c r="R379" s="3"/>
      <c r="S379" s="3"/>
      <c r="T379" s="3"/>
      <c r="AP379" s="43"/>
      <c r="AQ379" s="43"/>
    </row>
    <row r="380" spans="5:43" s="2" customFormat="1">
      <c r="E380" s="299"/>
      <c r="F380" s="299"/>
      <c r="G380" s="299"/>
      <c r="H380" s="299"/>
      <c r="L380" s="3"/>
      <c r="M380" s="3"/>
      <c r="N380" s="3"/>
      <c r="O380" s="3"/>
      <c r="P380" s="3"/>
      <c r="Q380" s="3"/>
      <c r="R380" s="3"/>
      <c r="S380" s="3"/>
      <c r="T380" s="3"/>
      <c r="AP380" s="43"/>
      <c r="AQ380" s="43"/>
    </row>
    <row r="381" spans="5:43" s="2" customFormat="1">
      <c r="E381" s="299"/>
      <c r="F381" s="299"/>
      <c r="G381" s="299"/>
      <c r="H381" s="299"/>
      <c r="L381" s="3"/>
      <c r="M381" s="3"/>
      <c r="N381" s="3"/>
      <c r="O381" s="3"/>
      <c r="P381" s="3"/>
      <c r="Q381" s="3"/>
      <c r="R381" s="3"/>
      <c r="S381" s="3"/>
      <c r="T381" s="3"/>
      <c r="AP381" s="43"/>
      <c r="AQ381" s="43"/>
    </row>
    <row r="382" spans="5:43" s="2" customFormat="1">
      <c r="E382" s="299"/>
      <c r="F382" s="299"/>
      <c r="G382" s="299"/>
      <c r="H382" s="299"/>
      <c r="L382" s="3"/>
      <c r="M382" s="3"/>
      <c r="N382" s="3"/>
      <c r="O382" s="3"/>
      <c r="P382" s="3"/>
      <c r="Q382" s="3"/>
      <c r="R382" s="3"/>
      <c r="S382" s="3"/>
      <c r="T382" s="3"/>
      <c r="AP382" s="43"/>
      <c r="AQ382" s="43"/>
    </row>
    <row r="383" spans="5:43" s="2" customFormat="1">
      <c r="E383" s="299"/>
      <c r="F383" s="299"/>
      <c r="G383" s="299"/>
      <c r="H383" s="299"/>
      <c r="L383" s="3"/>
      <c r="M383" s="3"/>
      <c r="N383" s="3"/>
      <c r="O383" s="3"/>
      <c r="P383" s="3"/>
      <c r="Q383" s="3"/>
      <c r="R383" s="3"/>
      <c r="S383" s="3"/>
      <c r="T383" s="3"/>
      <c r="AP383" s="43"/>
      <c r="AQ383" s="43"/>
    </row>
    <row r="384" spans="5:43" s="2" customFormat="1">
      <c r="E384" s="299"/>
      <c r="F384" s="299"/>
      <c r="G384" s="299"/>
      <c r="H384" s="299"/>
      <c r="L384" s="3"/>
      <c r="M384" s="3"/>
      <c r="N384" s="3"/>
      <c r="O384" s="3"/>
      <c r="P384" s="3"/>
      <c r="Q384" s="3"/>
      <c r="R384" s="3"/>
      <c r="S384" s="3"/>
      <c r="T384" s="3"/>
      <c r="AP384" s="43"/>
      <c r="AQ384" s="43"/>
    </row>
    <row r="385" spans="5:43" s="2" customFormat="1">
      <c r="E385" s="299"/>
      <c r="F385" s="299"/>
      <c r="G385" s="299"/>
      <c r="H385" s="299"/>
      <c r="L385" s="3"/>
      <c r="M385" s="3"/>
      <c r="N385" s="3"/>
      <c r="O385" s="3"/>
      <c r="P385" s="3"/>
      <c r="Q385" s="3"/>
      <c r="R385" s="3"/>
      <c r="S385" s="3"/>
      <c r="T385" s="3"/>
      <c r="AP385" s="43"/>
      <c r="AQ385" s="43"/>
    </row>
    <row r="386" spans="5:43" s="2" customFormat="1">
      <c r="E386" s="299"/>
      <c r="F386" s="299"/>
      <c r="G386" s="299"/>
      <c r="H386" s="299"/>
      <c r="L386" s="3"/>
      <c r="M386" s="3"/>
      <c r="N386" s="3"/>
      <c r="O386" s="3"/>
      <c r="P386" s="3"/>
      <c r="Q386" s="3"/>
      <c r="R386" s="3"/>
      <c r="S386" s="3"/>
      <c r="T386" s="3"/>
      <c r="AP386" s="43"/>
      <c r="AQ386" s="43"/>
    </row>
    <row r="387" spans="5:43" s="2" customFormat="1">
      <c r="E387" s="299"/>
      <c r="F387" s="299"/>
      <c r="G387" s="299"/>
      <c r="H387" s="299"/>
      <c r="L387" s="3"/>
      <c r="M387" s="3"/>
      <c r="N387" s="3"/>
      <c r="O387" s="3"/>
      <c r="P387" s="3"/>
      <c r="Q387" s="3"/>
      <c r="R387" s="3"/>
      <c r="S387" s="3"/>
      <c r="T387" s="3"/>
      <c r="AP387" s="43"/>
      <c r="AQ387" s="43"/>
    </row>
    <row r="388" spans="5:43" s="2" customFormat="1">
      <c r="E388" s="299"/>
      <c r="F388" s="299"/>
      <c r="G388" s="299"/>
      <c r="H388" s="299"/>
      <c r="L388" s="3"/>
      <c r="M388" s="3"/>
      <c r="N388" s="3"/>
      <c r="O388" s="3"/>
      <c r="P388" s="3"/>
      <c r="Q388" s="3"/>
      <c r="R388" s="3"/>
      <c r="S388" s="3"/>
      <c r="T388" s="3"/>
      <c r="AP388" s="43"/>
      <c r="AQ388" s="43"/>
    </row>
    <row r="389" spans="5:43" s="2" customFormat="1">
      <c r="E389" s="299"/>
      <c r="F389" s="299"/>
      <c r="G389" s="299"/>
      <c r="H389" s="299"/>
      <c r="L389" s="3"/>
      <c r="M389" s="3"/>
      <c r="N389" s="3"/>
      <c r="O389" s="3"/>
      <c r="P389" s="3"/>
      <c r="Q389" s="3"/>
      <c r="R389" s="3"/>
      <c r="S389" s="3"/>
      <c r="T389" s="3"/>
      <c r="AP389" s="43"/>
      <c r="AQ389" s="43"/>
    </row>
    <row r="390" spans="5:43" s="2" customFormat="1">
      <c r="E390" s="299"/>
      <c r="F390" s="299"/>
      <c r="G390" s="299"/>
      <c r="H390" s="299"/>
      <c r="L390" s="3"/>
      <c r="M390" s="3"/>
      <c r="N390" s="3"/>
      <c r="O390" s="3"/>
      <c r="P390" s="3"/>
      <c r="Q390" s="3"/>
      <c r="R390" s="3"/>
      <c r="S390" s="3"/>
      <c r="T390" s="3"/>
      <c r="AP390" s="43"/>
      <c r="AQ390" s="43"/>
    </row>
    <row r="391" spans="5:43" s="2" customFormat="1">
      <c r="E391" s="299"/>
      <c r="F391" s="299"/>
      <c r="G391" s="299"/>
      <c r="H391" s="299"/>
      <c r="L391" s="3"/>
      <c r="M391" s="3"/>
      <c r="N391" s="3"/>
      <c r="O391" s="3"/>
      <c r="P391" s="3"/>
      <c r="Q391" s="3"/>
      <c r="R391" s="3"/>
      <c r="S391" s="3"/>
      <c r="T391" s="3"/>
      <c r="AP391" s="43"/>
      <c r="AQ391" s="43"/>
    </row>
    <row r="392" spans="5:43" s="2" customFormat="1">
      <c r="E392" s="299"/>
      <c r="F392" s="299"/>
      <c r="G392" s="299"/>
      <c r="H392" s="299"/>
      <c r="L392" s="3"/>
      <c r="M392" s="3"/>
      <c r="N392" s="3"/>
      <c r="O392" s="3"/>
      <c r="P392" s="3"/>
      <c r="Q392" s="3"/>
      <c r="R392" s="3"/>
      <c r="S392" s="3"/>
      <c r="T392" s="3"/>
      <c r="AP392" s="43"/>
      <c r="AQ392" s="43"/>
    </row>
    <row r="393" spans="5:43" s="2" customFormat="1">
      <c r="E393" s="299"/>
      <c r="F393" s="299"/>
      <c r="G393" s="299"/>
      <c r="H393" s="299"/>
      <c r="L393" s="3"/>
      <c r="M393" s="3"/>
      <c r="N393" s="3"/>
      <c r="O393" s="3"/>
      <c r="P393" s="3"/>
      <c r="Q393" s="3"/>
      <c r="R393" s="3"/>
      <c r="S393" s="3"/>
      <c r="T393" s="3"/>
      <c r="AP393" s="43"/>
      <c r="AQ393" s="43"/>
    </row>
    <row r="394" spans="5:43" s="2" customFormat="1">
      <c r="E394" s="299"/>
      <c r="F394" s="299"/>
      <c r="G394" s="299"/>
      <c r="H394" s="299"/>
      <c r="L394" s="3"/>
      <c r="M394" s="3"/>
      <c r="N394" s="3"/>
      <c r="O394" s="3"/>
      <c r="P394" s="3"/>
      <c r="Q394" s="3"/>
      <c r="R394" s="3"/>
      <c r="S394" s="3"/>
      <c r="T394" s="3"/>
      <c r="AP394" s="43"/>
      <c r="AQ394" s="43"/>
    </row>
    <row r="395" spans="5:43" s="2" customFormat="1">
      <c r="E395" s="299"/>
      <c r="F395" s="299"/>
      <c r="G395" s="299"/>
      <c r="H395" s="299"/>
      <c r="L395" s="3"/>
      <c r="M395" s="3"/>
      <c r="N395" s="3"/>
      <c r="O395" s="3"/>
      <c r="P395" s="3"/>
      <c r="Q395" s="3"/>
      <c r="R395" s="3"/>
      <c r="S395" s="3"/>
      <c r="T395" s="3"/>
      <c r="AP395" s="43"/>
      <c r="AQ395" s="43"/>
    </row>
    <row r="396" spans="5:43" s="2" customFormat="1">
      <c r="E396" s="299"/>
      <c r="F396" s="299"/>
      <c r="G396" s="299"/>
      <c r="H396" s="299"/>
      <c r="L396" s="3"/>
      <c r="M396" s="3"/>
      <c r="N396" s="3"/>
      <c r="O396" s="3"/>
      <c r="P396" s="3"/>
      <c r="Q396" s="3"/>
      <c r="R396" s="3"/>
      <c r="S396" s="3"/>
      <c r="T396" s="3"/>
      <c r="AP396" s="43"/>
      <c r="AQ396" s="43"/>
    </row>
    <row r="397" spans="5:43" s="2" customFormat="1">
      <c r="E397" s="299"/>
      <c r="F397" s="299"/>
      <c r="G397" s="299"/>
      <c r="H397" s="299"/>
      <c r="L397" s="3"/>
      <c r="M397" s="3"/>
      <c r="N397" s="3"/>
      <c r="O397" s="3"/>
      <c r="P397" s="3"/>
      <c r="Q397" s="3"/>
      <c r="R397" s="3"/>
      <c r="S397" s="3"/>
      <c r="T397" s="3"/>
      <c r="AP397" s="43"/>
      <c r="AQ397" s="43"/>
    </row>
    <row r="398" spans="5:43" s="2" customFormat="1">
      <c r="E398" s="299"/>
      <c r="F398" s="299"/>
      <c r="G398" s="299"/>
      <c r="H398" s="299"/>
      <c r="L398" s="3"/>
      <c r="M398" s="3"/>
      <c r="N398" s="3"/>
      <c r="O398" s="3"/>
      <c r="P398" s="3"/>
      <c r="Q398" s="3"/>
      <c r="R398" s="3"/>
      <c r="S398" s="3"/>
      <c r="T398" s="3"/>
      <c r="AP398" s="43"/>
      <c r="AQ398" s="43"/>
    </row>
    <row r="399" spans="5:43" s="2" customFormat="1">
      <c r="E399" s="299"/>
      <c r="F399" s="299"/>
      <c r="G399" s="299"/>
      <c r="H399" s="299"/>
      <c r="L399" s="3"/>
      <c r="M399" s="3"/>
      <c r="N399" s="3"/>
      <c r="O399" s="3"/>
      <c r="P399" s="3"/>
      <c r="Q399" s="3"/>
      <c r="R399" s="3"/>
      <c r="S399" s="3"/>
      <c r="T399" s="3"/>
      <c r="AP399" s="43"/>
      <c r="AQ399" s="43"/>
    </row>
    <row r="400" spans="5:43" s="2" customFormat="1">
      <c r="E400" s="299"/>
      <c r="F400" s="299"/>
      <c r="G400" s="299"/>
      <c r="H400" s="299"/>
      <c r="L400" s="3"/>
      <c r="M400" s="3"/>
      <c r="N400" s="3"/>
      <c r="O400" s="3"/>
      <c r="P400" s="3"/>
      <c r="Q400" s="3"/>
      <c r="R400" s="3"/>
      <c r="S400" s="3"/>
      <c r="T400" s="3"/>
      <c r="AP400" s="43"/>
      <c r="AQ400" s="43"/>
    </row>
    <row r="401" spans="5:43" s="2" customFormat="1">
      <c r="E401" s="299"/>
      <c r="F401" s="299"/>
      <c r="G401" s="299"/>
      <c r="H401" s="299"/>
      <c r="L401" s="3"/>
      <c r="M401" s="3"/>
      <c r="N401" s="3"/>
      <c r="O401" s="3"/>
      <c r="P401" s="3"/>
      <c r="Q401" s="3"/>
      <c r="R401" s="3"/>
      <c r="S401" s="3"/>
      <c r="T401" s="3"/>
      <c r="AP401" s="43"/>
      <c r="AQ401" s="43"/>
    </row>
    <row r="402" spans="5:43" s="2" customFormat="1">
      <c r="E402" s="299"/>
      <c r="F402" s="299"/>
      <c r="G402" s="299"/>
      <c r="H402" s="299"/>
      <c r="L402" s="3"/>
      <c r="M402" s="3"/>
      <c r="N402" s="3"/>
      <c r="O402" s="3"/>
      <c r="P402" s="3"/>
      <c r="Q402" s="3"/>
      <c r="R402" s="3"/>
      <c r="S402" s="3"/>
      <c r="T402" s="3"/>
      <c r="AP402" s="43"/>
      <c r="AQ402" s="43"/>
    </row>
    <row r="403" spans="5:43" s="2" customFormat="1">
      <c r="E403" s="299"/>
      <c r="F403" s="299"/>
      <c r="G403" s="299"/>
      <c r="H403" s="299"/>
      <c r="L403" s="3"/>
      <c r="M403" s="3"/>
      <c r="N403" s="3"/>
      <c r="O403" s="3"/>
      <c r="P403" s="3"/>
      <c r="Q403" s="3"/>
      <c r="R403" s="3"/>
      <c r="S403" s="3"/>
      <c r="T403" s="3"/>
      <c r="AP403" s="43"/>
      <c r="AQ403" s="43"/>
    </row>
    <row r="404" spans="5:43" s="2" customFormat="1">
      <c r="E404" s="299"/>
      <c r="F404" s="299"/>
      <c r="G404" s="299"/>
      <c r="H404" s="299"/>
      <c r="L404" s="3"/>
      <c r="M404" s="3"/>
      <c r="N404" s="3"/>
      <c r="O404" s="3"/>
      <c r="P404" s="3"/>
      <c r="Q404" s="3"/>
      <c r="R404" s="3"/>
      <c r="S404" s="3"/>
      <c r="T404" s="3"/>
      <c r="AP404" s="43"/>
      <c r="AQ404" s="43"/>
    </row>
    <row r="405" spans="5:43" s="2" customFormat="1">
      <c r="E405" s="299"/>
      <c r="F405" s="299"/>
      <c r="G405" s="299"/>
      <c r="H405" s="299"/>
      <c r="L405" s="3"/>
      <c r="M405" s="3"/>
      <c r="N405" s="3"/>
      <c r="O405" s="3"/>
      <c r="P405" s="3"/>
      <c r="Q405" s="3"/>
      <c r="R405" s="3"/>
      <c r="S405" s="3"/>
      <c r="T405" s="3"/>
      <c r="AP405" s="43"/>
      <c r="AQ405" s="43"/>
    </row>
    <row r="406" spans="5:43" s="2" customFormat="1">
      <c r="E406" s="299"/>
      <c r="F406" s="299"/>
      <c r="G406" s="299"/>
      <c r="H406" s="299"/>
      <c r="L406" s="3"/>
      <c r="M406" s="3"/>
      <c r="N406" s="3"/>
      <c r="O406" s="3"/>
      <c r="P406" s="3"/>
      <c r="Q406" s="3"/>
      <c r="R406" s="3"/>
      <c r="S406" s="3"/>
      <c r="T406" s="3"/>
      <c r="AP406" s="43"/>
      <c r="AQ406" s="43"/>
    </row>
    <row r="407" spans="5:43" s="2" customFormat="1">
      <c r="E407" s="299"/>
      <c r="F407" s="299"/>
      <c r="G407" s="299"/>
      <c r="H407" s="299"/>
      <c r="L407" s="3"/>
      <c r="M407" s="3"/>
      <c r="N407" s="3"/>
      <c r="O407" s="3"/>
      <c r="P407" s="3"/>
      <c r="Q407" s="3"/>
      <c r="R407" s="3"/>
      <c r="S407" s="3"/>
      <c r="T407" s="3"/>
      <c r="AP407" s="43"/>
      <c r="AQ407" s="43"/>
    </row>
    <row r="408" spans="5:43" s="2" customFormat="1">
      <c r="E408" s="299"/>
      <c r="F408" s="299"/>
      <c r="G408" s="299"/>
      <c r="H408" s="299"/>
      <c r="L408" s="3"/>
      <c r="M408" s="3"/>
      <c r="N408" s="3"/>
      <c r="O408" s="3"/>
      <c r="P408" s="3"/>
      <c r="Q408" s="3"/>
      <c r="R408" s="3"/>
      <c r="S408" s="3"/>
      <c r="T408" s="3"/>
      <c r="AP408" s="43"/>
      <c r="AQ408" s="43"/>
    </row>
    <row r="409" spans="5:43" s="2" customFormat="1">
      <c r="E409" s="299"/>
      <c r="F409" s="299"/>
      <c r="G409" s="299"/>
      <c r="H409" s="299"/>
      <c r="L409" s="3"/>
      <c r="M409" s="3"/>
      <c r="N409" s="3"/>
      <c r="O409" s="3"/>
      <c r="P409" s="3"/>
      <c r="Q409" s="3"/>
      <c r="R409" s="3"/>
      <c r="S409" s="3"/>
      <c r="T409" s="3"/>
      <c r="AP409" s="43"/>
      <c r="AQ409" s="43"/>
    </row>
    <row r="410" spans="5:43" s="2" customFormat="1">
      <c r="E410" s="299"/>
      <c r="F410" s="299"/>
      <c r="G410" s="299"/>
      <c r="H410" s="299"/>
      <c r="L410" s="3"/>
      <c r="M410" s="3"/>
      <c r="N410" s="3"/>
      <c r="O410" s="3"/>
      <c r="P410" s="3"/>
      <c r="Q410" s="3"/>
      <c r="R410" s="3"/>
      <c r="S410" s="3"/>
      <c r="T410" s="3"/>
      <c r="AP410" s="43"/>
      <c r="AQ410" s="43"/>
    </row>
    <row r="411" spans="5:43" s="2" customFormat="1">
      <c r="E411" s="299"/>
      <c r="F411" s="299"/>
      <c r="G411" s="299"/>
      <c r="H411" s="299"/>
      <c r="L411" s="3"/>
      <c r="M411" s="3"/>
      <c r="N411" s="3"/>
      <c r="O411" s="3"/>
      <c r="P411" s="3"/>
      <c r="Q411" s="3"/>
      <c r="R411" s="3"/>
      <c r="S411" s="3"/>
      <c r="T411" s="3"/>
      <c r="AP411" s="43"/>
      <c r="AQ411" s="43"/>
    </row>
    <row r="412" spans="5:43" s="2" customFormat="1">
      <c r="E412" s="299"/>
      <c r="F412" s="299"/>
      <c r="G412" s="299"/>
      <c r="H412" s="299"/>
      <c r="L412" s="3"/>
      <c r="M412" s="3"/>
      <c r="N412" s="3"/>
      <c r="O412" s="3"/>
      <c r="P412" s="3"/>
      <c r="Q412" s="3"/>
      <c r="R412" s="3"/>
      <c r="S412" s="3"/>
      <c r="T412" s="3"/>
      <c r="AP412" s="43"/>
      <c r="AQ412" s="43"/>
    </row>
    <row r="413" spans="5:43" s="2" customFormat="1">
      <c r="E413" s="299"/>
      <c r="F413" s="299"/>
      <c r="G413" s="299"/>
      <c r="H413" s="299"/>
      <c r="L413" s="3"/>
      <c r="M413" s="3"/>
      <c r="N413" s="3"/>
      <c r="O413" s="3"/>
      <c r="P413" s="3"/>
      <c r="Q413" s="3"/>
      <c r="R413" s="3"/>
      <c r="S413" s="3"/>
      <c r="T413" s="3"/>
      <c r="AP413" s="43"/>
      <c r="AQ413" s="43"/>
    </row>
    <row r="414" spans="5:43" s="2" customFormat="1">
      <c r="E414" s="299"/>
      <c r="F414" s="299"/>
      <c r="G414" s="299"/>
      <c r="H414" s="299"/>
      <c r="L414" s="3"/>
      <c r="M414" s="3"/>
      <c r="N414" s="3"/>
      <c r="O414" s="3"/>
      <c r="P414" s="3"/>
      <c r="Q414" s="3"/>
      <c r="R414" s="3"/>
      <c r="S414" s="3"/>
      <c r="T414" s="3"/>
      <c r="AP414" s="43"/>
      <c r="AQ414" s="43"/>
    </row>
    <row r="415" spans="5:43" s="2" customFormat="1">
      <c r="E415" s="299"/>
      <c r="F415" s="299"/>
      <c r="G415" s="299"/>
      <c r="H415" s="299"/>
      <c r="L415" s="3"/>
      <c r="M415" s="3"/>
      <c r="N415" s="3"/>
      <c r="O415" s="3"/>
      <c r="P415" s="3"/>
      <c r="Q415" s="3"/>
      <c r="R415" s="3"/>
      <c r="S415" s="3"/>
      <c r="T415" s="3"/>
      <c r="AP415" s="43"/>
      <c r="AQ415" s="43"/>
    </row>
    <row r="416" spans="5:43" s="2" customFormat="1">
      <c r="E416" s="299"/>
      <c r="F416" s="299"/>
      <c r="G416" s="299"/>
      <c r="H416" s="299"/>
      <c r="L416" s="3"/>
      <c r="M416" s="3"/>
      <c r="N416" s="3"/>
      <c r="O416" s="3"/>
      <c r="P416" s="3"/>
      <c r="Q416" s="3"/>
      <c r="R416" s="3"/>
      <c r="S416" s="3"/>
      <c r="T416" s="3"/>
      <c r="AP416" s="43"/>
      <c r="AQ416" s="43"/>
    </row>
    <row r="417" spans="5:43" s="2" customFormat="1">
      <c r="E417" s="299"/>
      <c r="F417" s="299"/>
      <c r="G417" s="299"/>
      <c r="H417" s="299"/>
      <c r="L417" s="3"/>
      <c r="M417" s="3"/>
      <c r="N417" s="3"/>
      <c r="O417" s="3"/>
      <c r="P417" s="3"/>
      <c r="Q417" s="3"/>
      <c r="R417" s="3"/>
      <c r="S417" s="3"/>
      <c r="T417" s="3"/>
      <c r="AP417" s="43"/>
      <c r="AQ417" s="43"/>
    </row>
    <row r="418" spans="5:43" s="2" customFormat="1">
      <c r="E418" s="299"/>
      <c r="F418" s="299"/>
      <c r="G418" s="299"/>
      <c r="H418" s="299"/>
      <c r="L418" s="3"/>
      <c r="M418" s="3"/>
      <c r="N418" s="3"/>
      <c r="O418" s="3"/>
      <c r="P418" s="3"/>
      <c r="Q418" s="3"/>
      <c r="R418" s="3"/>
      <c r="S418" s="3"/>
      <c r="T418" s="3"/>
      <c r="AP418" s="43"/>
      <c r="AQ418" s="43"/>
    </row>
    <row r="419" spans="5:43" s="2" customFormat="1">
      <c r="E419" s="299"/>
      <c r="F419" s="299"/>
      <c r="G419" s="299"/>
      <c r="H419" s="299"/>
      <c r="L419" s="3"/>
      <c r="M419" s="3"/>
      <c r="N419" s="3"/>
      <c r="O419" s="3"/>
      <c r="P419" s="3"/>
      <c r="Q419" s="3"/>
      <c r="R419" s="3"/>
      <c r="S419" s="3"/>
      <c r="T419" s="3"/>
      <c r="AP419" s="43"/>
      <c r="AQ419" s="43"/>
    </row>
    <row r="420" spans="5:43" s="2" customFormat="1">
      <c r="E420" s="299"/>
      <c r="F420" s="299"/>
      <c r="G420" s="299"/>
      <c r="H420" s="299"/>
      <c r="L420" s="3"/>
      <c r="M420" s="3"/>
      <c r="N420" s="3"/>
      <c r="O420" s="3"/>
      <c r="P420" s="3"/>
      <c r="Q420" s="3"/>
      <c r="R420" s="3"/>
      <c r="S420" s="3"/>
      <c r="T420" s="3"/>
      <c r="AP420" s="43"/>
      <c r="AQ420" s="43"/>
    </row>
    <row r="421" spans="5:43" s="2" customFormat="1">
      <c r="E421" s="299"/>
      <c r="F421" s="299"/>
      <c r="G421" s="299"/>
      <c r="H421" s="299"/>
      <c r="L421" s="3"/>
      <c r="M421" s="3"/>
      <c r="N421" s="3"/>
      <c r="O421" s="3"/>
      <c r="P421" s="3"/>
      <c r="Q421" s="3"/>
      <c r="R421" s="3"/>
      <c r="S421" s="3"/>
      <c r="T421" s="3"/>
      <c r="AP421" s="43"/>
      <c r="AQ421" s="43"/>
    </row>
    <row r="422" spans="5:43" s="2" customFormat="1">
      <c r="E422" s="299"/>
      <c r="F422" s="299"/>
      <c r="G422" s="299"/>
      <c r="H422" s="299"/>
      <c r="L422" s="3"/>
      <c r="M422" s="3"/>
      <c r="N422" s="3"/>
      <c r="O422" s="3"/>
      <c r="P422" s="3"/>
      <c r="Q422" s="3"/>
      <c r="R422" s="3"/>
      <c r="S422" s="3"/>
      <c r="T422" s="3"/>
      <c r="AP422" s="43"/>
      <c r="AQ422" s="43"/>
    </row>
    <row r="423" spans="5:43" s="2" customFormat="1">
      <c r="E423" s="299"/>
      <c r="F423" s="299"/>
      <c r="G423" s="299"/>
      <c r="H423" s="299"/>
      <c r="L423" s="3"/>
      <c r="M423" s="3"/>
      <c r="N423" s="3"/>
      <c r="O423" s="3"/>
      <c r="P423" s="3"/>
      <c r="Q423" s="3"/>
      <c r="R423" s="3"/>
      <c r="S423" s="3"/>
      <c r="T423" s="3"/>
      <c r="AP423" s="43"/>
      <c r="AQ423" s="43"/>
    </row>
    <row r="424" spans="5:43" s="2" customFormat="1">
      <c r="E424" s="299"/>
      <c r="F424" s="299"/>
      <c r="G424" s="299"/>
      <c r="H424" s="299"/>
      <c r="L424" s="3"/>
      <c r="M424" s="3"/>
      <c r="N424" s="3"/>
      <c r="O424" s="3"/>
      <c r="P424" s="3"/>
      <c r="Q424" s="3"/>
      <c r="R424" s="3"/>
      <c r="S424" s="3"/>
      <c r="T424" s="3"/>
      <c r="AP424" s="43"/>
      <c r="AQ424" s="43"/>
    </row>
    <row r="425" spans="5:43" s="2" customFormat="1">
      <c r="E425" s="299"/>
      <c r="F425" s="299"/>
      <c r="G425" s="299"/>
      <c r="H425" s="299"/>
      <c r="L425" s="3"/>
      <c r="M425" s="3"/>
      <c r="N425" s="3"/>
      <c r="O425" s="3"/>
      <c r="P425" s="3"/>
      <c r="Q425" s="3"/>
      <c r="R425" s="3"/>
      <c r="S425" s="3"/>
      <c r="T425" s="3"/>
      <c r="AP425" s="43"/>
      <c r="AQ425" s="43"/>
    </row>
    <row r="426" spans="5:43" s="2" customFormat="1">
      <c r="E426" s="299"/>
      <c r="F426" s="299"/>
      <c r="G426" s="299"/>
      <c r="H426" s="299"/>
      <c r="L426" s="3"/>
      <c r="M426" s="3"/>
      <c r="N426" s="3"/>
      <c r="O426" s="3"/>
      <c r="P426" s="3"/>
      <c r="Q426" s="3"/>
      <c r="R426" s="3"/>
      <c r="S426" s="3"/>
      <c r="T426" s="3"/>
      <c r="AP426" s="43"/>
      <c r="AQ426" s="43"/>
    </row>
    <row r="427" spans="5:43" s="2" customFormat="1">
      <c r="E427" s="299"/>
      <c r="F427" s="299"/>
      <c r="G427" s="299"/>
      <c r="H427" s="299"/>
      <c r="L427" s="3"/>
      <c r="M427" s="3"/>
      <c r="N427" s="3"/>
      <c r="O427" s="3"/>
      <c r="P427" s="3"/>
      <c r="Q427" s="3"/>
      <c r="R427" s="3"/>
      <c r="S427" s="3"/>
      <c r="T427" s="3"/>
      <c r="AP427" s="43"/>
      <c r="AQ427" s="43"/>
    </row>
    <row r="428" spans="5:43" s="2" customFormat="1">
      <c r="E428" s="299"/>
      <c r="F428" s="299"/>
      <c r="G428" s="299"/>
      <c r="H428" s="299"/>
      <c r="L428" s="3"/>
      <c r="M428" s="3"/>
      <c r="N428" s="3"/>
      <c r="O428" s="3"/>
      <c r="P428" s="3"/>
      <c r="Q428" s="3"/>
      <c r="R428" s="3"/>
      <c r="S428" s="3"/>
      <c r="T428" s="3"/>
      <c r="AP428" s="43"/>
      <c r="AQ428" s="43"/>
    </row>
    <row r="429" spans="5:43" s="2" customFormat="1">
      <c r="E429" s="299"/>
      <c r="F429" s="299"/>
      <c r="G429" s="299"/>
      <c r="H429" s="299"/>
      <c r="L429" s="3"/>
      <c r="M429" s="3"/>
      <c r="N429" s="3"/>
      <c r="O429" s="3"/>
      <c r="P429" s="3"/>
      <c r="Q429" s="3"/>
      <c r="R429" s="3"/>
      <c r="S429" s="3"/>
      <c r="T429" s="3"/>
      <c r="AP429" s="43"/>
      <c r="AQ429" s="43"/>
    </row>
    <row r="430" spans="5:43" s="2" customFormat="1">
      <c r="E430" s="299"/>
      <c r="F430" s="299"/>
      <c r="G430" s="299"/>
      <c r="H430" s="299"/>
      <c r="L430" s="3"/>
      <c r="M430" s="3"/>
      <c r="N430" s="3"/>
      <c r="O430" s="3"/>
      <c r="P430" s="3"/>
      <c r="Q430" s="3"/>
      <c r="R430" s="3"/>
      <c r="S430" s="3"/>
      <c r="T430" s="3"/>
      <c r="AP430" s="43"/>
      <c r="AQ430" s="43"/>
    </row>
    <row r="431" spans="5:43" s="2" customFormat="1">
      <c r="E431" s="299"/>
      <c r="F431" s="299"/>
      <c r="G431" s="299"/>
      <c r="H431" s="299"/>
      <c r="L431" s="3"/>
      <c r="M431" s="3"/>
      <c r="N431" s="3"/>
      <c r="O431" s="3"/>
      <c r="P431" s="3"/>
      <c r="Q431" s="3"/>
      <c r="R431" s="3"/>
      <c r="S431" s="3"/>
      <c r="T431" s="3"/>
      <c r="AP431" s="43"/>
      <c r="AQ431" s="43"/>
    </row>
    <row r="432" spans="5:43" s="2" customFormat="1">
      <c r="E432" s="299"/>
      <c r="F432" s="299"/>
      <c r="G432" s="299"/>
      <c r="H432" s="299"/>
      <c r="L432" s="3"/>
      <c r="M432" s="3"/>
      <c r="N432" s="3"/>
      <c r="O432" s="3"/>
      <c r="P432" s="3"/>
      <c r="Q432" s="3"/>
      <c r="R432" s="3"/>
      <c r="S432" s="3"/>
      <c r="T432" s="3"/>
      <c r="AP432" s="43"/>
      <c r="AQ432" s="43"/>
    </row>
    <row r="433" spans="5:43" s="2" customFormat="1">
      <c r="E433" s="299"/>
      <c r="F433" s="299"/>
      <c r="G433" s="299"/>
      <c r="H433" s="299"/>
      <c r="L433" s="3"/>
      <c r="M433" s="3"/>
      <c r="N433" s="3"/>
      <c r="O433" s="3"/>
      <c r="P433" s="3"/>
      <c r="Q433" s="3"/>
      <c r="R433" s="3"/>
      <c r="S433" s="3"/>
      <c r="T433" s="3"/>
      <c r="AP433" s="43"/>
      <c r="AQ433" s="43"/>
    </row>
    <row r="434" spans="5:43" s="2" customFormat="1">
      <c r="E434" s="299"/>
      <c r="F434" s="299"/>
      <c r="G434" s="299"/>
      <c r="H434" s="299"/>
      <c r="L434" s="3"/>
      <c r="M434" s="3"/>
      <c r="N434" s="3"/>
      <c r="O434" s="3"/>
      <c r="P434" s="3"/>
      <c r="Q434" s="3"/>
      <c r="R434" s="3"/>
      <c r="S434" s="3"/>
      <c r="T434" s="3"/>
      <c r="AP434" s="43"/>
      <c r="AQ434" s="43"/>
    </row>
    <row r="435" spans="5:43" s="2" customFormat="1">
      <c r="E435" s="299"/>
      <c r="F435" s="299"/>
      <c r="G435" s="299"/>
      <c r="H435" s="299"/>
      <c r="L435" s="3"/>
      <c r="M435" s="3"/>
      <c r="N435" s="3"/>
      <c r="O435" s="3"/>
      <c r="P435" s="3"/>
      <c r="Q435" s="3"/>
      <c r="R435" s="3"/>
      <c r="S435" s="3"/>
      <c r="T435" s="3"/>
      <c r="AP435" s="43"/>
      <c r="AQ435" s="43"/>
    </row>
    <row r="436" spans="5:43" s="2" customFormat="1">
      <c r="E436" s="299"/>
      <c r="F436" s="299"/>
      <c r="G436" s="299"/>
      <c r="H436" s="299"/>
      <c r="L436" s="3"/>
      <c r="M436" s="3"/>
      <c r="N436" s="3"/>
      <c r="O436" s="3"/>
      <c r="P436" s="3"/>
      <c r="Q436" s="3"/>
      <c r="R436" s="3"/>
      <c r="S436" s="3"/>
      <c r="T436" s="3"/>
      <c r="AP436" s="43"/>
      <c r="AQ436" s="43"/>
    </row>
    <row r="437" spans="5:43" s="2" customFormat="1">
      <c r="E437" s="299"/>
      <c r="F437" s="299"/>
      <c r="G437" s="299"/>
      <c r="H437" s="299"/>
      <c r="L437" s="3"/>
      <c r="M437" s="3"/>
      <c r="N437" s="3"/>
      <c r="O437" s="3"/>
      <c r="P437" s="3"/>
      <c r="Q437" s="3"/>
      <c r="R437" s="3"/>
      <c r="S437" s="3"/>
      <c r="T437" s="3"/>
      <c r="AP437" s="43"/>
      <c r="AQ437" s="43"/>
    </row>
    <row r="438" spans="5:43" s="2" customFormat="1">
      <c r="E438" s="299"/>
      <c r="F438" s="299"/>
      <c r="G438" s="299"/>
      <c r="H438" s="299"/>
      <c r="L438" s="3"/>
      <c r="M438" s="3"/>
      <c r="N438" s="3"/>
      <c r="O438" s="3"/>
      <c r="P438" s="3"/>
      <c r="Q438" s="3"/>
      <c r="R438" s="3"/>
      <c r="S438" s="3"/>
      <c r="T438" s="3"/>
      <c r="AP438" s="43"/>
      <c r="AQ438" s="43"/>
    </row>
    <row r="439" spans="5:43" s="2" customFormat="1">
      <c r="E439" s="299"/>
      <c r="F439" s="299"/>
      <c r="G439" s="299"/>
      <c r="H439" s="299"/>
      <c r="L439" s="3"/>
      <c r="M439" s="3"/>
      <c r="N439" s="3"/>
      <c r="O439" s="3"/>
      <c r="P439" s="3"/>
      <c r="Q439" s="3"/>
      <c r="R439" s="3"/>
      <c r="S439" s="3"/>
      <c r="T439" s="3"/>
      <c r="AP439" s="43"/>
      <c r="AQ439" s="43"/>
    </row>
    <row r="440" spans="5:43" s="2" customFormat="1">
      <c r="E440" s="299"/>
      <c r="F440" s="299"/>
      <c r="G440" s="299"/>
      <c r="H440" s="299"/>
      <c r="L440" s="3"/>
      <c r="M440" s="3"/>
      <c r="N440" s="3"/>
      <c r="O440" s="3"/>
      <c r="P440" s="3"/>
      <c r="Q440" s="3"/>
      <c r="R440" s="3"/>
      <c r="S440" s="3"/>
      <c r="T440" s="3"/>
      <c r="AP440" s="43"/>
      <c r="AQ440" s="43"/>
    </row>
    <row r="441" spans="5:43" s="2" customFormat="1">
      <c r="E441" s="299"/>
      <c r="F441" s="299"/>
      <c r="G441" s="299"/>
      <c r="H441" s="299"/>
      <c r="L441" s="3"/>
      <c r="M441" s="3"/>
      <c r="N441" s="3"/>
      <c r="O441" s="3"/>
      <c r="P441" s="3"/>
      <c r="Q441" s="3"/>
      <c r="R441" s="3"/>
      <c r="S441" s="3"/>
      <c r="T441" s="3"/>
      <c r="AP441" s="43"/>
      <c r="AQ441" s="43"/>
    </row>
    <row r="442" spans="5:43" s="2" customFormat="1">
      <c r="E442" s="299"/>
      <c r="F442" s="299"/>
      <c r="G442" s="299"/>
      <c r="H442" s="299"/>
      <c r="L442" s="3"/>
      <c r="M442" s="3"/>
      <c r="N442" s="3"/>
      <c r="O442" s="3"/>
      <c r="P442" s="3"/>
      <c r="Q442" s="3"/>
      <c r="R442" s="3"/>
      <c r="S442" s="3"/>
      <c r="T442" s="3"/>
      <c r="AP442" s="43"/>
      <c r="AQ442" s="43"/>
    </row>
    <row r="443" spans="5:43" s="2" customFormat="1">
      <c r="E443" s="299"/>
      <c r="F443" s="299"/>
      <c r="G443" s="299"/>
      <c r="H443" s="299"/>
      <c r="L443" s="3"/>
      <c r="M443" s="3"/>
      <c r="N443" s="3"/>
      <c r="O443" s="3"/>
      <c r="P443" s="3"/>
      <c r="Q443" s="3"/>
      <c r="R443" s="3"/>
      <c r="S443" s="3"/>
      <c r="T443" s="3"/>
      <c r="AP443" s="43"/>
      <c r="AQ443" s="43"/>
    </row>
    <row r="444" spans="5:43" s="2" customFormat="1">
      <c r="E444" s="299"/>
      <c r="F444" s="299"/>
      <c r="G444" s="299"/>
      <c r="H444" s="299"/>
      <c r="L444" s="3"/>
      <c r="M444" s="3"/>
      <c r="N444" s="3"/>
      <c r="O444" s="3"/>
      <c r="P444" s="3"/>
      <c r="Q444" s="3"/>
      <c r="R444" s="3"/>
      <c r="S444" s="3"/>
      <c r="T444" s="3"/>
      <c r="AP444" s="43"/>
      <c r="AQ444" s="43"/>
    </row>
    <row r="445" spans="5:43" s="2" customFormat="1">
      <c r="E445" s="299"/>
      <c r="F445" s="299"/>
      <c r="G445" s="299"/>
      <c r="H445" s="299"/>
      <c r="L445" s="3"/>
      <c r="M445" s="3"/>
      <c r="N445" s="3"/>
      <c r="O445" s="3"/>
      <c r="P445" s="3"/>
      <c r="Q445" s="3"/>
      <c r="R445" s="3"/>
      <c r="S445" s="3"/>
      <c r="T445" s="3"/>
      <c r="AP445" s="43"/>
      <c r="AQ445" s="43"/>
    </row>
    <row r="446" spans="5:43" s="2" customFormat="1">
      <c r="E446" s="299"/>
      <c r="F446" s="299"/>
      <c r="G446" s="299"/>
      <c r="H446" s="299"/>
      <c r="L446" s="3"/>
      <c r="M446" s="3"/>
      <c r="N446" s="3"/>
      <c r="O446" s="3"/>
      <c r="P446" s="3"/>
      <c r="Q446" s="3"/>
      <c r="R446" s="3"/>
      <c r="S446" s="3"/>
      <c r="T446" s="3"/>
      <c r="AP446" s="43"/>
      <c r="AQ446" s="43"/>
    </row>
    <row r="447" spans="5:43" s="2" customFormat="1">
      <c r="E447" s="299"/>
      <c r="F447" s="299"/>
      <c r="G447" s="299"/>
      <c r="H447" s="299"/>
      <c r="L447" s="3"/>
      <c r="M447" s="3"/>
      <c r="N447" s="3"/>
      <c r="O447" s="3"/>
      <c r="P447" s="3"/>
      <c r="Q447" s="3"/>
      <c r="R447" s="3"/>
      <c r="S447" s="3"/>
      <c r="T447" s="3"/>
      <c r="AP447" s="43"/>
      <c r="AQ447" s="43"/>
    </row>
    <row r="448" spans="5:43" s="2" customFormat="1">
      <c r="E448" s="299"/>
      <c r="F448" s="299"/>
      <c r="G448" s="299"/>
      <c r="H448" s="299"/>
      <c r="L448" s="3"/>
      <c r="M448" s="3"/>
      <c r="N448" s="3"/>
      <c r="O448" s="3"/>
      <c r="P448" s="3"/>
      <c r="Q448" s="3"/>
      <c r="R448" s="3"/>
      <c r="S448" s="3"/>
      <c r="T448" s="3"/>
      <c r="AP448" s="43"/>
      <c r="AQ448" s="43"/>
    </row>
    <row r="449" spans="5:43" s="2" customFormat="1">
      <c r="E449" s="299"/>
      <c r="F449" s="299"/>
      <c r="G449" s="299"/>
      <c r="H449" s="299"/>
      <c r="L449" s="3"/>
      <c r="M449" s="3"/>
      <c r="N449" s="3"/>
      <c r="O449" s="3"/>
      <c r="P449" s="3"/>
      <c r="Q449" s="3"/>
      <c r="R449" s="3"/>
      <c r="S449" s="3"/>
      <c r="T449" s="3"/>
      <c r="AP449" s="43"/>
      <c r="AQ449" s="43"/>
    </row>
    <row r="450" spans="5:43" s="2" customFormat="1">
      <c r="E450" s="299"/>
      <c r="F450" s="299"/>
      <c r="G450" s="299"/>
      <c r="H450" s="299"/>
      <c r="L450" s="3"/>
      <c r="M450" s="3"/>
      <c r="N450" s="3"/>
      <c r="O450" s="3"/>
      <c r="P450" s="3"/>
      <c r="Q450" s="3"/>
      <c r="R450" s="3"/>
      <c r="S450" s="3"/>
      <c r="T450" s="3"/>
      <c r="AP450" s="43"/>
      <c r="AQ450" s="43"/>
    </row>
    <row r="451" spans="5:43" s="2" customFormat="1">
      <c r="E451" s="299"/>
      <c r="F451" s="299"/>
      <c r="G451" s="299"/>
      <c r="H451" s="299"/>
      <c r="L451" s="3"/>
      <c r="M451" s="3"/>
      <c r="N451" s="3"/>
      <c r="O451" s="3"/>
      <c r="P451" s="3"/>
      <c r="Q451" s="3"/>
      <c r="R451" s="3"/>
      <c r="S451" s="3"/>
      <c r="T451" s="3"/>
      <c r="AP451" s="43"/>
      <c r="AQ451" s="43"/>
    </row>
    <row r="452" spans="5:43" s="2" customFormat="1">
      <c r="E452" s="299"/>
      <c r="F452" s="299"/>
      <c r="G452" s="299"/>
      <c r="H452" s="299"/>
      <c r="L452" s="3"/>
      <c r="M452" s="3"/>
      <c r="N452" s="3"/>
      <c r="O452" s="3"/>
      <c r="P452" s="3"/>
      <c r="Q452" s="3"/>
      <c r="R452" s="3"/>
      <c r="S452" s="3"/>
      <c r="T452" s="3"/>
      <c r="AP452" s="43"/>
      <c r="AQ452" s="43"/>
    </row>
    <row r="453" spans="5:43" s="2" customFormat="1">
      <c r="E453" s="299"/>
      <c r="F453" s="299"/>
      <c r="G453" s="299"/>
      <c r="H453" s="299"/>
      <c r="L453" s="3"/>
      <c r="M453" s="3"/>
      <c r="N453" s="3"/>
      <c r="O453" s="3"/>
      <c r="P453" s="3"/>
      <c r="Q453" s="3"/>
      <c r="R453" s="3"/>
      <c r="S453" s="3"/>
      <c r="T453" s="3"/>
      <c r="AP453" s="43"/>
      <c r="AQ453" s="43"/>
    </row>
    <row r="454" spans="5:43" s="2" customFormat="1">
      <c r="E454" s="299"/>
      <c r="F454" s="299"/>
      <c r="G454" s="299"/>
      <c r="H454" s="299"/>
      <c r="L454" s="3"/>
      <c r="M454" s="3"/>
      <c r="N454" s="3"/>
      <c r="O454" s="3"/>
      <c r="P454" s="3"/>
      <c r="Q454" s="3"/>
      <c r="R454" s="3"/>
      <c r="S454" s="3"/>
      <c r="T454" s="3"/>
      <c r="AP454" s="43"/>
      <c r="AQ454" s="43"/>
    </row>
    <row r="455" spans="5:43" s="2" customFormat="1">
      <c r="E455" s="299"/>
      <c r="F455" s="299"/>
      <c r="G455" s="299"/>
      <c r="H455" s="299"/>
      <c r="L455" s="3"/>
      <c r="M455" s="3"/>
      <c r="N455" s="3"/>
      <c r="O455" s="3"/>
      <c r="P455" s="3"/>
      <c r="Q455" s="3"/>
      <c r="R455" s="3"/>
      <c r="S455" s="3"/>
      <c r="T455" s="3"/>
      <c r="AP455" s="43"/>
      <c r="AQ455" s="43"/>
    </row>
    <row r="456" spans="5:43" s="2" customFormat="1">
      <c r="E456" s="299"/>
      <c r="F456" s="299"/>
      <c r="G456" s="299"/>
      <c r="H456" s="299"/>
      <c r="L456" s="3"/>
      <c r="M456" s="3"/>
      <c r="N456" s="3"/>
      <c r="O456" s="3"/>
      <c r="P456" s="3"/>
      <c r="Q456" s="3"/>
      <c r="R456" s="3"/>
      <c r="S456" s="3"/>
      <c r="T456" s="3"/>
      <c r="AP456" s="43"/>
      <c r="AQ456" s="43"/>
    </row>
    <row r="457" spans="5:43" s="2" customFormat="1">
      <c r="E457" s="299"/>
      <c r="F457" s="299"/>
      <c r="G457" s="299"/>
      <c r="H457" s="299"/>
      <c r="L457" s="3"/>
      <c r="M457" s="3"/>
      <c r="N457" s="3"/>
      <c r="O457" s="3"/>
      <c r="P457" s="3"/>
      <c r="Q457" s="3"/>
      <c r="R457" s="3"/>
      <c r="S457" s="3"/>
      <c r="T457" s="3"/>
      <c r="AP457" s="43"/>
      <c r="AQ457" s="43"/>
    </row>
    <row r="458" spans="5:43" s="2" customFormat="1">
      <c r="E458" s="299"/>
      <c r="F458" s="299"/>
      <c r="G458" s="299"/>
      <c r="H458" s="299"/>
      <c r="L458" s="3"/>
      <c r="M458" s="3"/>
      <c r="N458" s="3"/>
      <c r="O458" s="3"/>
      <c r="P458" s="3"/>
      <c r="Q458" s="3"/>
      <c r="R458" s="3"/>
      <c r="S458" s="3"/>
      <c r="T458" s="3"/>
      <c r="AP458" s="43"/>
      <c r="AQ458" s="43"/>
    </row>
    <row r="459" spans="5:43" s="2" customFormat="1">
      <c r="E459" s="299"/>
      <c r="F459" s="299"/>
      <c r="G459" s="299"/>
      <c r="H459" s="299"/>
      <c r="L459" s="3"/>
      <c r="M459" s="3"/>
      <c r="N459" s="3"/>
      <c r="O459" s="3"/>
      <c r="P459" s="3"/>
      <c r="Q459" s="3"/>
      <c r="R459" s="3"/>
      <c r="S459" s="3"/>
      <c r="T459" s="3"/>
      <c r="AP459" s="43"/>
      <c r="AQ459" s="43"/>
    </row>
    <row r="460" spans="5:43" s="2" customFormat="1">
      <c r="E460" s="299"/>
      <c r="F460" s="299"/>
      <c r="G460" s="299"/>
      <c r="H460" s="299"/>
      <c r="L460" s="3"/>
      <c r="M460" s="3"/>
      <c r="N460" s="3"/>
      <c r="O460" s="3"/>
      <c r="P460" s="3"/>
      <c r="Q460" s="3"/>
      <c r="R460" s="3"/>
      <c r="S460" s="3"/>
      <c r="T460" s="3"/>
      <c r="AP460" s="43"/>
      <c r="AQ460" s="43"/>
    </row>
    <row r="461" spans="5:43" s="2" customFormat="1">
      <c r="E461" s="299"/>
      <c r="F461" s="299"/>
      <c r="G461" s="299"/>
      <c r="H461" s="299"/>
      <c r="L461" s="3"/>
      <c r="M461" s="3"/>
      <c r="N461" s="3"/>
      <c r="O461" s="3"/>
      <c r="P461" s="3"/>
      <c r="Q461" s="3"/>
      <c r="R461" s="3"/>
      <c r="S461" s="3"/>
      <c r="T461" s="3"/>
      <c r="AP461" s="43"/>
      <c r="AQ461" s="43"/>
    </row>
    <row r="462" spans="5:43" s="2" customFormat="1">
      <c r="E462" s="299"/>
      <c r="F462" s="299"/>
      <c r="G462" s="299"/>
      <c r="H462" s="299"/>
      <c r="L462" s="3"/>
      <c r="M462" s="3"/>
      <c r="N462" s="3"/>
      <c r="O462" s="3"/>
      <c r="P462" s="3"/>
      <c r="Q462" s="3"/>
      <c r="R462" s="3"/>
      <c r="S462" s="3"/>
      <c r="T462" s="3"/>
      <c r="AP462" s="43"/>
      <c r="AQ462" s="43"/>
    </row>
    <row r="463" spans="5:43" s="2" customFormat="1">
      <c r="E463" s="299"/>
      <c r="F463" s="299"/>
      <c r="G463" s="299"/>
      <c r="H463" s="299"/>
      <c r="L463" s="3"/>
      <c r="M463" s="3"/>
      <c r="N463" s="3"/>
      <c r="O463" s="3"/>
      <c r="P463" s="3"/>
      <c r="Q463" s="3"/>
      <c r="R463" s="3"/>
      <c r="S463" s="3"/>
      <c r="T463" s="3"/>
      <c r="AP463" s="43"/>
      <c r="AQ463" s="43"/>
    </row>
    <row r="464" spans="5:43" s="2" customFormat="1">
      <c r="E464" s="299"/>
      <c r="F464" s="299"/>
      <c r="G464" s="299"/>
      <c r="H464" s="299"/>
      <c r="L464" s="3"/>
      <c r="M464" s="3"/>
      <c r="N464" s="3"/>
      <c r="O464" s="3"/>
      <c r="P464" s="3"/>
      <c r="Q464" s="3"/>
      <c r="R464" s="3"/>
      <c r="S464" s="3"/>
      <c r="T464" s="3"/>
      <c r="AP464" s="43"/>
      <c r="AQ464" s="43"/>
    </row>
    <row r="465" spans="5:43" s="2" customFormat="1">
      <c r="E465" s="299"/>
      <c r="F465" s="299"/>
      <c r="G465" s="299"/>
      <c r="H465" s="299"/>
      <c r="L465" s="3"/>
      <c r="M465" s="3"/>
      <c r="N465" s="3"/>
      <c r="O465" s="3"/>
      <c r="P465" s="3"/>
      <c r="Q465" s="3"/>
      <c r="R465" s="3"/>
      <c r="S465" s="3"/>
      <c r="T465" s="3"/>
      <c r="AP465" s="43"/>
      <c r="AQ465" s="43"/>
    </row>
    <row r="466" spans="5:43" s="2" customFormat="1">
      <c r="E466" s="299"/>
      <c r="F466" s="299"/>
      <c r="G466" s="299"/>
      <c r="H466" s="299"/>
      <c r="L466" s="3"/>
      <c r="M466" s="3"/>
      <c r="N466" s="3"/>
      <c r="O466" s="3"/>
      <c r="P466" s="3"/>
      <c r="Q466" s="3"/>
      <c r="R466" s="3"/>
      <c r="S466" s="3"/>
      <c r="T466" s="3"/>
      <c r="AP466" s="43"/>
      <c r="AQ466" s="43"/>
    </row>
    <row r="467" spans="5:43" s="2" customFormat="1">
      <c r="E467" s="299"/>
      <c r="F467" s="299"/>
      <c r="G467" s="299"/>
      <c r="H467" s="299"/>
      <c r="L467" s="3"/>
      <c r="M467" s="3"/>
      <c r="N467" s="3"/>
      <c r="O467" s="3"/>
      <c r="P467" s="3"/>
      <c r="Q467" s="3"/>
      <c r="R467" s="3"/>
      <c r="S467" s="3"/>
      <c r="T467" s="3"/>
      <c r="AP467" s="43"/>
      <c r="AQ467" s="43"/>
    </row>
    <row r="468" spans="5:43" s="2" customFormat="1">
      <c r="E468" s="299"/>
      <c r="F468" s="299"/>
      <c r="G468" s="299"/>
      <c r="H468" s="299"/>
      <c r="L468" s="3"/>
      <c r="M468" s="3"/>
      <c r="N468" s="3"/>
      <c r="O468" s="3"/>
      <c r="P468" s="3"/>
      <c r="Q468" s="3"/>
      <c r="R468" s="3"/>
      <c r="S468" s="3"/>
      <c r="T468" s="3"/>
      <c r="AP468" s="43"/>
      <c r="AQ468" s="43"/>
    </row>
    <row r="469" spans="5:43" s="2" customFormat="1">
      <c r="E469" s="299"/>
      <c r="F469" s="299"/>
      <c r="G469" s="299"/>
      <c r="H469" s="299"/>
      <c r="L469" s="3"/>
      <c r="M469" s="3"/>
      <c r="N469" s="3"/>
      <c r="O469" s="3"/>
      <c r="P469" s="3"/>
      <c r="Q469" s="3"/>
      <c r="R469" s="3"/>
      <c r="S469" s="3"/>
      <c r="T469" s="3"/>
      <c r="AP469" s="43"/>
      <c r="AQ469" s="43"/>
    </row>
    <row r="470" spans="5:43" s="2" customFormat="1">
      <c r="E470" s="299"/>
      <c r="F470" s="299"/>
      <c r="G470" s="299"/>
      <c r="H470" s="299"/>
      <c r="L470" s="3"/>
      <c r="M470" s="3"/>
      <c r="N470" s="3"/>
      <c r="O470" s="3"/>
      <c r="P470" s="3"/>
      <c r="Q470" s="3"/>
      <c r="R470" s="3"/>
      <c r="S470" s="3"/>
      <c r="T470" s="3"/>
      <c r="AP470" s="43"/>
      <c r="AQ470" s="43"/>
    </row>
    <row r="471" spans="5:43" s="2" customFormat="1">
      <c r="E471" s="299"/>
      <c r="F471" s="299"/>
      <c r="G471" s="299"/>
      <c r="H471" s="299"/>
      <c r="L471" s="3"/>
      <c r="M471" s="3"/>
      <c r="N471" s="3"/>
      <c r="O471" s="3"/>
      <c r="P471" s="3"/>
      <c r="Q471" s="3"/>
      <c r="R471" s="3"/>
      <c r="S471" s="3"/>
      <c r="T471" s="3"/>
      <c r="AP471" s="43"/>
      <c r="AQ471" s="43"/>
    </row>
    <row r="472" spans="5:43" s="2" customFormat="1">
      <c r="E472" s="299"/>
      <c r="F472" s="299"/>
      <c r="G472" s="299"/>
      <c r="H472" s="299"/>
      <c r="L472" s="3"/>
      <c r="M472" s="3"/>
      <c r="N472" s="3"/>
      <c r="O472" s="3"/>
      <c r="P472" s="3"/>
      <c r="Q472" s="3"/>
      <c r="R472" s="3"/>
      <c r="S472" s="3"/>
      <c r="T472" s="3"/>
      <c r="AP472" s="43"/>
      <c r="AQ472" s="43"/>
    </row>
    <row r="473" spans="5:43" s="2" customFormat="1">
      <c r="E473" s="299"/>
      <c r="F473" s="299"/>
      <c r="G473" s="299"/>
      <c r="H473" s="299"/>
      <c r="L473" s="3"/>
      <c r="M473" s="3"/>
      <c r="N473" s="3"/>
      <c r="O473" s="3"/>
      <c r="P473" s="3"/>
      <c r="Q473" s="3"/>
      <c r="R473" s="3"/>
      <c r="S473" s="3"/>
      <c r="T473" s="3"/>
      <c r="AP473" s="43"/>
      <c r="AQ473" s="43"/>
    </row>
    <row r="474" spans="5:43" s="2" customFormat="1">
      <c r="E474" s="299"/>
      <c r="F474" s="299"/>
      <c r="G474" s="299"/>
      <c r="H474" s="299"/>
      <c r="L474" s="3"/>
      <c r="M474" s="3"/>
      <c r="N474" s="3"/>
      <c r="O474" s="3"/>
      <c r="P474" s="3"/>
      <c r="Q474" s="3"/>
      <c r="R474" s="3"/>
      <c r="S474" s="3"/>
      <c r="T474" s="3"/>
      <c r="AP474" s="43"/>
      <c r="AQ474" s="43"/>
    </row>
    <row r="475" spans="5:43" s="2" customFormat="1">
      <c r="E475" s="299"/>
      <c r="F475" s="299"/>
      <c r="G475" s="299"/>
      <c r="H475" s="299"/>
      <c r="L475" s="3"/>
      <c r="M475" s="3"/>
      <c r="N475" s="3"/>
      <c r="O475" s="3"/>
      <c r="P475" s="3"/>
      <c r="Q475" s="3"/>
      <c r="R475" s="3"/>
      <c r="S475" s="3"/>
      <c r="T475" s="3"/>
      <c r="AP475" s="43"/>
      <c r="AQ475" s="43"/>
    </row>
    <row r="476" spans="5:43" s="2" customFormat="1">
      <c r="E476" s="299"/>
      <c r="F476" s="299"/>
      <c r="G476" s="299"/>
      <c r="H476" s="299"/>
      <c r="L476" s="3"/>
      <c r="M476" s="3"/>
      <c r="N476" s="3"/>
      <c r="O476" s="3"/>
      <c r="P476" s="3"/>
      <c r="Q476" s="3"/>
      <c r="R476" s="3"/>
      <c r="S476" s="3"/>
      <c r="T476" s="3"/>
      <c r="AP476" s="43"/>
      <c r="AQ476" s="43"/>
    </row>
    <row r="477" spans="5:43" s="2" customFormat="1">
      <c r="E477" s="299"/>
      <c r="F477" s="299"/>
      <c r="G477" s="299"/>
      <c r="H477" s="299"/>
      <c r="L477" s="3"/>
      <c r="M477" s="3"/>
      <c r="N477" s="3"/>
      <c r="O477" s="3"/>
      <c r="P477" s="3"/>
      <c r="Q477" s="3"/>
      <c r="R477" s="3"/>
      <c r="S477" s="3"/>
      <c r="T477" s="3"/>
      <c r="AP477" s="43"/>
      <c r="AQ477" s="43"/>
    </row>
    <row r="478" spans="5:43" s="2" customFormat="1">
      <c r="E478" s="299"/>
      <c r="F478" s="299"/>
      <c r="G478" s="299"/>
      <c r="H478" s="299"/>
      <c r="L478" s="3"/>
      <c r="M478" s="3"/>
      <c r="N478" s="3"/>
      <c r="O478" s="3"/>
      <c r="P478" s="3"/>
      <c r="Q478" s="3"/>
      <c r="R478" s="3"/>
      <c r="S478" s="3"/>
      <c r="T478" s="3"/>
      <c r="AP478" s="43"/>
      <c r="AQ478" s="43"/>
    </row>
    <row r="479" spans="5:43" s="2" customFormat="1">
      <c r="E479" s="299"/>
      <c r="F479" s="299"/>
      <c r="G479" s="299"/>
      <c r="H479" s="299"/>
      <c r="L479" s="3"/>
      <c r="M479" s="3"/>
      <c r="N479" s="3"/>
      <c r="O479" s="3"/>
      <c r="P479" s="3"/>
      <c r="Q479" s="3"/>
      <c r="R479" s="3"/>
      <c r="S479" s="3"/>
      <c r="T479" s="3"/>
      <c r="AP479" s="43"/>
      <c r="AQ479" s="43"/>
    </row>
    <row r="480" spans="5:43" s="2" customFormat="1">
      <c r="E480" s="299"/>
      <c r="F480" s="299"/>
      <c r="G480" s="299"/>
      <c r="H480" s="299"/>
      <c r="L480" s="3"/>
      <c r="M480" s="3"/>
      <c r="N480" s="3"/>
      <c r="O480" s="3"/>
      <c r="P480" s="3"/>
      <c r="Q480" s="3"/>
      <c r="R480" s="3"/>
      <c r="S480" s="3"/>
      <c r="T480" s="3"/>
      <c r="AP480" s="43"/>
      <c r="AQ480" s="43"/>
    </row>
    <row r="481" spans="5:43" s="2" customFormat="1">
      <c r="E481" s="299"/>
      <c r="F481" s="299"/>
      <c r="G481" s="299"/>
      <c r="H481" s="299"/>
      <c r="L481" s="3"/>
      <c r="M481" s="3"/>
      <c r="N481" s="3"/>
      <c r="O481" s="3"/>
      <c r="P481" s="3"/>
      <c r="Q481" s="3"/>
      <c r="R481" s="3"/>
      <c r="S481" s="3"/>
      <c r="T481" s="3"/>
      <c r="AP481" s="43"/>
      <c r="AQ481" s="43"/>
    </row>
    <row r="482" spans="5:43" s="2" customFormat="1">
      <c r="E482" s="299"/>
      <c r="F482" s="299"/>
      <c r="G482" s="299"/>
      <c r="H482" s="299"/>
      <c r="L482" s="3"/>
      <c r="M482" s="3"/>
      <c r="N482" s="3"/>
      <c r="O482" s="3"/>
      <c r="P482" s="3"/>
      <c r="Q482" s="3"/>
      <c r="R482" s="3"/>
      <c r="S482" s="3"/>
      <c r="T482" s="3"/>
      <c r="AP482" s="43"/>
      <c r="AQ482" s="43"/>
    </row>
    <row r="483" spans="5:43" s="2" customFormat="1">
      <c r="E483" s="299"/>
      <c r="F483" s="299"/>
      <c r="G483" s="299"/>
      <c r="H483" s="299"/>
      <c r="L483" s="3"/>
      <c r="M483" s="3"/>
      <c r="N483" s="3"/>
      <c r="O483" s="3"/>
      <c r="P483" s="3"/>
      <c r="Q483" s="3"/>
      <c r="R483" s="3"/>
      <c r="S483" s="3"/>
      <c r="T483" s="3"/>
      <c r="AP483" s="43"/>
      <c r="AQ483" s="43"/>
    </row>
    <row r="484" spans="5:43" s="2" customFormat="1">
      <c r="E484" s="299"/>
      <c r="F484" s="299"/>
      <c r="G484" s="299"/>
      <c r="H484" s="299"/>
      <c r="L484" s="3"/>
      <c r="M484" s="3"/>
      <c r="N484" s="3"/>
      <c r="O484" s="3"/>
      <c r="P484" s="3"/>
      <c r="Q484" s="3"/>
      <c r="R484" s="3"/>
      <c r="S484" s="3"/>
      <c r="T484" s="3"/>
      <c r="AP484" s="43"/>
      <c r="AQ484" s="43"/>
    </row>
    <row r="485" spans="5:43" s="2" customFormat="1">
      <c r="E485" s="299"/>
      <c r="F485" s="299"/>
      <c r="G485" s="299"/>
      <c r="H485" s="299"/>
      <c r="L485" s="3"/>
      <c r="M485" s="3"/>
      <c r="N485" s="3"/>
      <c r="O485" s="3"/>
      <c r="P485" s="3"/>
      <c r="Q485" s="3"/>
      <c r="R485" s="3"/>
      <c r="S485" s="3"/>
      <c r="T485" s="3"/>
      <c r="AP485" s="43"/>
      <c r="AQ485" s="43"/>
    </row>
    <row r="486" spans="5:43" s="2" customFormat="1">
      <c r="E486" s="299"/>
      <c r="F486" s="299"/>
      <c r="G486" s="299"/>
      <c r="H486" s="299"/>
      <c r="L486" s="3"/>
      <c r="M486" s="3"/>
      <c r="N486" s="3"/>
      <c r="O486" s="3"/>
      <c r="P486" s="3"/>
      <c r="Q486" s="3"/>
      <c r="R486" s="3"/>
      <c r="S486" s="3"/>
      <c r="T486" s="3"/>
      <c r="AP486" s="43"/>
      <c r="AQ486" s="43"/>
    </row>
    <row r="487" spans="5:43" s="2" customFormat="1">
      <c r="E487" s="299"/>
      <c r="F487" s="299"/>
      <c r="G487" s="299"/>
      <c r="H487" s="299"/>
      <c r="L487" s="3"/>
      <c r="M487" s="3"/>
      <c r="N487" s="3"/>
      <c r="O487" s="3"/>
      <c r="P487" s="3"/>
      <c r="Q487" s="3"/>
      <c r="R487" s="3"/>
      <c r="S487" s="3"/>
      <c r="T487" s="3"/>
      <c r="AP487" s="43"/>
      <c r="AQ487" s="43"/>
    </row>
    <row r="488" spans="5:43" s="2" customFormat="1">
      <c r="E488" s="299"/>
      <c r="F488" s="299"/>
      <c r="G488" s="299"/>
      <c r="H488" s="299"/>
      <c r="L488" s="3"/>
      <c r="M488" s="3"/>
      <c r="N488" s="3"/>
      <c r="O488" s="3"/>
      <c r="P488" s="3"/>
      <c r="Q488" s="3"/>
      <c r="R488" s="3"/>
      <c r="S488" s="3"/>
      <c r="T488" s="3"/>
      <c r="AP488" s="43"/>
      <c r="AQ488" s="43"/>
    </row>
    <row r="489" spans="5:43" s="2" customFormat="1">
      <c r="E489" s="299"/>
      <c r="F489" s="299"/>
      <c r="G489" s="299"/>
      <c r="H489" s="299"/>
      <c r="L489" s="3"/>
      <c r="M489" s="3"/>
      <c r="N489" s="3"/>
      <c r="O489" s="3"/>
      <c r="P489" s="3"/>
      <c r="Q489" s="3"/>
      <c r="R489" s="3"/>
      <c r="S489" s="3"/>
      <c r="T489" s="3"/>
      <c r="AP489" s="43"/>
      <c r="AQ489" s="43"/>
    </row>
    <row r="490" spans="5:43" s="2" customFormat="1">
      <c r="E490" s="299"/>
      <c r="F490" s="299"/>
      <c r="G490" s="299"/>
      <c r="H490" s="299"/>
      <c r="L490" s="3"/>
      <c r="M490" s="3"/>
      <c r="N490" s="3"/>
      <c r="O490" s="3"/>
      <c r="P490" s="3"/>
      <c r="Q490" s="3"/>
      <c r="R490" s="3"/>
      <c r="S490" s="3"/>
      <c r="T490" s="3"/>
      <c r="AP490" s="43"/>
      <c r="AQ490" s="43"/>
    </row>
    <row r="491" spans="5:43" s="2" customFormat="1">
      <c r="E491" s="299"/>
      <c r="F491" s="299"/>
      <c r="G491" s="299"/>
      <c r="H491" s="299"/>
      <c r="L491" s="3"/>
      <c r="M491" s="3"/>
      <c r="N491" s="3"/>
      <c r="O491" s="3"/>
      <c r="P491" s="3"/>
      <c r="Q491" s="3"/>
      <c r="R491" s="3"/>
      <c r="S491" s="3"/>
      <c r="T491" s="3"/>
      <c r="AP491" s="43"/>
      <c r="AQ491" s="43"/>
    </row>
    <row r="492" spans="5:43" s="2" customFormat="1">
      <c r="E492" s="299"/>
      <c r="F492" s="299"/>
      <c r="G492" s="299"/>
      <c r="H492" s="299"/>
      <c r="L492" s="3"/>
      <c r="M492" s="3"/>
      <c r="N492" s="3"/>
      <c r="O492" s="3"/>
      <c r="P492" s="3"/>
      <c r="Q492" s="3"/>
      <c r="R492" s="3"/>
      <c r="S492" s="3"/>
      <c r="T492" s="3"/>
      <c r="AP492" s="43"/>
      <c r="AQ492" s="43"/>
    </row>
    <row r="493" spans="5:43" s="2" customFormat="1">
      <c r="E493" s="299"/>
      <c r="F493" s="299"/>
      <c r="G493" s="299"/>
      <c r="H493" s="299"/>
      <c r="L493" s="3"/>
      <c r="M493" s="3"/>
      <c r="N493" s="3"/>
      <c r="O493" s="3"/>
      <c r="P493" s="3"/>
      <c r="Q493" s="3"/>
      <c r="R493" s="3"/>
      <c r="S493" s="3"/>
      <c r="T493" s="3"/>
      <c r="AP493" s="43"/>
      <c r="AQ493" s="43"/>
    </row>
    <row r="494" spans="5:43" s="2" customFormat="1">
      <c r="E494" s="299"/>
      <c r="F494" s="299"/>
      <c r="G494" s="299"/>
      <c r="H494" s="299"/>
      <c r="L494" s="3"/>
      <c r="M494" s="3"/>
      <c r="N494" s="3"/>
      <c r="O494" s="3"/>
      <c r="P494" s="3"/>
      <c r="Q494" s="3"/>
      <c r="R494" s="3"/>
      <c r="S494" s="3"/>
      <c r="T494" s="3"/>
      <c r="AP494" s="43"/>
      <c r="AQ494" s="43"/>
    </row>
    <row r="495" spans="5:43" s="2" customFormat="1">
      <c r="E495" s="299"/>
      <c r="F495" s="299"/>
      <c r="G495" s="299"/>
      <c r="H495" s="299"/>
      <c r="L495" s="3"/>
      <c r="M495" s="3"/>
      <c r="N495" s="3"/>
      <c r="O495" s="3"/>
      <c r="P495" s="3"/>
      <c r="Q495" s="3"/>
      <c r="R495" s="3"/>
      <c r="S495" s="3"/>
      <c r="T495" s="3"/>
      <c r="AP495" s="43"/>
      <c r="AQ495" s="43"/>
    </row>
    <row r="496" spans="5:43" s="2" customFormat="1">
      <c r="E496" s="299"/>
      <c r="F496" s="299"/>
      <c r="G496" s="299"/>
      <c r="H496" s="299"/>
      <c r="L496" s="3"/>
      <c r="M496" s="3"/>
      <c r="N496" s="3"/>
      <c r="O496" s="3"/>
      <c r="P496" s="3"/>
      <c r="Q496" s="3"/>
      <c r="R496" s="3"/>
      <c r="S496" s="3"/>
      <c r="T496" s="3"/>
      <c r="AP496" s="43"/>
      <c r="AQ496" s="43"/>
    </row>
    <row r="497" spans="5:43" s="2" customFormat="1">
      <c r="E497" s="299"/>
      <c r="F497" s="299"/>
      <c r="G497" s="299"/>
      <c r="H497" s="299"/>
      <c r="L497" s="3"/>
      <c r="M497" s="3"/>
      <c r="N497" s="3"/>
      <c r="O497" s="3"/>
      <c r="P497" s="3"/>
      <c r="Q497" s="3"/>
      <c r="R497" s="3"/>
      <c r="S497" s="3"/>
      <c r="T497" s="3"/>
      <c r="AP497" s="43"/>
      <c r="AQ497" s="43"/>
    </row>
    <row r="498" spans="5:43" s="2" customFormat="1">
      <c r="E498" s="299"/>
      <c r="F498" s="299"/>
      <c r="G498" s="299"/>
      <c r="H498" s="299"/>
      <c r="L498" s="3"/>
      <c r="M498" s="3"/>
      <c r="N498" s="3"/>
      <c r="O498" s="3"/>
      <c r="P498" s="3"/>
      <c r="Q498" s="3"/>
      <c r="R498" s="3"/>
      <c r="S498" s="3"/>
      <c r="T498" s="3"/>
      <c r="AP498" s="43"/>
      <c r="AQ498" s="43"/>
    </row>
    <row r="499" spans="5:43" s="2" customFormat="1">
      <c r="E499" s="299"/>
      <c r="F499" s="299"/>
      <c r="G499" s="299"/>
      <c r="H499" s="299"/>
      <c r="L499" s="3"/>
      <c r="M499" s="3"/>
      <c r="N499" s="3"/>
      <c r="O499" s="3"/>
      <c r="P499" s="3"/>
      <c r="Q499" s="3"/>
      <c r="R499" s="3"/>
      <c r="S499" s="3"/>
      <c r="T499" s="3"/>
      <c r="AP499" s="43"/>
      <c r="AQ499" s="43"/>
    </row>
    <row r="500" spans="5:43" s="2" customFormat="1">
      <c r="E500" s="299"/>
      <c r="F500" s="299"/>
      <c r="G500" s="299"/>
      <c r="H500" s="299"/>
      <c r="L500" s="3"/>
      <c r="M500" s="3"/>
      <c r="N500" s="3"/>
      <c r="O500" s="3"/>
      <c r="P500" s="3"/>
      <c r="Q500" s="3"/>
      <c r="R500" s="3"/>
      <c r="S500" s="3"/>
      <c r="T500" s="3"/>
      <c r="AP500" s="43"/>
      <c r="AQ500" s="43"/>
    </row>
    <row r="501" spans="5:43" s="2" customFormat="1">
      <c r="E501" s="299"/>
      <c r="F501" s="299"/>
      <c r="G501" s="299"/>
      <c r="H501" s="299"/>
      <c r="L501" s="3"/>
      <c r="M501" s="3"/>
      <c r="N501" s="3"/>
      <c r="O501" s="3"/>
      <c r="P501" s="3"/>
      <c r="Q501" s="3"/>
      <c r="R501" s="3"/>
      <c r="S501" s="3"/>
      <c r="T501" s="3"/>
      <c r="AP501" s="43"/>
      <c r="AQ501" s="43"/>
    </row>
    <row r="502" spans="5:43" s="2" customFormat="1">
      <c r="E502" s="299"/>
      <c r="F502" s="299"/>
      <c r="G502" s="299"/>
      <c r="H502" s="299"/>
      <c r="L502" s="3"/>
      <c r="M502" s="3"/>
      <c r="N502" s="3"/>
      <c r="O502" s="3"/>
      <c r="P502" s="3"/>
      <c r="Q502" s="3"/>
      <c r="R502" s="3"/>
      <c r="S502" s="3"/>
      <c r="T502" s="3"/>
      <c r="AP502" s="43"/>
      <c r="AQ502" s="43"/>
    </row>
    <row r="503" spans="5:43" s="2" customFormat="1">
      <c r="E503" s="299"/>
      <c r="F503" s="299"/>
      <c r="G503" s="299"/>
      <c r="H503" s="299"/>
      <c r="L503" s="3"/>
      <c r="M503" s="3"/>
      <c r="N503" s="3"/>
      <c r="O503" s="3"/>
      <c r="P503" s="3"/>
      <c r="Q503" s="3"/>
      <c r="R503" s="3"/>
      <c r="S503" s="3"/>
      <c r="T503" s="3"/>
      <c r="AP503" s="43"/>
      <c r="AQ503" s="43"/>
    </row>
    <row r="504" spans="5:43" s="2" customFormat="1">
      <c r="E504" s="299"/>
      <c r="F504" s="299"/>
      <c r="G504" s="299"/>
      <c r="H504" s="299"/>
      <c r="L504" s="3"/>
      <c r="M504" s="3"/>
      <c r="N504" s="3"/>
      <c r="O504" s="3"/>
      <c r="P504" s="3"/>
      <c r="Q504" s="3"/>
      <c r="R504" s="3"/>
      <c r="S504" s="3"/>
      <c r="T504" s="3"/>
      <c r="AP504" s="43"/>
      <c r="AQ504" s="43"/>
    </row>
    <row r="505" spans="5:43" s="2" customFormat="1">
      <c r="E505" s="299"/>
      <c r="F505" s="299"/>
      <c r="G505" s="299"/>
      <c r="H505" s="299"/>
      <c r="L505" s="3"/>
      <c r="M505" s="3"/>
      <c r="N505" s="3"/>
      <c r="O505" s="3"/>
      <c r="P505" s="3"/>
      <c r="Q505" s="3"/>
      <c r="R505" s="3"/>
      <c r="S505" s="3"/>
      <c r="T505" s="3"/>
      <c r="AP505" s="43"/>
      <c r="AQ505" s="43"/>
    </row>
    <row r="506" spans="5:43" s="2" customFormat="1">
      <c r="E506" s="299"/>
      <c r="F506" s="299"/>
      <c r="G506" s="299"/>
      <c r="H506" s="299"/>
      <c r="L506" s="3"/>
      <c r="M506" s="3"/>
      <c r="N506" s="3"/>
      <c r="O506" s="3"/>
      <c r="P506" s="3"/>
      <c r="Q506" s="3"/>
      <c r="R506" s="3"/>
      <c r="S506" s="3"/>
      <c r="T506" s="3"/>
      <c r="AP506" s="43"/>
      <c r="AQ506" s="43"/>
    </row>
    <row r="507" spans="5:43" s="2" customFormat="1">
      <c r="E507" s="299"/>
      <c r="F507" s="299"/>
      <c r="G507" s="299"/>
      <c r="H507" s="299"/>
      <c r="L507" s="3"/>
      <c r="M507" s="3"/>
      <c r="N507" s="3"/>
      <c r="O507" s="3"/>
      <c r="P507" s="3"/>
      <c r="Q507" s="3"/>
      <c r="R507" s="3"/>
      <c r="S507" s="3"/>
      <c r="T507" s="3"/>
      <c r="AP507" s="43"/>
      <c r="AQ507" s="43"/>
    </row>
    <row r="508" spans="5:43" s="2" customFormat="1">
      <c r="E508" s="299"/>
      <c r="F508" s="299"/>
      <c r="G508" s="299"/>
      <c r="H508" s="299"/>
      <c r="L508" s="3"/>
      <c r="M508" s="3"/>
      <c r="N508" s="3"/>
      <c r="O508" s="3"/>
      <c r="P508" s="3"/>
      <c r="Q508" s="3"/>
      <c r="R508" s="3"/>
      <c r="S508" s="3"/>
      <c r="T508" s="3"/>
      <c r="AP508" s="43"/>
      <c r="AQ508" s="43"/>
    </row>
    <row r="509" spans="5:43" s="2" customFormat="1">
      <c r="E509" s="299"/>
      <c r="F509" s="299"/>
      <c r="G509" s="299"/>
      <c r="H509" s="299"/>
      <c r="L509" s="3"/>
      <c r="M509" s="3"/>
      <c r="N509" s="3"/>
      <c r="O509" s="3"/>
      <c r="P509" s="3"/>
      <c r="Q509" s="3"/>
      <c r="R509" s="3"/>
      <c r="S509" s="3"/>
      <c r="T509" s="3"/>
      <c r="AP509" s="43"/>
      <c r="AQ509" s="43"/>
    </row>
    <row r="510" spans="5:43" s="2" customFormat="1">
      <c r="E510" s="299"/>
      <c r="F510" s="299"/>
      <c r="G510" s="299"/>
      <c r="H510" s="299"/>
      <c r="L510" s="3"/>
      <c r="M510" s="3"/>
      <c r="N510" s="3"/>
      <c r="O510" s="3"/>
      <c r="P510" s="3"/>
      <c r="Q510" s="3"/>
      <c r="R510" s="3"/>
      <c r="S510" s="3"/>
      <c r="T510" s="3"/>
      <c r="AP510" s="43"/>
      <c r="AQ510" s="43"/>
    </row>
    <row r="511" spans="5:43" s="2" customFormat="1">
      <c r="E511" s="299"/>
      <c r="F511" s="299"/>
      <c r="G511" s="299"/>
      <c r="H511" s="299"/>
      <c r="L511" s="3"/>
      <c r="M511" s="3"/>
      <c r="N511" s="3"/>
      <c r="O511" s="3"/>
      <c r="P511" s="3"/>
      <c r="Q511" s="3"/>
      <c r="R511" s="3"/>
      <c r="S511" s="3"/>
      <c r="T511" s="3"/>
      <c r="AP511" s="43"/>
      <c r="AQ511" s="43"/>
    </row>
    <row r="512" spans="5:43" s="2" customFormat="1">
      <c r="E512" s="299"/>
      <c r="F512" s="299"/>
      <c r="G512" s="299"/>
      <c r="H512" s="299"/>
      <c r="L512" s="3"/>
      <c r="M512" s="3"/>
      <c r="N512" s="3"/>
      <c r="O512" s="3"/>
      <c r="P512" s="3"/>
      <c r="Q512" s="3"/>
      <c r="R512" s="3"/>
      <c r="S512" s="3"/>
      <c r="T512" s="3"/>
      <c r="AP512" s="43"/>
      <c r="AQ512" s="43"/>
    </row>
    <row r="513" spans="5:43" s="2" customFormat="1">
      <c r="E513" s="299"/>
      <c r="F513" s="299"/>
      <c r="G513" s="299"/>
      <c r="H513" s="299"/>
      <c r="L513" s="3"/>
      <c r="M513" s="3"/>
      <c r="N513" s="3"/>
      <c r="O513" s="3"/>
      <c r="P513" s="3"/>
      <c r="Q513" s="3"/>
      <c r="R513" s="3"/>
      <c r="S513" s="3"/>
      <c r="T513" s="3"/>
      <c r="AP513" s="43"/>
      <c r="AQ513" s="43"/>
    </row>
    <row r="514" spans="5:43" s="2" customFormat="1">
      <c r="E514" s="299"/>
      <c r="F514" s="299"/>
      <c r="G514" s="299"/>
      <c r="H514" s="299"/>
      <c r="L514" s="3"/>
      <c r="M514" s="3"/>
      <c r="N514" s="3"/>
      <c r="O514" s="3"/>
      <c r="P514" s="3"/>
      <c r="Q514" s="3"/>
      <c r="R514" s="3"/>
      <c r="S514" s="3"/>
      <c r="T514" s="3"/>
      <c r="AP514" s="43"/>
      <c r="AQ514" s="43"/>
    </row>
    <row r="515" spans="5:43" s="2" customFormat="1">
      <c r="E515" s="299"/>
      <c r="F515" s="299"/>
      <c r="G515" s="299"/>
      <c r="H515" s="299"/>
      <c r="L515" s="3"/>
      <c r="M515" s="3"/>
      <c r="N515" s="3"/>
      <c r="O515" s="3"/>
      <c r="P515" s="3"/>
      <c r="Q515" s="3"/>
      <c r="R515" s="3"/>
      <c r="S515" s="3"/>
      <c r="T515" s="3"/>
      <c r="AP515" s="43"/>
      <c r="AQ515" s="43"/>
    </row>
    <row r="516" spans="5:43" s="2" customFormat="1">
      <c r="E516" s="299"/>
      <c r="F516" s="299"/>
      <c r="G516" s="299"/>
      <c r="H516" s="299"/>
      <c r="L516" s="3"/>
      <c r="M516" s="3"/>
      <c r="N516" s="3"/>
      <c r="O516" s="3"/>
      <c r="P516" s="3"/>
      <c r="Q516" s="3"/>
      <c r="R516" s="3"/>
      <c r="S516" s="3"/>
      <c r="T516" s="3"/>
      <c r="AP516" s="43"/>
      <c r="AQ516" s="43"/>
    </row>
    <row r="517" spans="5:43" s="2" customFormat="1">
      <c r="E517" s="299"/>
      <c r="F517" s="299"/>
      <c r="G517" s="299"/>
      <c r="H517" s="299"/>
      <c r="L517" s="3"/>
      <c r="M517" s="3"/>
      <c r="N517" s="3"/>
      <c r="O517" s="3"/>
      <c r="P517" s="3"/>
      <c r="Q517" s="3"/>
      <c r="R517" s="3"/>
      <c r="S517" s="3"/>
      <c r="T517" s="3"/>
      <c r="AP517" s="43"/>
      <c r="AQ517" s="43"/>
    </row>
    <row r="518" spans="5:43" s="2" customFormat="1">
      <c r="E518" s="299"/>
      <c r="F518" s="299"/>
      <c r="G518" s="299"/>
      <c r="H518" s="299"/>
      <c r="L518" s="3"/>
      <c r="M518" s="3"/>
      <c r="N518" s="3"/>
      <c r="O518" s="3"/>
      <c r="P518" s="3"/>
      <c r="Q518" s="3"/>
      <c r="R518" s="3"/>
      <c r="S518" s="3"/>
      <c r="T518" s="3"/>
      <c r="AP518" s="43"/>
      <c r="AQ518" s="43"/>
    </row>
    <row r="519" spans="5:43" s="2" customFormat="1">
      <c r="E519" s="299"/>
      <c r="F519" s="299"/>
      <c r="G519" s="299"/>
      <c r="H519" s="299"/>
      <c r="L519" s="3"/>
      <c r="M519" s="3"/>
      <c r="N519" s="3"/>
      <c r="O519" s="3"/>
      <c r="P519" s="3"/>
      <c r="Q519" s="3"/>
      <c r="R519" s="3"/>
      <c r="S519" s="3"/>
      <c r="T519" s="3"/>
      <c r="AP519" s="43"/>
      <c r="AQ519" s="43"/>
    </row>
    <row r="520" spans="5:43" s="2" customFormat="1">
      <c r="E520" s="299"/>
      <c r="F520" s="299"/>
      <c r="G520" s="299"/>
      <c r="H520" s="299"/>
      <c r="L520" s="3"/>
      <c r="M520" s="3"/>
      <c r="N520" s="3"/>
      <c r="O520" s="3"/>
      <c r="P520" s="3"/>
      <c r="Q520" s="3"/>
      <c r="R520" s="3"/>
      <c r="S520" s="3"/>
      <c r="T520" s="3"/>
      <c r="AP520" s="43"/>
      <c r="AQ520" s="43"/>
    </row>
    <row r="521" spans="5:43" s="2" customFormat="1">
      <c r="E521" s="299"/>
      <c r="F521" s="299"/>
      <c r="G521" s="299"/>
      <c r="H521" s="299"/>
      <c r="L521" s="3"/>
      <c r="M521" s="3"/>
      <c r="N521" s="3"/>
      <c r="O521" s="3"/>
      <c r="P521" s="3"/>
      <c r="Q521" s="3"/>
      <c r="R521" s="3"/>
      <c r="S521" s="3"/>
      <c r="T521" s="3"/>
      <c r="AP521" s="43"/>
      <c r="AQ521" s="43"/>
    </row>
    <row r="522" spans="5:43" s="2" customFormat="1">
      <c r="E522" s="299"/>
      <c r="F522" s="299"/>
      <c r="G522" s="299"/>
      <c r="H522" s="299"/>
      <c r="L522" s="3"/>
      <c r="M522" s="3"/>
      <c r="N522" s="3"/>
      <c r="O522" s="3"/>
      <c r="P522" s="3"/>
      <c r="Q522" s="3"/>
      <c r="R522" s="3"/>
      <c r="S522" s="3"/>
      <c r="T522" s="3"/>
      <c r="AP522" s="43"/>
      <c r="AQ522" s="43"/>
    </row>
    <row r="523" spans="5:43" s="2" customFormat="1">
      <c r="E523" s="299"/>
      <c r="F523" s="299"/>
      <c r="G523" s="299"/>
      <c r="H523" s="299"/>
      <c r="L523" s="3"/>
      <c r="M523" s="3"/>
      <c r="N523" s="3"/>
      <c r="O523" s="3"/>
      <c r="P523" s="3"/>
      <c r="Q523" s="3"/>
      <c r="R523" s="3"/>
      <c r="S523" s="3"/>
      <c r="T523" s="3"/>
      <c r="AP523" s="43"/>
      <c r="AQ523" s="43"/>
    </row>
    <row r="524" spans="5:43" s="2" customFormat="1">
      <c r="E524" s="299"/>
      <c r="F524" s="299"/>
      <c r="G524" s="299"/>
      <c r="H524" s="299"/>
      <c r="L524" s="3"/>
      <c r="M524" s="3"/>
      <c r="N524" s="3"/>
      <c r="O524" s="3"/>
      <c r="P524" s="3"/>
      <c r="Q524" s="3"/>
      <c r="R524" s="3"/>
      <c r="S524" s="3"/>
      <c r="T524" s="3"/>
      <c r="AP524" s="43"/>
      <c r="AQ524" s="43"/>
    </row>
    <row r="525" spans="5:43" s="2" customFormat="1">
      <c r="E525" s="299"/>
      <c r="F525" s="299"/>
      <c r="G525" s="299"/>
      <c r="H525" s="299"/>
      <c r="L525" s="3"/>
      <c r="M525" s="3"/>
      <c r="N525" s="3"/>
      <c r="O525" s="3"/>
      <c r="P525" s="3"/>
      <c r="Q525" s="3"/>
      <c r="R525" s="3"/>
      <c r="S525" s="3"/>
      <c r="T525" s="3"/>
      <c r="AP525" s="43"/>
      <c r="AQ525" s="43"/>
    </row>
    <row r="526" spans="5:43" s="2" customFormat="1">
      <c r="E526" s="299"/>
      <c r="F526" s="299"/>
      <c r="G526" s="299"/>
      <c r="H526" s="299"/>
      <c r="L526" s="3"/>
      <c r="M526" s="3"/>
      <c r="N526" s="3"/>
      <c r="O526" s="3"/>
      <c r="P526" s="3"/>
      <c r="Q526" s="3"/>
      <c r="R526" s="3"/>
      <c r="S526" s="3"/>
      <c r="T526" s="3"/>
      <c r="AP526" s="43"/>
      <c r="AQ526" s="43"/>
    </row>
    <row r="527" spans="5:43" s="2" customFormat="1">
      <c r="E527" s="299"/>
      <c r="F527" s="299"/>
      <c r="G527" s="299"/>
      <c r="H527" s="299"/>
      <c r="L527" s="3"/>
      <c r="M527" s="3"/>
      <c r="N527" s="3"/>
      <c r="O527" s="3"/>
      <c r="P527" s="3"/>
      <c r="Q527" s="3"/>
      <c r="R527" s="3"/>
      <c r="S527" s="3"/>
      <c r="T527" s="3"/>
      <c r="AP527" s="43"/>
      <c r="AQ527" s="43"/>
    </row>
    <row r="528" spans="5:43" s="2" customFormat="1">
      <c r="E528" s="299"/>
      <c r="F528" s="299"/>
      <c r="G528" s="299"/>
      <c r="H528" s="299"/>
      <c r="L528" s="3"/>
      <c r="M528" s="3"/>
      <c r="N528" s="3"/>
      <c r="O528" s="3"/>
      <c r="P528" s="3"/>
      <c r="Q528" s="3"/>
      <c r="R528" s="3"/>
      <c r="S528" s="3"/>
      <c r="T528" s="3"/>
      <c r="AP528" s="43"/>
      <c r="AQ528" s="43"/>
    </row>
    <row r="529" spans="5:43" s="2" customFormat="1">
      <c r="E529" s="299"/>
      <c r="F529" s="299"/>
      <c r="G529" s="299"/>
      <c r="H529" s="299"/>
      <c r="L529" s="3"/>
      <c r="M529" s="3"/>
      <c r="N529" s="3"/>
      <c r="O529" s="3"/>
      <c r="P529" s="3"/>
      <c r="Q529" s="3"/>
      <c r="R529" s="3"/>
      <c r="S529" s="3"/>
      <c r="T529" s="3"/>
      <c r="AP529" s="43"/>
      <c r="AQ529" s="43"/>
    </row>
    <row r="530" spans="5:43" s="2" customFormat="1">
      <c r="E530" s="299"/>
      <c r="F530" s="299"/>
      <c r="G530" s="299"/>
      <c r="H530" s="299"/>
      <c r="L530" s="3"/>
      <c r="M530" s="3"/>
      <c r="N530" s="3"/>
      <c r="O530" s="3"/>
      <c r="P530" s="3"/>
      <c r="Q530" s="3"/>
      <c r="R530" s="3"/>
      <c r="S530" s="3"/>
      <c r="T530" s="3"/>
      <c r="AP530" s="43"/>
      <c r="AQ530" s="43"/>
    </row>
    <row r="531" spans="5:43" s="2" customFormat="1">
      <c r="E531" s="299"/>
      <c r="F531" s="299"/>
      <c r="G531" s="299"/>
      <c r="H531" s="299"/>
      <c r="L531" s="3"/>
      <c r="M531" s="3"/>
      <c r="N531" s="3"/>
      <c r="O531" s="3"/>
      <c r="P531" s="3"/>
      <c r="Q531" s="3"/>
      <c r="R531" s="3"/>
      <c r="S531" s="3"/>
      <c r="T531" s="3"/>
      <c r="AP531" s="43"/>
      <c r="AQ531" s="43"/>
    </row>
    <row r="532" spans="5:43" s="2" customFormat="1">
      <c r="E532" s="299"/>
      <c r="F532" s="299"/>
      <c r="G532" s="299"/>
      <c r="H532" s="299"/>
      <c r="L532" s="3"/>
      <c r="M532" s="3"/>
      <c r="N532" s="3"/>
      <c r="O532" s="3"/>
      <c r="P532" s="3"/>
      <c r="Q532" s="3"/>
      <c r="R532" s="3"/>
      <c r="S532" s="3"/>
      <c r="T532" s="3"/>
      <c r="AP532" s="43"/>
      <c r="AQ532" s="43"/>
    </row>
    <row r="533" spans="5:43" s="2" customFormat="1">
      <c r="E533" s="299"/>
      <c r="F533" s="299"/>
      <c r="G533" s="299"/>
      <c r="H533" s="299"/>
      <c r="L533" s="3"/>
      <c r="M533" s="3"/>
      <c r="N533" s="3"/>
      <c r="O533" s="3"/>
      <c r="P533" s="3"/>
      <c r="Q533" s="3"/>
      <c r="R533" s="3"/>
      <c r="S533" s="3"/>
      <c r="T533" s="3"/>
      <c r="AP533" s="43"/>
      <c r="AQ533" s="43"/>
    </row>
    <row r="534" spans="5:43" s="2" customFormat="1">
      <c r="E534" s="299"/>
      <c r="F534" s="299"/>
      <c r="G534" s="299"/>
      <c r="H534" s="299"/>
      <c r="L534" s="3"/>
      <c r="M534" s="3"/>
      <c r="N534" s="3"/>
      <c r="O534" s="3"/>
      <c r="P534" s="3"/>
      <c r="Q534" s="3"/>
      <c r="R534" s="3"/>
      <c r="S534" s="3"/>
      <c r="T534" s="3"/>
      <c r="AP534" s="43"/>
      <c r="AQ534" s="43"/>
    </row>
    <row r="535" spans="5:43" s="2" customFormat="1">
      <c r="E535" s="299"/>
      <c r="F535" s="299"/>
      <c r="G535" s="299"/>
      <c r="H535" s="299"/>
      <c r="L535" s="3"/>
      <c r="M535" s="3"/>
      <c r="N535" s="3"/>
      <c r="O535" s="3"/>
      <c r="P535" s="3"/>
      <c r="Q535" s="3"/>
      <c r="R535" s="3"/>
      <c r="S535" s="3"/>
      <c r="T535" s="3"/>
      <c r="AP535" s="43"/>
      <c r="AQ535" s="43"/>
    </row>
    <row r="536" spans="5:43" s="2" customFormat="1">
      <c r="E536" s="299"/>
      <c r="F536" s="299"/>
      <c r="G536" s="299"/>
      <c r="H536" s="299"/>
      <c r="L536" s="3"/>
      <c r="M536" s="3"/>
      <c r="N536" s="3"/>
      <c r="O536" s="3"/>
      <c r="P536" s="3"/>
      <c r="Q536" s="3"/>
      <c r="R536" s="3"/>
      <c r="S536" s="3"/>
      <c r="T536" s="3"/>
      <c r="AP536" s="43"/>
      <c r="AQ536" s="43"/>
    </row>
    <row r="537" spans="5:43" s="2" customFormat="1">
      <c r="E537" s="299"/>
      <c r="F537" s="299"/>
      <c r="G537" s="299"/>
      <c r="H537" s="299"/>
      <c r="L537" s="3"/>
      <c r="M537" s="3"/>
      <c r="N537" s="3"/>
      <c r="O537" s="3"/>
      <c r="P537" s="3"/>
      <c r="Q537" s="3"/>
      <c r="R537" s="3"/>
      <c r="S537" s="3"/>
      <c r="T537" s="3"/>
      <c r="AP537" s="43"/>
      <c r="AQ537" s="43"/>
    </row>
    <row r="538" spans="5:43" s="2" customFormat="1">
      <c r="E538" s="299"/>
      <c r="F538" s="299"/>
      <c r="G538" s="299"/>
      <c r="H538" s="299"/>
      <c r="L538" s="3"/>
      <c r="M538" s="3"/>
      <c r="N538" s="3"/>
      <c r="O538" s="3"/>
      <c r="P538" s="3"/>
      <c r="Q538" s="3"/>
      <c r="R538" s="3"/>
      <c r="S538" s="3"/>
      <c r="T538" s="3"/>
      <c r="AP538" s="43"/>
      <c r="AQ538" s="43"/>
    </row>
    <row r="539" spans="5:43" s="2" customFormat="1">
      <c r="E539" s="299"/>
      <c r="F539" s="299"/>
      <c r="G539" s="299"/>
      <c r="H539" s="299"/>
      <c r="L539" s="3"/>
      <c r="M539" s="3"/>
      <c r="N539" s="3"/>
      <c r="O539" s="3"/>
      <c r="P539" s="3"/>
      <c r="Q539" s="3"/>
      <c r="R539" s="3"/>
      <c r="S539" s="3"/>
      <c r="T539" s="3"/>
      <c r="AP539" s="43"/>
      <c r="AQ539" s="43"/>
    </row>
  </sheetData>
  <mergeCells count="345">
    <mergeCell ref="E1:T1"/>
    <mergeCell ref="M11:M12"/>
    <mergeCell ref="N11:N12"/>
    <mergeCell ref="O11:O12"/>
    <mergeCell ref="I5:I6"/>
    <mergeCell ref="I7:I8"/>
    <mergeCell ref="I9:I10"/>
    <mergeCell ref="I11:I12"/>
    <mergeCell ref="J5:J6"/>
    <mergeCell ref="J7:J8"/>
    <mergeCell ref="J9:J10"/>
    <mergeCell ref="J11:J12"/>
    <mergeCell ref="K5:K6"/>
    <mergeCell ref="M5:M6"/>
    <mergeCell ref="M7:M8"/>
    <mergeCell ref="N7:N8"/>
    <mergeCell ref="K7:K8"/>
    <mergeCell ref="K9:K10"/>
    <mergeCell ref="K11:K12"/>
    <mergeCell ref="L5:L6"/>
    <mergeCell ref="L7:L8"/>
    <mergeCell ref="L9:L10"/>
    <mergeCell ref="L11:L12"/>
    <mergeCell ref="M9:M10"/>
    <mergeCell ref="N9:N10"/>
    <mergeCell ref="O9:O10"/>
    <mergeCell ref="P11:P12"/>
    <mergeCell ref="S9:S10"/>
    <mergeCell ref="T9:T10"/>
    <mergeCell ref="Q11:Q12"/>
    <mergeCell ref="S11:S12"/>
    <mergeCell ref="T11:T12"/>
    <mergeCell ref="Q5:Q6"/>
    <mergeCell ref="S5:S6"/>
    <mergeCell ref="T5:T6"/>
    <mergeCell ref="Q7:Q8"/>
    <mergeCell ref="S7:S8"/>
    <mergeCell ref="T7:T8"/>
    <mergeCell ref="Q9:Q10"/>
    <mergeCell ref="R5:R6"/>
    <mergeCell ref="R7:R8"/>
    <mergeCell ref="R9:R10"/>
    <mergeCell ref="R11:R12"/>
    <mergeCell ref="T16:T17"/>
    <mergeCell ref="I18:I19"/>
    <mergeCell ref="J18:J19"/>
    <mergeCell ref="K18:K19"/>
    <mergeCell ref="L18:L19"/>
    <mergeCell ref="Q18:Q19"/>
    <mergeCell ref="S18:S19"/>
    <mergeCell ref="T18:T19"/>
    <mergeCell ref="I16:I17"/>
    <mergeCell ref="J16:J17"/>
    <mergeCell ref="K16:K17"/>
    <mergeCell ref="L16:L17"/>
    <mergeCell ref="Q16:Q17"/>
    <mergeCell ref="S16:S17"/>
    <mergeCell ref="M18:M19"/>
    <mergeCell ref="N18:N19"/>
    <mergeCell ref="R18:R19"/>
    <mergeCell ref="M16:M17"/>
    <mergeCell ref="R16:R17"/>
    <mergeCell ref="T20:T21"/>
    <mergeCell ref="I22:I23"/>
    <mergeCell ref="J22:J23"/>
    <mergeCell ref="K22:K23"/>
    <mergeCell ref="L22:L23"/>
    <mergeCell ref="Q22:Q23"/>
    <mergeCell ref="S22:S23"/>
    <mergeCell ref="T22:T23"/>
    <mergeCell ref="I20:I21"/>
    <mergeCell ref="J20:J21"/>
    <mergeCell ref="K20:K21"/>
    <mergeCell ref="L20:L21"/>
    <mergeCell ref="Q20:Q21"/>
    <mergeCell ref="S20:S21"/>
    <mergeCell ref="M22:M23"/>
    <mergeCell ref="N22:N23"/>
    <mergeCell ref="O22:O23"/>
    <mergeCell ref="M20:M21"/>
    <mergeCell ref="N20:N21"/>
    <mergeCell ref="O20:O21"/>
    <mergeCell ref="R20:R21"/>
    <mergeCell ref="P22:P23"/>
    <mergeCell ref="R22:R23"/>
    <mergeCell ref="I29:I30"/>
    <mergeCell ref="J29:J30"/>
    <mergeCell ref="K29:K30"/>
    <mergeCell ref="L29:L30"/>
    <mergeCell ref="Q29:Q30"/>
    <mergeCell ref="S29:S30"/>
    <mergeCell ref="T29:T30"/>
    <mergeCell ref="I27:I28"/>
    <mergeCell ref="J27:J28"/>
    <mergeCell ref="K27:K28"/>
    <mergeCell ref="L27:L28"/>
    <mergeCell ref="Q27:Q28"/>
    <mergeCell ref="S27:S28"/>
    <mergeCell ref="M27:M28"/>
    <mergeCell ref="M29:M30"/>
    <mergeCell ref="N29:N30"/>
    <mergeCell ref="R27:R28"/>
    <mergeCell ref="R29:R30"/>
    <mergeCell ref="I33:I34"/>
    <mergeCell ref="J33:J34"/>
    <mergeCell ref="K33:K34"/>
    <mergeCell ref="L33:L34"/>
    <mergeCell ref="Q33:Q34"/>
    <mergeCell ref="S33:S34"/>
    <mergeCell ref="T33:T34"/>
    <mergeCell ref="I31:I32"/>
    <mergeCell ref="J31:J32"/>
    <mergeCell ref="K31:K32"/>
    <mergeCell ref="L31:L32"/>
    <mergeCell ref="Q31:Q32"/>
    <mergeCell ref="S31:S32"/>
    <mergeCell ref="M31:M32"/>
    <mergeCell ref="N31:N32"/>
    <mergeCell ref="O31:O32"/>
    <mergeCell ref="M33:M34"/>
    <mergeCell ref="N33:N34"/>
    <mergeCell ref="O33:O34"/>
    <mergeCell ref="P33:P34"/>
    <mergeCell ref="R31:R32"/>
    <mergeCell ref="R33:R34"/>
    <mergeCell ref="I40:I41"/>
    <mergeCell ref="J40:J41"/>
    <mergeCell ref="K40:K41"/>
    <mergeCell ref="L40:L41"/>
    <mergeCell ref="Q40:Q41"/>
    <mergeCell ref="S40:S41"/>
    <mergeCell ref="T40:T41"/>
    <mergeCell ref="I38:I39"/>
    <mergeCell ref="J38:J39"/>
    <mergeCell ref="K38:K39"/>
    <mergeCell ref="L38:L39"/>
    <mergeCell ref="Q38:Q39"/>
    <mergeCell ref="S38:S39"/>
    <mergeCell ref="M40:M41"/>
    <mergeCell ref="N40:N41"/>
    <mergeCell ref="R40:R41"/>
    <mergeCell ref="M38:M39"/>
    <mergeCell ref="R38:R39"/>
    <mergeCell ref="I44:I45"/>
    <mergeCell ref="J44:J45"/>
    <mergeCell ref="K44:K45"/>
    <mergeCell ref="L44:L45"/>
    <mergeCell ref="Q44:Q45"/>
    <mergeCell ref="S44:S45"/>
    <mergeCell ref="T44:T45"/>
    <mergeCell ref="I42:I43"/>
    <mergeCell ref="J42:J43"/>
    <mergeCell ref="K42:K43"/>
    <mergeCell ref="L42:L43"/>
    <mergeCell ref="Q42:Q43"/>
    <mergeCell ref="S42:S43"/>
    <mergeCell ref="M42:M43"/>
    <mergeCell ref="N42:N43"/>
    <mergeCell ref="O42:O43"/>
    <mergeCell ref="R42:R43"/>
    <mergeCell ref="M44:M45"/>
    <mergeCell ref="N44:N45"/>
    <mergeCell ref="O44:O45"/>
    <mergeCell ref="P44:P45"/>
    <mergeCell ref="R44:R45"/>
    <mergeCell ref="I51:I52"/>
    <mergeCell ref="J51:J52"/>
    <mergeCell ref="K51:K52"/>
    <mergeCell ref="L51:L52"/>
    <mergeCell ref="Q51:Q52"/>
    <mergeCell ref="S51:S52"/>
    <mergeCell ref="T51:T52"/>
    <mergeCell ref="I49:I50"/>
    <mergeCell ref="J49:J50"/>
    <mergeCell ref="K49:K50"/>
    <mergeCell ref="L49:L50"/>
    <mergeCell ref="Q49:Q50"/>
    <mergeCell ref="S49:S50"/>
    <mergeCell ref="M49:M50"/>
    <mergeCell ref="R49:R50"/>
    <mergeCell ref="M51:M52"/>
    <mergeCell ref="N51:N52"/>
    <mergeCell ref="R51:R52"/>
    <mergeCell ref="I55:I56"/>
    <mergeCell ref="J55:J56"/>
    <mergeCell ref="K55:K56"/>
    <mergeCell ref="L55:L56"/>
    <mergeCell ref="Q55:Q56"/>
    <mergeCell ref="S55:S56"/>
    <mergeCell ref="T55:T56"/>
    <mergeCell ref="I53:I54"/>
    <mergeCell ref="J53:J54"/>
    <mergeCell ref="K53:K54"/>
    <mergeCell ref="L53:L54"/>
    <mergeCell ref="Q53:Q54"/>
    <mergeCell ref="S53:S54"/>
    <mergeCell ref="M53:M54"/>
    <mergeCell ref="N53:N54"/>
    <mergeCell ref="O53:O54"/>
    <mergeCell ref="R53:R54"/>
    <mergeCell ref="M55:M56"/>
    <mergeCell ref="N55:N56"/>
    <mergeCell ref="O55:O56"/>
    <mergeCell ref="P55:P56"/>
    <mergeCell ref="R55:R56"/>
    <mergeCell ref="I62:I63"/>
    <mergeCell ref="J62:J63"/>
    <mergeCell ref="K62:K63"/>
    <mergeCell ref="L62:L63"/>
    <mergeCell ref="Q62:Q63"/>
    <mergeCell ref="S62:S63"/>
    <mergeCell ref="T62:T63"/>
    <mergeCell ref="I60:I61"/>
    <mergeCell ref="J60:J61"/>
    <mergeCell ref="K60:K61"/>
    <mergeCell ref="L60:L61"/>
    <mergeCell ref="Q60:Q61"/>
    <mergeCell ref="S60:S61"/>
    <mergeCell ref="M60:M61"/>
    <mergeCell ref="R60:R61"/>
    <mergeCell ref="M62:M63"/>
    <mergeCell ref="N62:N63"/>
    <mergeCell ref="R62:R63"/>
    <mergeCell ref="I66:I67"/>
    <mergeCell ref="J66:J67"/>
    <mergeCell ref="K66:K67"/>
    <mergeCell ref="L66:L67"/>
    <mergeCell ref="Q66:Q67"/>
    <mergeCell ref="S66:S67"/>
    <mergeCell ref="T66:T67"/>
    <mergeCell ref="I64:I65"/>
    <mergeCell ref="J64:J65"/>
    <mergeCell ref="K64:K65"/>
    <mergeCell ref="L64:L65"/>
    <mergeCell ref="Q64:Q65"/>
    <mergeCell ref="S64:S65"/>
    <mergeCell ref="R64:R65"/>
    <mergeCell ref="M66:M67"/>
    <mergeCell ref="M64:M65"/>
    <mergeCell ref="N64:N65"/>
    <mergeCell ref="O64:O65"/>
    <mergeCell ref="N66:N67"/>
    <mergeCell ref="O66:O67"/>
    <mergeCell ref="P66:P67"/>
    <mergeCell ref="R66:R67"/>
    <mergeCell ref="I73:I74"/>
    <mergeCell ref="J73:J74"/>
    <mergeCell ref="K73:K74"/>
    <mergeCell ref="L73:L74"/>
    <mergeCell ref="Q73:Q74"/>
    <mergeCell ref="S73:S74"/>
    <mergeCell ref="T73:T74"/>
    <mergeCell ref="I71:I72"/>
    <mergeCell ref="J71:J72"/>
    <mergeCell ref="K71:K72"/>
    <mergeCell ref="L71:L72"/>
    <mergeCell ref="Q71:Q72"/>
    <mergeCell ref="S71:S72"/>
    <mergeCell ref="M73:M74"/>
    <mergeCell ref="N73:N74"/>
    <mergeCell ref="R73:R74"/>
    <mergeCell ref="M71:M72"/>
    <mergeCell ref="R71:R72"/>
    <mergeCell ref="I77:I78"/>
    <mergeCell ref="J77:J78"/>
    <mergeCell ref="K77:K78"/>
    <mergeCell ref="L77:L78"/>
    <mergeCell ref="Q77:Q78"/>
    <mergeCell ref="S77:S78"/>
    <mergeCell ref="T77:T78"/>
    <mergeCell ref="I75:I76"/>
    <mergeCell ref="J75:J76"/>
    <mergeCell ref="K75:K76"/>
    <mergeCell ref="L75:L76"/>
    <mergeCell ref="Q75:Q76"/>
    <mergeCell ref="S75:S76"/>
    <mergeCell ref="M75:M76"/>
    <mergeCell ref="N75:N76"/>
    <mergeCell ref="O75:O76"/>
    <mergeCell ref="R75:R76"/>
    <mergeCell ref="M77:M78"/>
    <mergeCell ref="N77:N78"/>
    <mergeCell ref="O77:O78"/>
    <mergeCell ref="P77:P78"/>
    <mergeCell ref="R77:R78"/>
    <mergeCell ref="I84:I85"/>
    <mergeCell ref="J84:J85"/>
    <mergeCell ref="K84:K85"/>
    <mergeCell ref="L84:L85"/>
    <mergeCell ref="Q84:Q85"/>
    <mergeCell ref="S84:S85"/>
    <mergeCell ref="T84:T85"/>
    <mergeCell ref="I82:I83"/>
    <mergeCell ref="J82:J83"/>
    <mergeCell ref="K82:K83"/>
    <mergeCell ref="L82:L83"/>
    <mergeCell ref="Q82:Q83"/>
    <mergeCell ref="S82:S83"/>
    <mergeCell ref="M82:M83"/>
    <mergeCell ref="R82:R83"/>
    <mergeCell ref="M84:M85"/>
    <mergeCell ref="N84:N85"/>
    <mergeCell ref="R84:R85"/>
    <mergeCell ref="I88:I89"/>
    <mergeCell ref="J88:J89"/>
    <mergeCell ref="K88:K89"/>
    <mergeCell ref="L88:L89"/>
    <mergeCell ref="Q88:Q89"/>
    <mergeCell ref="S88:S89"/>
    <mergeCell ref="T88:T89"/>
    <mergeCell ref="I86:I87"/>
    <mergeCell ref="J86:J87"/>
    <mergeCell ref="K86:K87"/>
    <mergeCell ref="L86:L87"/>
    <mergeCell ref="Q86:Q87"/>
    <mergeCell ref="S86:S87"/>
    <mergeCell ref="R86:R87"/>
    <mergeCell ref="M88:M89"/>
    <mergeCell ref="N86:N87"/>
    <mergeCell ref="O86:O87"/>
    <mergeCell ref="N88:N89"/>
    <mergeCell ref="O88:O89"/>
    <mergeCell ref="P88:P89"/>
    <mergeCell ref="R88:R89"/>
    <mergeCell ref="M86:M87"/>
    <mergeCell ref="AX60:AX61"/>
    <mergeCell ref="AX62:AX63"/>
    <mergeCell ref="AX64:AX65"/>
    <mergeCell ref="AX66:AX67"/>
    <mergeCell ref="V27:V28"/>
    <mergeCell ref="V29:V30"/>
    <mergeCell ref="V31:V32"/>
    <mergeCell ref="V33:V34"/>
    <mergeCell ref="T86:T87"/>
    <mergeCell ref="T82:T83"/>
    <mergeCell ref="T75:T76"/>
    <mergeCell ref="T71:T72"/>
    <mergeCell ref="T64:T65"/>
    <mergeCell ref="T60:T61"/>
    <mergeCell ref="T53:T54"/>
    <mergeCell ref="T49:T50"/>
    <mergeCell ref="T42:T43"/>
    <mergeCell ref="T38:T39"/>
    <mergeCell ref="T31:T32"/>
    <mergeCell ref="T27:T28"/>
  </mergeCells>
  <conditionalFormatting sqref="K5:K12">
    <cfRule type="duplicateValues" dxfId="39" priority="145"/>
    <cfRule type="duplicateValues" dxfId="38" priority="146"/>
  </conditionalFormatting>
  <conditionalFormatting sqref="K16:K23">
    <cfRule type="duplicateValues" dxfId="37" priority="143"/>
    <cfRule type="duplicateValues" dxfId="36" priority="144"/>
  </conditionalFormatting>
  <conditionalFormatting sqref="K27:K34">
    <cfRule type="duplicateValues" dxfId="35" priority="141"/>
    <cfRule type="duplicateValues" dxfId="34" priority="142"/>
  </conditionalFormatting>
  <conditionalFormatting sqref="K38:K45">
    <cfRule type="duplicateValues" dxfId="33" priority="139"/>
    <cfRule type="duplicateValues" dxfId="32" priority="140"/>
  </conditionalFormatting>
  <conditionalFormatting sqref="K49:K56">
    <cfRule type="duplicateValues" dxfId="31" priority="137"/>
    <cfRule type="duplicateValues" dxfId="30" priority="138"/>
  </conditionalFormatting>
  <conditionalFormatting sqref="K60:K67">
    <cfRule type="duplicateValues" dxfId="29" priority="135"/>
    <cfRule type="duplicateValues" dxfId="28" priority="136"/>
  </conditionalFormatting>
  <conditionalFormatting sqref="K71:K78">
    <cfRule type="duplicateValues" dxfId="27" priority="133"/>
    <cfRule type="duplicateValues" dxfId="26" priority="134"/>
  </conditionalFormatting>
  <conditionalFormatting sqref="K82:K89">
    <cfRule type="duplicateValues" dxfId="25" priority="131"/>
    <cfRule type="duplicateValues" dxfId="24" priority="132"/>
  </conditionalFormatting>
  <conditionalFormatting sqref="T5:T12 T16:T23 T38:T45 T49:T56 T60:T67 T71:T78 T82:T89 V27:X34 T27:T34">
    <cfRule type="cellIs" dxfId="23" priority="91" operator="equal">
      <formula>2</formula>
    </cfRule>
    <cfRule type="cellIs" dxfId="22" priority="92" operator="equal">
      <formula>1</formula>
    </cfRule>
  </conditionalFormatting>
  <conditionalFormatting sqref="AX60:AX67">
    <cfRule type="cellIs" dxfId="21" priority="3" operator="equal">
      <formula>2</formula>
    </cfRule>
    <cfRule type="cellIs" dxfId="20" priority="4" operator="equal">
      <formula>1</formula>
    </cfRule>
  </conditionalFormatting>
  <conditionalFormatting sqref="T60:T67">
    <cfRule type="cellIs" dxfId="19" priority="1" operator="equal">
      <formula>2</formula>
    </cfRule>
    <cfRule type="cellIs" dxfId="18" priority="2" operator="equal">
      <formula>1</formula>
    </cfRule>
  </conditionalFormatting>
  <pageMargins left="0.31496062992125984" right="0.19685039370078741" top="0.15748031496062992" bottom="0.19" header="0.15748031496062992" footer="0.14000000000000001"/>
  <pageSetup paperSize="9" scale="32" orientation="landscape" horizontalDpi="300" verticalDpi="300" r:id="rId1"/>
  <rowBreaks count="1" manualBreakCount="1">
    <brk id="46" min="4" max="19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dimension ref="A1:AS73"/>
  <sheetViews>
    <sheetView showGridLines="0" view="pageBreakPreview" topLeftCell="A40" zoomScale="30" zoomScaleNormal="40" zoomScaleSheetLayoutView="30" workbookViewId="0">
      <selection activeCell="AJ3" sqref="AJ3"/>
    </sheetView>
  </sheetViews>
  <sheetFormatPr defaultRowHeight="36"/>
  <cols>
    <col min="1" max="1" width="7" customWidth="1"/>
    <col min="2" max="3" width="14" hidden="1" customWidth="1"/>
    <col min="4" max="4" width="14" customWidth="1"/>
    <col min="5" max="5" width="12.140625" style="299" customWidth="1"/>
    <col min="6" max="6" width="13.140625" style="299" customWidth="1"/>
    <col min="7" max="7" width="11.7109375" style="299" customWidth="1"/>
    <col min="8" max="8" width="9.85546875" style="299" customWidth="1"/>
    <col min="9" max="9" width="9.140625" customWidth="1"/>
    <col min="10" max="10" width="69.5703125" customWidth="1"/>
    <col min="11" max="11" width="67.85546875" customWidth="1"/>
    <col min="12" max="12" width="16.85546875" style="1" customWidth="1"/>
    <col min="13" max="15" width="30.7109375" style="1" customWidth="1"/>
    <col min="16" max="16" width="15.5703125" style="1" customWidth="1"/>
    <col min="17" max="17" width="20" style="1" customWidth="1"/>
    <col min="18" max="18" width="18.140625" style="1" customWidth="1"/>
    <col min="19" max="19" width="15.7109375" style="1" customWidth="1"/>
    <col min="20" max="20" width="2.5703125" customWidth="1"/>
    <col min="21" max="27" width="15.7109375" hidden="1" customWidth="1"/>
    <col min="28" max="29" width="15.7109375" style="36" hidden="1" customWidth="1"/>
    <col min="30" max="33" width="15.7109375" hidden="1" customWidth="1"/>
    <col min="34" max="53" width="15.7109375" customWidth="1"/>
  </cols>
  <sheetData>
    <row r="1" spans="1:45" s="4" customFormat="1" ht="108.75" customHeight="1">
      <c r="E1" s="529" t="str">
        <f>CONCATENATE("Majstrovstvá Slovenska jednotlivcov, kategória ",'startova listina'!D3,", ročník ",'startova listina'!I3,", dvojhra dievčat")</f>
        <v>Majstrovstvá Slovenska jednotlivcov, kategória Mladší žiaci, ročník 2014, dvojhra dievčat</v>
      </c>
      <c r="F1" s="530"/>
      <c r="G1" s="530"/>
      <c r="H1" s="530"/>
      <c r="I1" s="530"/>
      <c r="J1" s="530"/>
      <c r="K1" s="530"/>
      <c r="L1" s="530"/>
      <c r="M1" s="530"/>
      <c r="N1" s="530"/>
      <c r="O1" s="530"/>
      <c r="P1" s="530"/>
      <c r="Q1" s="530"/>
      <c r="R1" s="530"/>
      <c r="S1" s="530"/>
      <c r="T1" s="530"/>
      <c r="AB1" s="35"/>
      <c r="AC1" s="35"/>
    </row>
    <row r="2" spans="1:45" s="4" customFormat="1" ht="82.5" customHeight="1">
      <c r="E2" s="299"/>
      <c r="F2" s="300"/>
      <c r="G2" s="300"/>
      <c r="H2" s="299"/>
      <c r="K2" s="355" t="s">
        <v>506</v>
      </c>
      <c r="L2" s="5"/>
      <c r="M2" s="5"/>
      <c r="N2" s="5"/>
      <c r="O2" s="5"/>
      <c r="P2" s="5"/>
      <c r="Q2" s="5"/>
      <c r="R2" s="5"/>
      <c r="S2" s="5"/>
      <c r="AB2" s="35"/>
      <c r="AC2" s="35"/>
    </row>
    <row r="3" spans="1:45" s="2" customFormat="1" ht="47.25" thickBot="1">
      <c r="A3" s="2" t="s">
        <v>11</v>
      </c>
      <c r="B3" s="2" t="s">
        <v>11</v>
      </c>
      <c r="C3" s="2" t="s">
        <v>75</v>
      </c>
      <c r="E3" s="299"/>
      <c r="F3" s="299"/>
      <c r="G3" s="299"/>
      <c r="H3" s="299"/>
      <c r="I3" s="217">
        <v>1</v>
      </c>
      <c r="J3" s="217" t="s">
        <v>13</v>
      </c>
      <c r="K3" s="217" t="s">
        <v>12</v>
      </c>
      <c r="L3" s="12"/>
      <c r="M3" s="12"/>
      <c r="N3" s="12"/>
      <c r="O3" s="12"/>
      <c r="P3" s="12"/>
      <c r="Q3" s="16"/>
      <c r="R3" s="12"/>
      <c r="S3" s="12"/>
      <c r="AB3" s="36"/>
      <c r="AC3" s="36"/>
    </row>
    <row r="4" spans="1:45" s="8" customFormat="1" ht="39.950000000000003" customHeight="1" thickBot="1">
      <c r="A4" s="8" t="s">
        <v>47</v>
      </c>
      <c r="B4" s="8" t="s">
        <v>48</v>
      </c>
      <c r="E4" s="301" t="s">
        <v>14</v>
      </c>
      <c r="F4" s="302" t="s">
        <v>67</v>
      </c>
      <c r="G4" s="302" t="s">
        <v>15</v>
      </c>
      <c r="H4" s="310" t="s">
        <v>16</v>
      </c>
      <c r="I4" s="211"/>
      <c r="J4" s="212" t="s">
        <v>17</v>
      </c>
      <c r="K4" s="213" t="s">
        <v>5</v>
      </c>
      <c r="L4" s="207" t="s">
        <v>44</v>
      </c>
      <c r="M4" s="214">
        <v>1</v>
      </c>
      <c r="N4" s="214">
        <v>2</v>
      </c>
      <c r="O4" s="214">
        <v>3</v>
      </c>
      <c r="P4" s="216" t="s">
        <v>18</v>
      </c>
      <c r="Q4" s="214" t="s">
        <v>45</v>
      </c>
      <c r="R4" s="214" t="s">
        <v>19</v>
      </c>
      <c r="S4" s="215" t="s">
        <v>46</v>
      </c>
      <c r="Z4" s="8" t="s">
        <v>76</v>
      </c>
      <c r="AB4" s="8" t="s">
        <v>77</v>
      </c>
      <c r="AD4" s="8" t="s">
        <v>78</v>
      </c>
      <c r="AF4" s="8" t="s">
        <v>77</v>
      </c>
    </row>
    <row r="5" spans="1:45" s="8" customFormat="1" ht="39.950000000000003" customHeight="1">
      <c r="A5" s="8" t="str">
        <f>CONCATENATE("D",K3,E5)</f>
        <v>DA1-3</v>
      </c>
      <c r="B5" s="8" t="str">
        <f>CONCATENATE("D",I3,I5)</f>
        <v>D11</v>
      </c>
      <c r="C5" s="8" t="str">
        <f>CONCATENATE(K3,S5)</f>
        <v>A1</v>
      </c>
      <c r="E5" s="304" t="s">
        <v>20</v>
      </c>
      <c r="F5" s="305" t="str">
        <f>IF(ISERROR(VLOOKUP(A5,'zoznam zapasov'!$A$5:$K$78,9,0))=TRUE,"",VLOOKUP(A5,'zoznam zapasov'!$A$5:$K$78,9,0))</f>
        <v>So</v>
      </c>
      <c r="G5" s="305" t="str">
        <f>IF(ISERROR(VLOOKUP(A5,'zoznam zapasov'!$A$5:$K$78,10,0))=TRUE,"",VLOOKUP(A5,'zoznam zapasov'!$A$5:$K$78,10,0))</f>
        <v>9.30</v>
      </c>
      <c r="H5" s="306">
        <f>IF(ISERROR(VLOOKUP(A5,'zoznam zapasov'!$A$5:$K$78,11,0))=TRUE,"",VLOOKUP(A5,'zoznam zapasov'!$A$5:$K$78,11,0))</f>
        <v>1</v>
      </c>
      <c r="I5" s="525">
        <v>1</v>
      </c>
      <c r="J5" s="516" t="str">
        <f>IF(ISERROR(VLOOKUP(B5,vylosovanie!$A$45:$J$68,6,0))=TRUE,"",VLOOKUP(B5,vylosovanie!$A$45:$J$68,6,0))</f>
        <v>LABOŠOVÁ Ema</v>
      </c>
      <c r="K5" s="517" t="str">
        <f>IF(ISERROR(VLOOKUP(B5,vylosovanie!$A$45:$J$68,8,0))=TRUE,"",VLOOKUP(B5,vylosovanie!$A$45:$J$68,8,0))</f>
        <v>ŠSTK JUNIOR ČAŇA</v>
      </c>
      <c r="L5" s="518">
        <f>IF(ISERROR(VLOOKUP(B5,vylosovanie!$A$45:$J$68,9,0))=TRUE,"",VLOOKUP(B5,vylosovanie!$A$45:$J$68,9,0))</f>
        <v>1</v>
      </c>
      <c r="M5" s="523"/>
      <c r="N5" s="31" t="str">
        <f>VLOOKUP(A7,'zapisy k stolom'!$A$5:$AV$1444,26,0)</f>
        <v>3:0</v>
      </c>
      <c r="O5" s="31" t="str">
        <f>VLOOKUP(A5,'zapisy k stolom'!$A$5:$AV$1444,26,0)</f>
        <v>3:0</v>
      </c>
      <c r="P5" s="510">
        <f>IF(SUM(W5:X5)=0,"",SUM(W5:X5))</f>
        <v>4</v>
      </c>
      <c r="Q5" s="519" t="str">
        <f>IF(CONCATENATE(AB5,":",AF5)="0:0","",CONCATENATE(AB5,":",AF5))</f>
        <v>6:0</v>
      </c>
      <c r="R5" s="510" t="str">
        <f>IF(ISERROR(AB5/AF5)=TRUE,"",(AB5/AF5))</f>
        <v/>
      </c>
      <c r="S5" s="510">
        <f>IF(AS5&gt;0,"",IF(ISERROR(RANK(P5,P5:P10,0))=TRUE,"",RANK(P5,P5:P10,0)))</f>
        <v>1</v>
      </c>
      <c r="W5" s="34">
        <f>IF(LEFT(N5,1)="x",0,IF(LEFT(N5,1)&gt;RIGHT(N5,1),2,IF(LEFT(N5,1)&lt;RIGHT(N5,1),1,"")))</f>
        <v>2</v>
      </c>
      <c r="X5" s="34">
        <f>IF(LEFT(O5,1)="x",0,IF(LEFT(O5,1)&gt;RIGHT(O5,1),2,IF(LEFT(O5,1)&lt;RIGHT(O5,1),1,"")))</f>
        <v>2</v>
      </c>
      <c r="Z5" s="34">
        <f>IF(LEFT(N5,1)="x",0,VALUE(LEFT(N5,1)))</f>
        <v>3</v>
      </c>
      <c r="AA5" s="34">
        <f>IF(LEFT(O5,1)="x",0,VALUE(LEFT(O5,1)))</f>
        <v>3</v>
      </c>
      <c r="AB5" s="8">
        <f>IF(ISERROR(VALUE(Y5))=TRUE,0,VALUE(Y5))+IF(ISERROR(VALUE(Z5))=TRUE,0,VALUE(Z5))+IF(ISERROR(VALUE(AA5))=TRUE,0,VALUE(AA5))</f>
        <v>6</v>
      </c>
      <c r="AD5" s="34">
        <f>IF(RIGHT(N5,1)="x",0,VALUE(RIGHT(N5,1)))</f>
        <v>0</v>
      </c>
      <c r="AE5" s="34">
        <f>IF(RIGHT(O5,1)="x",0,VALUE(RIGHT(O5,1)))</f>
        <v>0</v>
      </c>
      <c r="AF5" s="8">
        <f>IF(ISERROR(VALUE(AC5))=TRUE,0,VALUE(AC5))+IF(ISERROR(VALUE(AD5))=TRUE,0,VALUE(AD5))+IF(ISERROR(VALUE(AE5))=TRUE,0,VALUE(AE5))</f>
        <v>0</v>
      </c>
      <c r="AO5" s="46">
        <f>IF(LEFT(N5,1)="x",1,0)</f>
        <v>0</v>
      </c>
      <c r="AP5" s="46">
        <f>IF(LEFT(O5,1)="x",1,0)</f>
        <v>0</v>
      </c>
      <c r="AS5" s="8">
        <f>SUM(AO5:AP5)</f>
        <v>0</v>
      </c>
    </row>
    <row r="6" spans="1:45" s="8" customFormat="1" ht="30" customHeight="1" thickBot="1">
      <c r="E6" s="304"/>
      <c r="F6" s="307"/>
      <c r="G6" s="308"/>
      <c r="H6" s="314"/>
      <c r="I6" s="525"/>
      <c r="J6" s="516"/>
      <c r="K6" s="517"/>
      <c r="L6" s="518"/>
      <c r="M6" s="524"/>
      <c r="N6" s="32" t="str">
        <f>VLOOKUP(A7,'zapisy k stolom'!$A$5:$AV$1444,48,0)</f>
        <v>4,2,3,,,,</v>
      </c>
      <c r="O6" s="32" t="str">
        <f>VLOOKUP(A5,'zapisy k stolom'!$A$5:$AV$1444,48,0)</f>
        <v>4,8,3,,,,</v>
      </c>
      <c r="P6" s="511"/>
      <c r="Q6" s="520"/>
      <c r="R6" s="511"/>
      <c r="S6" s="511"/>
      <c r="AO6" s="44"/>
      <c r="AP6" s="44"/>
    </row>
    <row r="7" spans="1:45" s="8" customFormat="1" ht="39.950000000000003" customHeight="1">
      <c r="A7" s="8" t="str">
        <f>CONCATENATE("D",K3,E7)</f>
        <v>DA1-2</v>
      </c>
      <c r="B7" s="8" t="str">
        <f>CONCATENATE("D",I3,I7)</f>
        <v>D12</v>
      </c>
      <c r="C7" s="8" t="str">
        <f>CONCATENATE(K3,S7)</f>
        <v>A2</v>
      </c>
      <c r="E7" s="304" t="s">
        <v>22</v>
      </c>
      <c r="F7" s="305" t="str">
        <f>IF(ISERROR(VLOOKUP(A7,'zoznam zapasov'!$A$5:$K$78,9,0))=TRUE,"",VLOOKUP(A7,'zoznam zapasov'!$A$5:$K$78,9,0))</f>
        <v>So</v>
      </c>
      <c r="G7" s="305" t="str">
        <f>IF(ISERROR(VLOOKUP(A7,'zoznam zapasov'!$A$5:$K$78,10,0))=TRUE,"",VLOOKUP(A7,'zoznam zapasov'!$A$5:$K$78,10,0))</f>
        <v>10.45</v>
      </c>
      <c r="H7" s="306">
        <f>IF(ISERROR(VLOOKUP(A7,'zoznam zapasov'!$A$5:$K$78,11,0))=TRUE,"",VLOOKUP(A7,'zoznam zapasov'!$A$5:$K$78,11,0))</f>
        <v>1</v>
      </c>
      <c r="I7" s="514">
        <v>2</v>
      </c>
      <c r="J7" s="516" t="str">
        <f>IF(ISERROR(VLOOKUP(B7,vylosovanie!$A$45:$J$68,6,0))=TRUE,"",VLOOKUP(B7,vylosovanie!$A$45:$J$68,6,0))</f>
        <v>CHYLOVÁ Sabína</v>
      </c>
      <c r="K7" s="517" t="str">
        <f>IF(ISERROR(VLOOKUP(B7,vylosovanie!$A$45:$J$68,8,0))=TRUE,"",VLOOKUP(B7,vylosovanie!$A$45:$J$68,8,0))</f>
        <v>MSTK TVRDOŠÍN</v>
      </c>
      <c r="L7" s="518">
        <f>IF(ISERROR(VLOOKUP(B7,vylosovanie!$A$45:$J$68,9,0))=TRUE,"",VLOOKUP(B7,vylosovanie!$A$45:$J$68,9,0))</f>
        <v>11</v>
      </c>
      <c r="M7" s="521" t="str">
        <f>IF(LEN(N5)=1,":",CONCATENATE(RIGHT(N5,1),":",LEFT(N5,1)))</f>
        <v>0:3</v>
      </c>
      <c r="N7" s="523"/>
      <c r="O7" s="31" t="str">
        <f>VLOOKUP(A9,'zapisy k stolom'!$A$5:$AV$1444,26,0)</f>
        <v>3:0</v>
      </c>
      <c r="P7" s="510">
        <f>IF(SUM(W7:X7)=0,"",SUM(W7:X7))</f>
        <v>3</v>
      </c>
      <c r="Q7" s="519" t="str">
        <f t="shared" ref="Q7" si="0">IF(CONCATENATE(AB7,":",AF7)="0:0","",CONCATENATE(AB7,":",AF7))</f>
        <v>3:3</v>
      </c>
      <c r="R7" s="510">
        <f t="shared" ref="R7" si="1">IF(ISERROR(AB7/AF7)=TRUE,"",(AB7/AF7))</f>
        <v>1</v>
      </c>
      <c r="S7" s="510">
        <f>IF(AS7&gt;0,"",IF(ISERROR(RANK(P7,P5:P10,0))=TRUE,"",RANK(P7,P5:P10,0)))</f>
        <v>2</v>
      </c>
      <c r="W7" s="34">
        <f>IF(LEFT(M7,1)="x",0,IF(LEFT(M7,1)&gt;RIGHT(M7,1),2,IF(LEFT(M7,1)&lt;RIGHT(M7,1),1,"")))</f>
        <v>1</v>
      </c>
      <c r="X7" s="34">
        <f>IF(LEFT(O7,1)="x",0,IF(LEFT(O7,1)&gt;RIGHT(O7,1),2,IF(LEFT(O7,1)&lt;RIGHT(O7,1),1,"")))</f>
        <v>2</v>
      </c>
      <c r="Z7" s="34">
        <f>IF(LEFT(M7,1)="x",0,VALUE(LEFT(M7,1)))</f>
        <v>0</v>
      </c>
      <c r="AA7" s="34">
        <f>IF(LEFT(O7,1)="x",0,VALUE(LEFT(O7,1)))</f>
        <v>3</v>
      </c>
      <c r="AB7" s="8">
        <f>IF(ISERROR(VALUE(Y7))=TRUE,0,VALUE(Y7))+IF(ISERROR(VALUE(Z7))=TRUE,0,VALUE(Z7))+IF(ISERROR(VALUE(AA7))=TRUE,0,VALUE(AA7))</f>
        <v>3</v>
      </c>
      <c r="AD7" s="34">
        <f>IF(RIGHT(M7,1)="x",0,VALUE(RIGHT(M7,1)))</f>
        <v>3</v>
      </c>
      <c r="AE7" s="34">
        <f>IF(RIGHT(O7,1)="x",0,VALUE(RIGHT(O7,1)))</f>
        <v>0</v>
      </c>
      <c r="AF7" s="8">
        <f>IF(ISERROR(VALUE(AC7))=TRUE,0,VALUE(AC7))+IF(ISERROR(VALUE(AD7))=TRUE,0,VALUE(AD7))+IF(ISERROR(VALUE(AE7))=TRUE,0,VALUE(AE7))</f>
        <v>3</v>
      </c>
      <c r="AO7" s="46">
        <f>IF(LEFT(L7,1)="x",1,0)</f>
        <v>0</v>
      </c>
      <c r="AP7" s="46">
        <f>IF(LEFT(O7,1)="x",1,0)</f>
        <v>0</v>
      </c>
      <c r="AS7" s="8">
        <f>SUM(AO7:AQ7)</f>
        <v>0</v>
      </c>
    </row>
    <row r="8" spans="1:45" s="8" customFormat="1" ht="30" customHeight="1" thickBot="1">
      <c r="E8" s="304"/>
      <c r="F8" s="307"/>
      <c r="G8" s="308"/>
      <c r="H8" s="314"/>
      <c r="I8" s="515"/>
      <c r="J8" s="516"/>
      <c r="K8" s="517"/>
      <c r="L8" s="518"/>
      <c r="M8" s="522"/>
      <c r="N8" s="524"/>
      <c r="O8" s="32" t="str">
        <f>VLOOKUP(A9,'zapisy k stolom'!$A$5:$AV$1444,48,0)</f>
        <v>9,9,5,,,,</v>
      </c>
      <c r="P8" s="511"/>
      <c r="Q8" s="520"/>
      <c r="R8" s="511"/>
      <c r="S8" s="511"/>
      <c r="AO8" s="44"/>
      <c r="AP8" s="44"/>
    </row>
    <row r="9" spans="1:45" s="8" customFormat="1" ht="39.950000000000003" customHeight="1">
      <c r="A9" s="8" t="str">
        <f>CONCATENATE("D",K3,E9)</f>
        <v>DA2-3</v>
      </c>
      <c r="B9" s="8" t="str">
        <f>CONCATENATE("D",I3,I9)</f>
        <v>D13</v>
      </c>
      <c r="C9" s="8" t="str">
        <f>CONCATENATE(K3,S9)</f>
        <v>A3</v>
      </c>
      <c r="E9" s="304" t="s">
        <v>25</v>
      </c>
      <c r="F9" s="305" t="str">
        <f>IF(ISERROR(VLOOKUP(A9,'zoznam zapasov'!$A$5:$K$78,9,0))=TRUE,"",VLOOKUP(A9,'zoznam zapasov'!$A$5:$K$78,9,0))</f>
        <v>So</v>
      </c>
      <c r="G9" s="305" t="str">
        <f>IF(ISERROR(VLOOKUP(A9,'zoznam zapasov'!$A$5:$K$78,10,0))=TRUE,"",VLOOKUP(A9,'zoznam zapasov'!$A$5:$K$78,10,0))</f>
        <v>12.00</v>
      </c>
      <c r="H9" s="306">
        <f>IF(ISERROR(VLOOKUP(A9,'zoznam zapasov'!$A$5:$K$78,11,0))=TRUE,"",VLOOKUP(A9,'zoznam zapasov'!$A$5:$K$78,11,0))</f>
        <v>1</v>
      </c>
      <c r="I9" s="514">
        <v>3</v>
      </c>
      <c r="J9" s="516" t="str">
        <f>IF(ISERROR(VLOOKUP(B9,vylosovanie!$A$45:$J$68,6,0))=TRUE,"",VLOOKUP(B9,vylosovanie!$A$45:$J$68,6,0))</f>
        <v>LEDAJOVÁ Martina</v>
      </c>
      <c r="K9" s="517" t="str">
        <f>IF(ISERROR(VLOOKUP(B9,vylosovanie!$A$45:$J$68,8,0))=TRUE,"",VLOOKUP(B9,vylosovanie!$A$45:$J$68,8,0))</f>
        <v>STK OROL OTRHÁNKY</v>
      </c>
      <c r="L9" s="518">
        <f>IF(ISERROR(VLOOKUP(B9,vylosovanie!$A$45:$J$68,9,0))=TRUE,"",VLOOKUP(B9,vylosovanie!$A$45:$J$68,9,0))</f>
        <v>17</v>
      </c>
      <c r="M9" s="521" t="str">
        <f>IF(LEN(O5)=1,":",CONCATENATE(RIGHT(O5,1),":",LEFT(O5,1)))</f>
        <v>0:3</v>
      </c>
      <c r="N9" s="521" t="str">
        <f>IF(LEN(O7)=1,":",CONCATENATE(RIGHT(O7,1),":",LEFT(O7,1)))</f>
        <v>0:3</v>
      </c>
      <c r="O9" s="523"/>
      <c r="P9" s="510">
        <f>IF(SUM(W9:X9)=0,"",SUM(W9:X9))</f>
        <v>2</v>
      </c>
      <c r="Q9" s="519" t="str">
        <f t="shared" ref="Q9" si="2">IF(CONCATENATE(AB9,":",AF9)="0:0","",CONCATENATE(AB9,":",AF9))</f>
        <v>0:6</v>
      </c>
      <c r="R9" s="510">
        <f t="shared" ref="R9" si="3">IF(ISERROR(AB9/AF9)=TRUE,"",(AB9/AF9))</f>
        <v>0</v>
      </c>
      <c r="S9" s="510">
        <f>IF(AS9&gt;0,"",IF(ISERROR(RANK(P9,P5:P10,0))=TRUE,"",RANK(P9,P5:P10,0)))</f>
        <v>3</v>
      </c>
      <c r="W9" s="34">
        <f>IF(LEFT(M9,1)="x",0,IF(LEFT(M9,1)&gt;RIGHT(M9,1),2,IF(LEFT(M9,1)&lt;RIGHT(M9,1),1,"")))</f>
        <v>1</v>
      </c>
      <c r="X9" s="34">
        <f>IF(LEFT(N9,1)="x",0,IF(LEFT(N9,1)&gt;RIGHT(N9,1),2,IF(LEFT(N9,1)&lt;RIGHT(N9,1),1,"")))</f>
        <v>1</v>
      </c>
      <c r="Z9" s="34">
        <f>IF(LEFT(M9,1)="x",0,VALUE(LEFT(M9,1)))</f>
        <v>0</v>
      </c>
      <c r="AA9" s="34">
        <f>IF(LEFT(N9,1)="x",0,VALUE(LEFT(N9,1)))</f>
        <v>0</v>
      </c>
      <c r="AB9" s="8">
        <f>IF(ISERROR(VALUE(Y9))=TRUE,0,VALUE(Y9))+IF(ISERROR(VALUE(Z9))=TRUE,0,VALUE(Z9))+IF(ISERROR(VALUE(AA9))=TRUE,0,VALUE(AA9))</f>
        <v>0</v>
      </c>
      <c r="AD9" s="34">
        <f>IF(RIGHT(M9,1)="x",0,VALUE(RIGHT(M9,1)))</f>
        <v>3</v>
      </c>
      <c r="AE9" s="34">
        <f>IF(RIGHT(N9,1)="x",0,VALUE(RIGHT(N9,1)))</f>
        <v>3</v>
      </c>
      <c r="AF9" s="8">
        <f>IF(ISERROR(VALUE(AC9))=TRUE,0,VALUE(AC9))+IF(ISERROR(VALUE(AD9))=TRUE,0,VALUE(AD9))+IF(ISERROR(VALUE(AE9))=TRUE,0,VALUE(AE9))</f>
        <v>6</v>
      </c>
      <c r="AO9" s="46">
        <f>IF(LEFT(M9,1)="x",1,0)</f>
        <v>0</v>
      </c>
      <c r="AP9" s="46">
        <f>IF(LEFT(N9,1)="x",1,0)</f>
        <v>0</v>
      </c>
      <c r="AS9" s="8">
        <f>SUM(AO9:AQ9)</f>
        <v>0</v>
      </c>
    </row>
    <row r="10" spans="1:45" s="8" customFormat="1" ht="30" customHeight="1" thickBot="1">
      <c r="E10" s="315"/>
      <c r="F10" s="316"/>
      <c r="G10" s="317"/>
      <c r="H10" s="318"/>
      <c r="I10" s="515"/>
      <c r="J10" s="516"/>
      <c r="K10" s="517"/>
      <c r="L10" s="518"/>
      <c r="M10" s="522"/>
      <c r="N10" s="522"/>
      <c r="O10" s="524"/>
      <c r="P10" s="511"/>
      <c r="Q10" s="520"/>
      <c r="R10" s="511"/>
      <c r="S10" s="511"/>
    </row>
    <row r="11" spans="1:45" ht="46.5">
      <c r="A11" s="8"/>
      <c r="B11" s="8"/>
      <c r="C11" s="8"/>
      <c r="D11" s="8"/>
      <c r="I11" s="11"/>
      <c r="J11" s="11"/>
      <c r="K11" s="11"/>
      <c r="L11" s="12"/>
      <c r="M11" s="12"/>
      <c r="N11" s="12"/>
      <c r="O11" s="12"/>
      <c r="P11" s="12"/>
      <c r="Q11" s="12"/>
      <c r="R11" s="12"/>
      <c r="S11" s="12"/>
    </row>
    <row r="12" spans="1:45" s="2" customFormat="1" ht="47.25" thickBot="1">
      <c r="A12" s="2" t="s">
        <v>11</v>
      </c>
      <c r="B12" s="2" t="s">
        <v>11</v>
      </c>
      <c r="E12" s="299"/>
      <c r="F12" s="299"/>
      <c r="G12" s="299"/>
      <c r="H12" s="299"/>
      <c r="I12" s="217">
        <v>2</v>
      </c>
      <c r="J12" s="217" t="s">
        <v>13</v>
      </c>
      <c r="K12" s="217" t="s">
        <v>18</v>
      </c>
      <c r="L12" s="12"/>
      <c r="M12" s="12"/>
      <c r="N12" s="12"/>
      <c r="O12" s="12"/>
      <c r="P12" s="12"/>
      <c r="Q12" s="16"/>
      <c r="R12" s="12"/>
      <c r="S12" s="12"/>
      <c r="AB12" s="36"/>
      <c r="AC12" s="36"/>
    </row>
    <row r="13" spans="1:45" s="8" customFormat="1" ht="39.950000000000003" customHeight="1" thickBot="1">
      <c r="A13" s="8" t="s">
        <v>47</v>
      </c>
      <c r="B13" s="8" t="s">
        <v>48</v>
      </c>
      <c r="E13" s="301" t="s">
        <v>14</v>
      </c>
      <c r="F13" s="302" t="s">
        <v>67</v>
      </c>
      <c r="G13" s="302" t="s">
        <v>15</v>
      </c>
      <c r="H13" s="310" t="s">
        <v>16</v>
      </c>
      <c r="I13" s="211"/>
      <c r="J13" s="212" t="s">
        <v>17</v>
      </c>
      <c r="K13" s="213" t="s">
        <v>5</v>
      </c>
      <c r="L13" s="207" t="s">
        <v>44</v>
      </c>
      <c r="M13" s="214">
        <v>1</v>
      </c>
      <c r="N13" s="214">
        <v>2</v>
      </c>
      <c r="O13" s="214">
        <v>3</v>
      </c>
      <c r="P13" s="216" t="s">
        <v>18</v>
      </c>
      <c r="Q13" s="214" t="s">
        <v>45</v>
      </c>
      <c r="R13" s="214" t="s">
        <v>19</v>
      </c>
      <c r="S13" s="215" t="s">
        <v>46</v>
      </c>
      <c r="Z13" s="8" t="s">
        <v>76</v>
      </c>
      <c r="AB13" s="8" t="s">
        <v>77</v>
      </c>
      <c r="AD13" s="8" t="s">
        <v>78</v>
      </c>
      <c r="AF13" s="8" t="s">
        <v>77</v>
      </c>
    </row>
    <row r="14" spans="1:45" s="8" customFormat="1" ht="39.950000000000003" customHeight="1">
      <c r="A14" s="8" t="str">
        <f>CONCATENATE("D",K12,E14)</f>
        <v>DB1-3</v>
      </c>
      <c r="B14" s="8" t="str">
        <f>CONCATENATE("D",I12,I14)</f>
        <v>D21</v>
      </c>
      <c r="C14" s="8" t="str">
        <f>CONCATENATE(K12,S14)</f>
        <v>B1</v>
      </c>
      <c r="E14" s="304" t="s">
        <v>20</v>
      </c>
      <c r="F14" s="305" t="str">
        <f>IF(ISERROR(VLOOKUP(A14,'zoznam zapasov'!$A$5:$K$78,9,0))=TRUE,"",VLOOKUP(A14,'zoznam zapasov'!$A$5:$K$78,9,0))</f>
        <v>So</v>
      </c>
      <c r="G14" s="305" t="str">
        <f>IF(ISERROR(VLOOKUP(A14,'zoznam zapasov'!$A$5:$K$78,10,0))=TRUE,"",VLOOKUP(A14,'zoznam zapasov'!$A$5:$K$78,10,0))</f>
        <v>9.30</v>
      </c>
      <c r="H14" s="306">
        <f>IF(ISERROR(VLOOKUP(A14,'zoznam zapasov'!$A$5:$K$78,11,0))=TRUE,"",VLOOKUP(A14,'zoznam zapasov'!$A$5:$K$78,11,0))</f>
        <v>2</v>
      </c>
      <c r="I14" s="525">
        <v>1</v>
      </c>
      <c r="J14" s="516" t="str">
        <f>IF(ISERROR(VLOOKUP(B14,vylosovanie!$A$45:$J$68,6,0))=TRUE,"",VLOOKUP(B14,vylosovanie!$A$45:$J$68,6,0))</f>
        <v>PEKOVÁ Zuzana</v>
      </c>
      <c r="K14" s="517" t="str">
        <f>IF(ISERROR(VLOOKUP(B14,vylosovanie!$A$45:$J$68,8,0))=TRUE,"",VLOOKUP(B14,vylosovanie!$A$45:$J$68,8,0))</f>
        <v>KST VIKTÓRIA TRNAVA</v>
      </c>
      <c r="L14" s="518">
        <f>IF(ISERROR(VLOOKUP(B14,vylosovanie!$A$45:$J$68,9,0))=TRUE,"",VLOOKUP(B14,vylosovanie!$A$45:$J$68,9,0))</f>
        <v>2</v>
      </c>
      <c r="M14" s="523"/>
      <c r="N14" s="31" t="str">
        <f>VLOOKUP(A16,'zapisy k stolom'!$A$5:$AV$1444,26,0)</f>
        <v>3:0</v>
      </c>
      <c r="O14" s="31" t="str">
        <f>VLOOKUP(A14,'zapisy k stolom'!$A$5:$AV$1444,26,0)</f>
        <v>3:0</v>
      </c>
      <c r="P14" s="510">
        <f>IF(SUM(W14:X14)=0,"",SUM(W14:X14))</f>
        <v>4</v>
      </c>
      <c r="Q14" s="519" t="str">
        <f>IF(CONCATENATE(AB14,":",AF14)="0:0","",CONCATENATE(AB14,":",AF14))</f>
        <v>6:0</v>
      </c>
      <c r="R14" s="510" t="str">
        <f>IF(ISERROR(AB14/AF14)=TRUE,"",(AB14/AF14))</f>
        <v/>
      </c>
      <c r="S14" s="510">
        <f>IF(AS14&gt;0,"",IF(ISERROR(RANK(P14,P14:P19,0))=TRUE,"",RANK(P14,P14:P19,0)))</f>
        <v>1</v>
      </c>
      <c r="W14" s="34">
        <f>IF(LEFT(N14,1)="x",0,IF(LEFT(N14,1)&gt;RIGHT(N14,1),2,IF(LEFT(N14,1)&lt;RIGHT(N14,1),1,"")))</f>
        <v>2</v>
      </c>
      <c r="X14" s="34">
        <f>IF(LEFT(O14,1)="x",0,IF(LEFT(O14,1)&gt;RIGHT(O14,1),2,IF(LEFT(O14,1)&lt;RIGHT(O14,1),1,"")))</f>
        <v>2</v>
      </c>
      <c r="Z14" s="34">
        <f>IF(LEFT(N14,1)="x",0,VALUE(LEFT(N14,1)))</f>
        <v>3</v>
      </c>
      <c r="AA14" s="34">
        <f>IF(LEFT(O14,1)="x",0,VALUE(LEFT(O14,1)))</f>
        <v>3</v>
      </c>
      <c r="AB14" s="8">
        <f>IF(ISERROR(VALUE(Y14))=TRUE,0,VALUE(Y14))+IF(ISERROR(VALUE(Z14))=TRUE,0,VALUE(Z14))+IF(ISERROR(VALUE(AA14))=TRUE,0,VALUE(AA14))</f>
        <v>6</v>
      </c>
      <c r="AD14" s="34">
        <f>IF(RIGHT(N14,1)="x",0,VALUE(RIGHT(N14,1)))</f>
        <v>0</v>
      </c>
      <c r="AE14" s="34">
        <f>IF(RIGHT(O14,1)="x",0,VALUE(RIGHT(O14,1)))</f>
        <v>0</v>
      </c>
      <c r="AF14" s="8">
        <f>IF(ISERROR(VALUE(AC14))=TRUE,0,VALUE(AC14))+IF(ISERROR(VALUE(AD14))=TRUE,0,VALUE(AD14))+IF(ISERROR(VALUE(AE14))=TRUE,0,VALUE(AE14))</f>
        <v>0</v>
      </c>
      <c r="AO14" s="46">
        <f>IF(LEFT(N14,1)="x",1,0)</f>
        <v>0</v>
      </c>
      <c r="AP14" s="46">
        <f>IF(LEFT(O14,1)="x",1,0)</f>
        <v>0</v>
      </c>
      <c r="AS14" s="8">
        <f>SUM(AO14:AP14)</f>
        <v>0</v>
      </c>
    </row>
    <row r="15" spans="1:45" s="8" customFormat="1" ht="30" customHeight="1" thickBot="1">
      <c r="E15" s="304"/>
      <c r="F15" s="307"/>
      <c r="G15" s="308"/>
      <c r="H15" s="314"/>
      <c r="I15" s="525"/>
      <c r="J15" s="516"/>
      <c r="K15" s="517"/>
      <c r="L15" s="518"/>
      <c r="M15" s="524"/>
      <c r="N15" s="32" t="str">
        <f>VLOOKUP(A16,'zapisy k stolom'!$A$5:$AV$1444,48,0)</f>
        <v>4,5,2,,,,</v>
      </c>
      <c r="O15" s="32" t="str">
        <f>VLOOKUP(A14,'zapisy k stolom'!$A$5:$AV$1444,48,0)</f>
        <v>8,5,4,,,,</v>
      </c>
      <c r="P15" s="511"/>
      <c r="Q15" s="520"/>
      <c r="R15" s="511"/>
      <c r="S15" s="511"/>
      <c r="AO15" s="44"/>
      <c r="AP15" s="44"/>
    </row>
    <row r="16" spans="1:45" s="8" customFormat="1" ht="39.950000000000003" customHeight="1">
      <c r="A16" s="8" t="str">
        <f>CONCATENATE("D",K12,E16)</f>
        <v>DB1-2</v>
      </c>
      <c r="B16" s="8" t="str">
        <f>CONCATENATE("D",I12,I16)</f>
        <v>D22</v>
      </c>
      <c r="C16" s="8" t="str">
        <f>CONCATENATE(K12,S16)</f>
        <v>B2</v>
      </c>
      <c r="E16" s="304" t="s">
        <v>22</v>
      </c>
      <c r="F16" s="305" t="str">
        <f>IF(ISERROR(VLOOKUP(A16,'zoznam zapasov'!$A$5:$K$78,9,0))=TRUE,"",VLOOKUP(A16,'zoznam zapasov'!$A$5:$K$78,9,0))</f>
        <v>So</v>
      </c>
      <c r="G16" s="305" t="str">
        <f>IF(ISERROR(VLOOKUP(A16,'zoznam zapasov'!$A$5:$K$78,10,0))=TRUE,"",VLOOKUP(A16,'zoznam zapasov'!$A$5:$K$78,10,0))</f>
        <v>10.45</v>
      </c>
      <c r="H16" s="306">
        <f>IF(ISERROR(VLOOKUP(A16,'zoznam zapasov'!$A$5:$K$78,11,0))=TRUE,"",VLOOKUP(A16,'zoznam zapasov'!$A$5:$K$78,11,0))</f>
        <v>2</v>
      </c>
      <c r="I16" s="514">
        <v>2</v>
      </c>
      <c r="J16" s="516" t="str">
        <f>IF(ISERROR(VLOOKUP(B16,vylosovanie!$A$45:$J$68,6,0))=TRUE,"",VLOOKUP(B16,vylosovanie!$A$45:$J$68,6,0))</f>
        <v>MIKULOVÁ Terézia</v>
      </c>
      <c r="K16" s="517" t="str">
        <f>IF(ISERROR(VLOOKUP(B16,vylosovanie!$A$45:$J$68,8,0))=TRUE,"",VLOOKUP(B16,vylosovanie!$A$45:$J$68,8,0))</f>
        <v>KST DRIVE TR. JASTRABIE</v>
      </c>
      <c r="L16" s="518">
        <f>IF(ISERROR(VLOOKUP(B16,vylosovanie!$A$45:$J$68,9,0))=TRUE,"",VLOOKUP(B16,vylosovanie!$A$45:$J$68,9,0))</f>
        <v>13</v>
      </c>
      <c r="M16" s="521" t="str">
        <f>IF(LEN(N14)=1,":",CONCATENATE(RIGHT(N14,1),":",LEFT(N14,1)))</f>
        <v>0:3</v>
      </c>
      <c r="N16" s="523"/>
      <c r="O16" s="31" t="str">
        <f>VLOOKUP(A18,'zapisy k stolom'!$A$5:$AV$1444,26,0)</f>
        <v>3:1</v>
      </c>
      <c r="P16" s="510">
        <f>IF(SUM(W16:X16)=0,"",SUM(W16:X16))</f>
        <v>3</v>
      </c>
      <c r="Q16" s="519" t="str">
        <f t="shared" ref="Q16" si="4">IF(CONCATENATE(AB16,":",AF16)="0:0","",CONCATENATE(AB16,":",AF16))</f>
        <v>3:4</v>
      </c>
      <c r="R16" s="510">
        <f t="shared" ref="R16" si="5">IF(ISERROR(AB16/AF16)=TRUE,"",(AB16/AF16))</f>
        <v>0.75</v>
      </c>
      <c r="S16" s="510">
        <f>IF(AS16&gt;0,"",IF(ISERROR(RANK(P16,P14:P19,0))=TRUE,"",RANK(P16,P14:P19,0)))</f>
        <v>2</v>
      </c>
      <c r="W16" s="34">
        <f>IF(LEFT(M16,1)="x",0,IF(LEFT(M16,1)&gt;RIGHT(M16,1),2,IF(LEFT(M16,1)&lt;RIGHT(M16,1),1,"")))</f>
        <v>1</v>
      </c>
      <c r="X16" s="34">
        <f>IF(LEFT(O16,1)="x",0,IF(LEFT(O16,1)&gt;RIGHT(O16,1),2,IF(LEFT(O16,1)&lt;RIGHT(O16,1),1,"")))</f>
        <v>2</v>
      </c>
      <c r="Z16" s="34">
        <f>IF(LEFT(M16,1)="x",0,VALUE(LEFT(M16,1)))</f>
        <v>0</v>
      </c>
      <c r="AA16" s="34">
        <f>IF(LEFT(O16,1)="x",0,VALUE(LEFT(O16,1)))</f>
        <v>3</v>
      </c>
      <c r="AB16" s="8">
        <f>IF(ISERROR(VALUE(Y16))=TRUE,0,VALUE(Y16))+IF(ISERROR(VALUE(Z16))=TRUE,0,VALUE(Z16))+IF(ISERROR(VALUE(AA16))=TRUE,0,VALUE(AA16))</f>
        <v>3</v>
      </c>
      <c r="AD16" s="34">
        <f>IF(RIGHT(M16,1)="x",0,VALUE(RIGHT(M16,1)))</f>
        <v>3</v>
      </c>
      <c r="AE16" s="34">
        <f>IF(RIGHT(O16,1)="x",0,VALUE(RIGHT(O16,1)))</f>
        <v>1</v>
      </c>
      <c r="AF16" s="8">
        <f>IF(ISERROR(VALUE(AC16))=TRUE,0,VALUE(AC16))+IF(ISERROR(VALUE(AD16))=TRUE,0,VALUE(AD16))+IF(ISERROR(VALUE(AE16))=TRUE,0,VALUE(AE16))</f>
        <v>4</v>
      </c>
      <c r="AO16" s="46">
        <f>IF(LEFT(L16,1)="x",1,0)</f>
        <v>0</v>
      </c>
      <c r="AP16" s="46">
        <f>IF(LEFT(O16,1)="x",1,0)</f>
        <v>0</v>
      </c>
      <c r="AS16" s="8">
        <f>SUM(AO16:AQ16)</f>
        <v>0</v>
      </c>
    </row>
    <row r="17" spans="1:45" s="8" customFormat="1" ht="30" customHeight="1" thickBot="1">
      <c r="E17" s="304"/>
      <c r="F17" s="307"/>
      <c r="G17" s="308"/>
      <c r="H17" s="314"/>
      <c r="I17" s="515"/>
      <c r="J17" s="516"/>
      <c r="K17" s="517"/>
      <c r="L17" s="518"/>
      <c r="M17" s="522"/>
      <c r="N17" s="524"/>
      <c r="O17" s="32" t="str">
        <f>VLOOKUP(A18,'zapisy k stolom'!$A$5:$AV$1444,48,0)</f>
        <v>-7,8,4,7,,,</v>
      </c>
      <c r="P17" s="511"/>
      <c r="Q17" s="520"/>
      <c r="R17" s="511"/>
      <c r="S17" s="511"/>
      <c r="AO17" s="44"/>
      <c r="AP17" s="44"/>
    </row>
    <row r="18" spans="1:45" s="8" customFormat="1" ht="39.950000000000003" customHeight="1">
      <c r="A18" s="8" t="str">
        <f>CONCATENATE("D",K12,E18)</f>
        <v>DB2-3</v>
      </c>
      <c r="B18" s="8" t="str">
        <f>CONCATENATE("D",I12,I18)</f>
        <v>D23</v>
      </c>
      <c r="C18" s="8" t="str">
        <f>CONCATENATE(K12,S18)</f>
        <v>B3</v>
      </c>
      <c r="E18" s="304" t="s">
        <v>25</v>
      </c>
      <c r="F18" s="305" t="str">
        <f>IF(ISERROR(VLOOKUP(A18,'zoznam zapasov'!$A$5:$K$78,9,0))=TRUE,"",VLOOKUP(A18,'zoznam zapasov'!$A$5:$K$78,9,0))</f>
        <v>So</v>
      </c>
      <c r="G18" s="305" t="str">
        <f>IF(ISERROR(VLOOKUP(A18,'zoznam zapasov'!$A$5:$K$78,10,0))=TRUE,"",VLOOKUP(A18,'zoznam zapasov'!$A$5:$K$78,10,0))</f>
        <v>12.00</v>
      </c>
      <c r="H18" s="306">
        <f>IF(ISERROR(VLOOKUP(A18,'zoznam zapasov'!$A$5:$K$78,11,0))=TRUE,"",VLOOKUP(A18,'zoznam zapasov'!$A$5:$K$78,11,0))</f>
        <v>2</v>
      </c>
      <c r="I18" s="514">
        <v>3</v>
      </c>
      <c r="J18" s="516" t="str">
        <f>IF(ISERROR(VLOOKUP(B18,vylosovanie!$A$45:$J$68,6,0))=TRUE,"",VLOOKUP(B18,vylosovanie!$A$45:$J$68,6,0))</f>
        <v>GALČÍKOVÁ Sára</v>
      </c>
      <c r="K18" s="517" t="str">
        <f>IF(ISERROR(VLOOKUP(B18,vylosovanie!$A$45:$J$68,8,0))=TRUE,"",VLOOKUP(B18,vylosovanie!$A$45:$J$68,8,0))</f>
        <v>TJ ORAVAN NÁMESTOVO</v>
      </c>
      <c r="L18" s="518">
        <f>IF(ISERROR(VLOOKUP(B18,vylosovanie!$A$45:$J$68,9,0))=TRUE,"",VLOOKUP(B18,vylosovanie!$A$45:$J$68,9,0))</f>
        <v>18</v>
      </c>
      <c r="M18" s="521" t="str">
        <f>IF(LEN(O14)=1,":",CONCATENATE(RIGHT(O14,1),":",LEFT(O14,1)))</f>
        <v>0:3</v>
      </c>
      <c r="N18" s="521" t="str">
        <f>IF(LEN(O16)=1,":",CONCATENATE(RIGHT(O16,1),":",LEFT(O16,1)))</f>
        <v>1:3</v>
      </c>
      <c r="O18" s="523"/>
      <c r="P18" s="510">
        <f>IF(SUM(W18:X18)=0,"",SUM(W18:X18))</f>
        <v>2</v>
      </c>
      <c r="Q18" s="519" t="str">
        <f t="shared" ref="Q18" si="6">IF(CONCATENATE(AB18,":",AF18)="0:0","",CONCATENATE(AB18,":",AF18))</f>
        <v>1:6</v>
      </c>
      <c r="R18" s="510">
        <f t="shared" ref="R18" si="7">IF(ISERROR(AB18/AF18)=TRUE,"",(AB18/AF18))</f>
        <v>0.16666666666666666</v>
      </c>
      <c r="S18" s="510">
        <f>IF(AS18&gt;0,"",IF(ISERROR(RANK(P18,P14:P19,0))=TRUE,"",RANK(P18,P14:P19,0)))</f>
        <v>3</v>
      </c>
      <c r="W18" s="34">
        <f>IF(LEFT(M18,1)="x",0,IF(LEFT(M18,1)&gt;RIGHT(M18,1),2,IF(LEFT(M18,1)&lt;RIGHT(M18,1),1,"")))</f>
        <v>1</v>
      </c>
      <c r="X18" s="34">
        <f>IF(LEFT(N18,1)="x",0,IF(LEFT(N18,1)&gt;RIGHT(N18,1),2,IF(LEFT(N18,1)&lt;RIGHT(N18,1),1,"")))</f>
        <v>1</v>
      </c>
      <c r="Z18" s="34">
        <f>IF(LEFT(M18,1)="x",0,VALUE(LEFT(M18,1)))</f>
        <v>0</v>
      </c>
      <c r="AA18" s="34">
        <f>IF(LEFT(N18,1)="x",0,VALUE(LEFT(N18,1)))</f>
        <v>1</v>
      </c>
      <c r="AB18" s="8">
        <f>IF(ISERROR(VALUE(Y18))=TRUE,0,VALUE(Y18))+IF(ISERROR(VALUE(Z18))=TRUE,0,VALUE(Z18))+IF(ISERROR(VALUE(AA18))=TRUE,0,VALUE(AA18))</f>
        <v>1</v>
      </c>
      <c r="AD18" s="34">
        <f>IF(RIGHT(M18,1)="x",0,VALUE(RIGHT(M18,1)))</f>
        <v>3</v>
      </c>
      <c r="AE18" s="34">
        <f>IF(RIGHT(N18,1)="x",0,VALUE(RIGHT(N18,1)))</f>
        <v>3</v>
      </c>
      <c r="AF18" s="8">
        <f>IF(ISERROR(VALUE(AC18))=TRUE,0,VALUE(AC18))+IF(ISERROR(VALUE(AD18))=TRUE,0,VALUE(AD18))+IF(ISERROR(VALUE(AE18))=TRUE,0,VALUE(AE18))</f>
        <v>6</v>
      </c>
      <c r="AO18" s="46">
        <f>IF(LEFT(M18,1)="x",1,0)</f>
        <v>0</v>
      </c>
      <c r="AP18" s="46">
        <f>IF(LEFT(N18,1)="x",1,0)</f>
        <v>0</v>
      </c>
      <c r="AS18" s="8">
        <f>SUM(AO18:AQ18)</f>
        <v>0</v>
      </c>
    </row>
    <row r="19" spans="1:45" s="8" customFormat="1" ht="30" customHeight="1" thickBot="1">
      <c r="E19" s="315"/>
      <c r="F19" s="316"/>
      <c r="G19" s="317"/>
      <c r="H19" s="318"/>
      <c r="I19" s="515"/>
      <c r="J19" s="516"/>
      <c r="K19" s="517"/>
      <c r="L19" s="518"/>
      <c r="M19" s="522"/>
      <c r="N19" s="522"/>
      <c r="O19" s="524"/>
      <c r="P19" s="511"/>
      <c r="Q19" s="520"/>
      <c r="R19" s="511"/>
      <c r="S19" s="511"/>
      <c r="AQ19" s="47"/>
    </row>
    <row r="20" spans="1:45">
      <c r="AQ20" s="48"/>
    </row>
    <row r="21" spans="1:45" s="2" customFormat="1" ht="47.25" thickBot="1">
      <c r="A21" s="2" t="s">
        <v>11</v>
      </c>
      <c r="B21" s="2" t="s">
        <v>11</v>
      </c>
      <c r="E21" s="299"/>
      <c r="F21" s="299"/>
      <c r="G21" s="299"/>
      <c r="H21" s="299"/>
      <c r="I21" s="217">
        <v>3</v>
      </c>
      <c r="J21" s="217" t="s">
        <v>13</v>
      </c>
      <c r="K21" s="217" t="s">
        <v>38</v>
      </c>
      <c r="L21" s="12"/>
      <c r="M21" s="12"/>
      <c r="N21" s="12"/>
      <c r="O21" s="12"/>
      <c r="P21" s="12"/>
      <c r="Q21" s="16"/>
      <c r="R21" s="12"/>
      <c r="S21" s="12"/>
      <c r="AB21" s="36"/>
      <c r="AC21" s="36"/>
    </row>
    <row r="22" spans="1:45" s="8" customFormat="1" ht="39.950000000000003" customHeight="1" thickBot="1">
      <c r="A22" s="8" t="s">
        <v>47</v>
      </c>
      <c r="B22" s="8" t="s">
        <v>48</v>
      </c>
      <c r="E22" s="311" t="s">
        <v>14</v>
      </c>
      <c r="F22" s="312" t="s">
        <v>67</v>
      </c>
      <c r="G22" s="312" t="s">
        <v>15</v>
      </c>
      <c r="H22" s="313" t="s">
        <v>16</v>
      </c>
      <c r="I22" s="7"/>
      <c r="J22" s="218" t="s">
        <v>17</v>
      </c>
      <c r="K22" s="219" t="s">
        <v>5</v>
      </c>
      <c r="L22" s="13" t="s">
        <v>44</v>
      </c>
      <c r="M22" s="220">
        <v>1</v>
      </c>
      <c r="N22" s="220">
        <v>2</v>
      </c>
      <c r="O22" s="220">
        <v>3</v>
      </c>
      <c r="P22" s="222" t="s">
        <v>18</v>
      </c>
      <c r="Q22" s="220" t="s">
        <v>45</v>
      </c>
      <c r="R22" s="220" t="s">
        <v>19</v>
      </c>
      <c r="S22" s="221" t="s">
        <v>46</v>
      </c>
      <c r="Z22" s="8" t="s">
        <v>76</v>
      </c>
      <c r="AB22" s="8" t="s">
        <v>77</v>
      </c>
      <c r="AD22" s="8" t="s">
        <v>78</v>
      </c>
      <c r="AF22" s="8" t="s">
        <v>77</v>
      </c>
    </row>
    <row r="23" spans="1:45" s="8" customFormat="1" ht="39.950000000000003" customHeight="1">
      <c r="A23" s="8" t="str">
        <f>CONCATENATE("D",K21,E23)</f>
        <v>DC1-3</v>
      </c>
      <c r="B23" s="8" t="str">
        <f>CONCATENATE("D",I21,I23)</f>
        <v>D31</v>
      </c>
      <c r="C23" s="8" t="str">
        <f>CONCATENATE(K21,S23)</f>
        <v>C1</v>
      </c>
      <c r="E23" s="304" t="s">
        <v>20</v>
      </c>
      <c r="F23" s="305" t="str">
        <f>IF(ISERROR(VLOOKUP(A23,'zoznam zapasov'!$A$5:$K$78,9,0))=TRUE,"",VLOOKUP(A23,'zoznam zapasov'!$A$5:$K$78,9,0))</f>
        <v>So</v>
      </c>
      <c r="G23" s="305" t="str">
        <f>IF(ISERROR(VLOOKUP(A23,'zoznam zapasov'!$A$5:$K$78,10,0))=TRUE,"",VLOOKUP(A23,'zoznam zapasov'!$A$5:$K$78,10,0))</f>
        <v>9.30</v>
      </c>
      <c r="H23" s="306">
        <f>IF(ISERROR(VLOOKUP(A23,'zoznam zapasov'!$A$5:$K$78,11,0))=TRUE,"",VLOOKUP(A23,'zoznam zapasov'!$A$5:$K$78,11,0))</f>
        <v>3</v>
      </c>
      <c r="I23" s="525">
        <v>1</v>
      </c>
      <c r="J23" s="516" t="str">
        <f>IF(ISERROR(VLOOKUP(B23,vylosovanie!$A$45:$J$68,6,0))=TRUE,"",VLOOKUP(B23,vylosovanie!$A$45:$J$68,6,0))</f>
        <v>ŠINKAROVÁ Dáša</v>
      </c>
      <c r="K23" s="517" t="str">
        <f>IF(ISERROR(VLOOKUP(B23,vylosovanie!$A$45:$J$68,8,0))=TRUE,"",VLOOKUP(B23,vylosovanie!$A$45:$J$68,8,0))</f>
        <v>ŠKST MICHALOVCE</v>
      </c>
      <c r="L23" s="518">
        <f>IF(ISERROR(VLOOKUP(B23,vylosovanie!$A$45:$J$68,9,0))=TRUE,"",VLOOKUP(B23,vylosovanie!$A$45:$J$68,9,0))</f>
        <v>3</v>
      </c>
      <c r="M23" s="523"/>
      <c r="N23" s="31" t="str">
        <f>VLOOKUP(A25,'zapisy k stolom'!$A$5:$AV$1444,26,0)</f>
        <v>3:2</v>
      </c>
      <c r="O23" s="31" t="str">
        <f>VLOOKUP(A23,'zapisy k stolom'!$A$5:$AV$1444,26,0)</f>
        <v>3:0</v>
      </c>
      <c r="P23" s="510">
        <f>IF(SUM(W23:X23)=0,"",SUM(W23:X23))</f>
        <v>4</v>
      </c>
      <c r="Q23" s="519" t="str">
        <f>IF(CONCATENATE(AB23,":",AF23)="0:0","",CONCATENATE(AB23,":",AF23))</f>
        <v>6:2</v>
      </c>
      <c r="R23" s="510">
        <f>IF(ISERROR(AB23/AF23)=TRUE,"",(AB23/AF23))</f>
        <v>3</v>
      </c>
      <c r="S23" s="510">
        <f>IF(AS23&gt;0,"",IF(ISERROR(RANK(P23,P23:P28,0))=TRUE,"",RANK(P23,P23:P28,0)))</f>
        <v>1</v>
      </c>
      <c r="W23" s="34">
        <f>IF(LEFT(N23,1)="x",0,IF(LEFT(N23,1)&gt;RIGHT(N23,1),2,IF(LEFT(N23,1)&lt;RIGHT(N23,1),1,"")))</f>
        <v>2</v>
      </c>
      <c r="X23" s="34">
        <f>IF(LEFT(O23,1)="x",0,IF(LEFT(O23,1)&gt;RIGHT(O23,1),2,IF(LEFT(O23,1)&lt;RIGHT(O23,1),1,"")))</f>
        <v>2</v>
      </c>
      <c r="Z23" s="34">
        <f>IF(LEFT(N23,1)="x",0,VALUE(LEFT(N23,1)))</f>
        <v>3</v>
      </c>
      <c r="AA23" s="34">
        <f>IF(LEFT(O23,1)="x",0,VALUE(LEFT(O23,1)))</f>
        <v>3</v>
      </c>
      <c r="AB23" s="8">
        <f>IF(ISERROR(VALUE(Y23))=TRUE,0,VALUE(Y23))+IF(ISERROR(VALUE(Z23))=TRUE,0,VALUE(Z23))+IF(ISERROR(VALUE(AA23))=TRUE,0,VALUE(AA23))</f>
        <v>6</v>
      </c>
      <c r="AD23" s="34">
        <f>IF(RIGHT(N23,1)="x",0,VALUE(RIGHT(N23,1)))</f>
        <v>2</v>
      </c>
      <c r="AE23" s="34">
        <f>IF(RIGHT(O23,1)="x",0,VALUE(RIGHT(O23,1)))</f>
        <v>0</v>
      </c>
      <c r="AF23" s="8">
        <f>IF(ISERROR(VALUE(AC23))=TRUE,0,VALUE(AC23))+IF(ISERROR(VALUE(AD23))=TRUE,0,VALUE(AD23))+IF(ISERROR(VALUE(AE23))=TRUE,0,VALUE(AE23))</f>
        <v>2</v>
      </c>
      <c r="AO23" s="46">
        <f>IF(LEFT(N23,1)="x",1,0)</f>
        <v>0</v>
      </c>
      <c r="AP23" s="46">
        <f>IF(LEFT(O23,1)="x",1,0)</f>
        <v>0</v>
      </c>
      <c r="AS23" s="8">
        <f>SUM(AO23:AP23)</f>
        <v>0</v>
      </c>
    </row>
    <row r="24" spans="1:45" s="8" customFormat="1" ht="30" customHeight="1" thickBot="1">
      <c r="E24" s="304"/>
      <c r="F24" s="307"/>
      <c r="G24" s="308"/>
      <c r="H24" s="314"/>
      <c r="I24" s="525"/>
      <c r="J24" s="516"/>
      <c r="K24" s="517"/>
      <c r="L24" s="518"/>
      <c r="M24" s="524"/>
      <c r="N24" s="32" t="str">
        <f>VLOOKUP(A25,'zapisy k stolom'!$A$5:$AV$1444,48,0)</f>
        <v>3,-8,4,-11,3,,</v>
      </c>
      <c r="O24" s="32" t="str">
        <f>VLOOKUP(A23,'zapisy k stolom'!$A$5:$AV$1444,48,0)</f>
        <v>2,3,3,,,,</v>
      </c>
      <c r="P24" s="511"/>
      <c r="Q24" s="520"/>
      <c r="R24" s="511"/>
      <c r="S24" s="511"/>
      <c r="AO24" s="44"/>
      <c r="AP24" s="44"/>
    </row>
    <row r="25" spans="1:45" s="8" customFormat="1" ht="39.950000000000003" customHeight="1">
      <c r="A25" s="8" t="str">
        <f>CONCATENATE("D",K21,E25)</f>
        <v>DC1-2</v>
      </c>
      <c r="B25" s="8" t="str">
        <f>CONCATENATE("D",I21,I25)</f>
        <v>D32</v>
      </c>
      <c r="C25" s="8" t="str">
        <f>CONCATENATE(K21,S25)</f>
        <v>C2</v>
      </c>
      <c r="E25" s="304" t="s">
        <v>22</v>
      </c>
      <c r="F25" s="305" t="str">
        <f>IF(ISERROR(VLOOKUP(A25,'zoznam zapasov'!$A$5:$K$78,9,0))=TRUE,"",VLOOKUP(A25,'zoznam zapasov'!$A$5:$K$78,9,0))</f>
        <v>So</v>
      </c>
      <c r="G25" s="305" t="str">
        <f>IF(ISERROR(VLOOKUP(A25,'zoznam zapasov'!$A$5:$K$78,10,0))=TRUE,"",VLOOKUP(A25,'zoznam zapasov'!$A$5:$K$78,10,0))</f>
        <v>10.45</v>
      </c>
      <c r="H25" s="306">
        <f>IF(ISERROR(VLOOKUP(A25,'zoznam zapasov'!$A$5:$K$78,11,0))=TRUE,"",VLOOKUP(A25,'zoznam zapasov'!$A$5:$K$78,11,0))</f>
        <v>3</v>
      </c>
      <c r="I25" s="514">
        <v>2</v>
      </c>
      <c r="J25" s="516" t="str">
        <f>IF(ISERROR(VLOOKUP(B25,vylosovanie!$A$45:$J$68,6,0))=TRUE,"",VLOOKUP(B25,vylosovanie!$A$45:$J$68,6,0))</f>
        <v>DZUROVÁ Lenka</v>
      </c>
      <c r="K25" s="517" t="str">
        <f>IF(ISERROR(VLOOKUP(B25,vylosovanie!$A$45:$J$68,8,0))=TRUE,"",VLOOKUP(B25,vylosovanie!$A$45:$J$68,8,0))</f>
        <v>STK STARÁ TURÁ</v>
      </c>
      <c r="L25" s="518">
        <f>IF(ISERROR(VLOOKUP(B25,vylosovanie!$A$45:$J$68,9,0))=TRUE,"",VLOOKUP(B25,vylosovanie!$A$45:$J$68,9,0))</f>
        <v>14</v>
      </c>
      <c r="M25" s="521" t="str">
        <f>IF(LEN(N23)=1,":",CONCATENATE(RIGHT(N23,1),":",LEFT(N23,1)))</f>
        <v>2:3</v>
      </c>
      <c r="N25" s="523"/>
      <c r="O25" s="31" t="str">
        <f>VLOOKUP(A27,'zapisy k stolom'!$A$5:$AV$1444,26,0)</f>
        <v>3:1</v>
      </c>
      <c r="P25" s="510">
        <f>IF(SUM(W25:X25)=0,"",SUM(W25:X25))</f>
        <v>3</v>
      </c>
      <c r="Q25" s="519" t="str">
        <f t="shared" ref="Q25" si="8">IF(CONCATENATE(AB25,":",AF25)="0:0","",CONCATENATE(AB25,":",AF25))</f>
        <v>5:4</v>
      </c>
      <c r="R25" s="510">
        <f t="shared" ref="R25" si="9">IF(ISERROR(AB25/AF25)=TRUE,"",(AB25/AF25))</f>
        <v>1.25</v>
      </c>
      <c r="S25" s="510">
        <f>IF(AS25&gt;0,"",IF(ISERROR(RANK(P25,P23:P28,0))=TRUE,"",RANK(P25,P23:P28,0)))</f>
        <v>2</v>
      </c>
      <c r="W25" s="34">
        <f>IF(LEFT(M25,1)="x",0,IF(LEFT(M25,1)&gt;RIGHT(M25,1),2,IF(LEFT(M25,1)&lt;RIGHT(M25,1),1,"")))</f>
        <v>1</v>
      </c>
      <c r="X25" s="34">
        <f>IF(LEFT(O25,1)="x",0,IF(LEFT(O25,1)&gt;RIGHT(O25,1),2,IF(LEFT(O25,1)&lt;RIGHT(O25,1),1,"")))</f>
        <v>2</v>
      </c>
      <c r="Z25" s="34">
        <f>IF(LEFT(M25,1)="x",0,VALUE(LEFT(M25,1)))</f>
        <v>2</v>
      </c>
      <c r="AA25" s="34">
        <f>IF(LEFT(O25,1)="x",0,VALUE(LEFT(O25,1)))</f>
        <v>3</v>
      </c>
      <c r="AB25" s="8">
        <f>IF(ISERROR(VALUE(Y25))=TRUE,0,VALUE(Y25))+IF(ISERROR(VALUE(Z25))=TRUE,0,VALUE(Z25))+IF(ISERROR(VALUE(AA25))=TRUE,0,VALUE(AA25))</f>
        <v>5</v>
      </c>
      <c r="AD25" s="34">
        <f>IF(RIGHT(M25,1)="x",0,VALUE(RIGHT(M25,1)))</f>
        <v>3</v>
      </c>
      <c r="AE25" s="34">
        <f>IF(RIGHT(O25,1)="x",0,VALUE(RIGHT(O25,1)))</f>
        <v>1</v>
      </c>
      <c r="AF25" s="8">
        <f>IF(ISERROR(VALUE(AC25))=TRUE,0,VALUE(AC25))+IF(ISERROR(VALUE(AD25))=TRUE,0,VALUE(AD25))+IF(ISERROR(VALUE(AE25))=TRUE,0,VALUE(AE25))</f>
        <v>4</v>
      </c>
      <c r="AO25" s="46">
        <f>IF(LEFT(L25,1)="x",1,0)</f>
        <v>0</v>
      </c>
      <c r="AP25" s="46">
        <f>IF(LEFT(O25,1)="x",1,0)</f>
        <v>0</v>
      </c>
      <c r="AS25" s="8">
        <f>SUM(AO25:AQ25)</f>
        <v>0</v>
      </c>
    </row>
    <row r="26" spans="1:45" s="8" customFormat="1" ht="30" customHeight="1" thickBot="1">
      <c r="E26" s="304"/>
      <c r="F26" s="307"/>
      <c r="G26" s="308"/>
      <c r="H26" s="314"/>
      <c r="I26" s="515"/>
      <c r="J26" s="516"/>
      <c r="K26" s="517"/>
      <c r="L26" s="518"/>
      <c r="M26" s="522"/>
      <c r="N26" s="524"/>
      <c r="O26" s="32" t="str">
        <f>VLOOKUP(A27,'zapisy k stolom'!$A$5:$AV$1444,48,0)</f>
        <v>6,10,-4,4,,,</v>
      </c>
      <c r="P26" s="511"/>
      <c r="Q26" s="520"/>
      <c r="R26" s="511"/>
      <c r="S26" s="511"/>
      <c r="AO26" s="44"/>
      <c r="AP26" s="44"/>
    </row>
    <row r="27" spans="1:45" s="8" customFormat="1" ht="39.950000000000003" customHeight="1">
      <c r="A27" s="8" t="str">
        <f>CONCATENATE("D",K21,E27)</f>
        <v>DC2-3</v>
      </c>
      <c r="B27" s="8" t="str">
        <f>CONCATENATE("D",I21,I27)</f>
        <v>D33</v>
      </c>
      <c r="C27" s="8" t="str">
        <f>CONCATENATE(K21,S27)</f>
        <v>C3</v>
      </c>
      <c r="E27" s="304" t="s">
        <v>25</v>
      </c>
      <c r="F27" s="305" t="str">
        <f>IF(ISERROR(VLOOKUP(A27,'zoznam zapasov'!$A$5:$K$78,9,0))=TRUE,"",VLOOKUP(A27,'zoznam zapasov'!$A$5:$K$78,9,0))</f>
        <v>So</v>
      </c>
      <c r="G27" s="305" t="str">
        <f>IF(ISERROR(VLOOKUP(A27,'zoznam zapasov'!$A$5:$K$78,10,0))=TRUE,"",VLOOKUP(A27,'zoznam zapasov'!$A$5:$K$78,10,0))</f>
        <v>12.00</v>
      </c>
      <c r="H27" s="306">
        <f>IF(ISERROR(VLOOKUP(A27,'zoznam zapasov'!$A$5:$K$78,11,0))=TRUE,"",VLOOKUP(A27,'zoznam zapasov'!$A$5:$K$78,11,0))</f>
        <v>3</v>
      </c>
      <c r="I27" s="514">
        <v>3</v>
      </c>
      <c r="J27" s="516" t="str">
        <f>IF(ISERROR(VLOOKUP(B27,vylosovanie!$A$45:$J$68,6,0))=TRUE,"",VLOOKUP(B27,vylosovanie!$A$45:$J$68,6,0))</f>
        <v>SISKOVÁ Zuzana</v>
      </c>
      <c r="K27" s="517" t="str">
        <f>IF(ISERROR(VLOOKUP(B27,vylosovanie!$A$45:$J$68,8,0))=TRUE,"",VLOOKUP(B27,vylosovanie!$A$45:$J$68,8,0))</f>
        <v>TTC MAJCICHOV</v>
      </c>
      <c r="L27" s="518">
        <f>IF(ISERROR(VLOOKUP(B27,vylosovanie!$A$45:$J$68,9,0))=TRUE,"",VLOOKUP(B27,vylosovanie!$A$45:$J$68,9,0))</f>
        <v>22</v>
      </c>
      <c r="M27" s="521" t="str">
        <f>IF(LEN(O23)=1,":",CONCATENATE(RIGHT(O23,1),":",LEFT(O23,1)))</f>
        <v>0:3</v>
      </c>
      <c r="N27" s="521" t="str">
        <f>IF(LEN(O25)=1,":",CONCATENATE(RIGHT(O25,1),":",LEFT(O25,1)))</f>
        <v>1:3</v>
      </c>
      <c r="O27" s="523"/>
      <c r="P27" s="510">
        <f>IF(SUM(W27:X27)=0,"",SUM(W27:X27))</f>
        <v>2</v>
      </c>
      <c r="Q27" s="519" t="str">
        <f t="shared" ref="Q27" si="10">IF(CONCATENATE(AB27,":",AF27)="0:0","",CONCATENATE(AB27,":",AF27))</f>
        <v>1:6</v>
      </c>
      <c r="R27" s="510">
        <f t="shared" ref="R27" si="11">IF(ISERROR(AB27/AF27)=TRUE,"",(AB27/AF27))</f>
        <v>0.16666666666666666</v>
      </c>
      <c r="S27" s="510">
        <f>IF(AS27&gt;0,"",IF(ISERROR(RANK(P27,P23:P28,0))=TRUE,"",RANK(P27,P23:P28,0)))</f>
        <v>3</v>
      </c>
      <c r="W27" s="34">
        <f>IF(LEFT(M27,1)="x",0,IF(LEFT(M27,1)&gt;RIGHT(M27,1),2,IF(LEFT(M27,1)&lt;RIGHT(M27,1),1,"")))</f>
        <v>1</v>
      </c>
      <c r="X27" s="34">
        <f>IF(LEFT(N27,1)="x",0,IF(LEFT(N27,1)&gt;RIGHT(N27,1),2,IF(LEFT(N27,1)&lt;RIGHT(N27,1),1,"")))</f>
        <v>1</v>
      </c>
      <c r="Z27" s="34">
        <f>IF(LEFT(M27,1)="x",0,VALUE(LEFT(M27,1)))</f>
        <v>0</v>
      </c>
      <c r="AA27" s="34">
        <f>IF(LEFT(N27,1)="x",0,VALUE(LEFT(N27,1)))</f>
        <v>1</v>
      </c>
      <c r="AB27" s="8">
        <f>IF(ISERROR(VALUE(Y27))=TRUE,0,VALUE(Y27))+IF(ISERROR(VALUE(Z27))=TRUE,0,VALUE(Z27))+IF(ISERROR(VALUE(AA27))=TRUE,0,VALUE(AA27))</f>
        <v>1</v>
      </c>
      <c r="AD27" s="34">
        <f>IF(RIGHT(M27,1)="x",0,VALUE(RIGHT(M27,1)))</f>
        <v>3</v>
      </c>
      <c r="AE27" s="34">
        <f>IF(RIGHT(N27,1)="x",0,VALUE(RIGHT(N27,1)))</f>
        <v>3</v>
      </c>
      <c r="AF27" s="8">
        <f>IF(ISERROR(VALUE(AC27))=TRUE,0,VALUE(AC27))+IF(ISERROR(VALUE(AD27))=TRUE,0,VALUE(AD27))+IF(ISERROR(VALUE(AE27))=TRUE,0,VALUE(AE27))</f>
        <v>6</v>
      </c>
      <c r="AO27" s="46">
        <f>IF(LEFT(M27,1)="x",1,0)</f>
        <v>0</v>
      </c>
      <c r="AP27" s="46">
        <f>IF(LEFT(N27,1)="x",1,0)</f>
        <v>0</v>
      </c>
      <c r="AS27" s="8">
        <f>SUM(AO27:AQ27)</f>
        <v>0</v>
      </c>
    </row>
    <row r="28" spans="1:45" s="8" customFormat="1" ht="30" customHeight="1" thickBot="1">
      <c r="E28" s="315"/>
      <c r="F28" s="316"/>
      <c r="G28" s="317"/>
      <c r="H28" s="318"/>
      <c r="I28" s="515"/>
      <c r="J28" s="516"/>
      <c r="K28" s="517"/>
      <c r="L28" s="518"/>
      <c r="M28" s="522"/>
      <c r="N28" s="522"/>
      <c r="O28" s="524"/>
      <c r="P28" s="511"/>
      <c r="Q28" s="520"/>
      <c r="R28" s="511"/>
      <c r="S28" s="511"/>
    </row>
    <row r="30" spans="1:45" s="2" customFormat="1" ht="47.25" thickBot="1">
      <c r="A30" s="2" t="s">
        <v>11</v>
      </c>
      <c r="B30" s="2" t="s">
        <v>11</v>
      </c>
      <c r="E30" s="299"/>
      <c r="F30" s="299"/>
      <c r="G30" s="299"/>
      <c r="H30" s="299"/>
      <c r="I30" s="217">
        <v>4</v>
      </c>
      <c r="J30" s="217" t="s">
        <v>13</v>
      </c>
      <c r="K30" s="217" t="s">
        <v>39</v>
      </c>
      <c r="L30" s="12"/>
      <c r="M30" s="12"/>
      <c r="N30" s="12"/>
      <c r="O30" s="12"/>
      <c r="P30" s="12"/>
      <c r="Q30" s="16"/>
      <c r="R30" s="12"/>
      <c r="S30" s="12"/>
      <c r="AB30" s="36"/>
      <c r="AC30" s="36"/>
    </row>
    <row r="31" spans="1:45" s="8" customFormat="1" ht="39.950000000000003" customHeight="1" thickBot="1">
      <c r="A31" s="8" t="s">
        <v>47</v>
      </c>
      <c r="B31" s="8" t="s">
        <v>48</v>
      </c>
      <c r="E31" s="301" t="s">
        <v>14</v>
      </c>
      <c r="F31" s="302" t="s">
        <v>67</v>
      </c>
      <c r="G31" s="302" t="s">
        <v>15</v>
      </c>
      <c r="H31" s="310" t="s">
        <v>16</v>
      </c>
      <c r="I31" s="211"/>
      <c r="J31" s="212" t="s">
        <v>17</v>
      </c>
      <c r="K31" s="213" t="s">
        <v>5</v>
      </c>
      <c r="L31" s="207" t="s">
        <v>44</v>
      </c>
      <c r="M31" s="214">
        <v>1</v>
      </c>
      <c r="N31" s="214">
        <v>2</v>
      </c>
      <c r="O31" s="214">
        <v>3</v>
      </c>
      <c r="P31" s="216" t="s">
        <v>18</v>
      </c>
      <c r="Q31" s="214" t="s">
        <v>45</v>
      </c>
      <c r="R31" s="214" t="s">
        <v>19</v>
      </c>
      <c r="S31" s="215" t="s">
        <v>46</v>
      </c>
      <c r="Z31" s="8" t="s">
        <v>76</v>
      </c>
      <c r="AB31" s="8" t="s">
        <v>77</v>
      </c>
      <c r="AD31" s="8" t="s">
        <v>78</v>
      </c>
      <c r="AF31" s="8" t="s">
        <v>77</v>
      </c>
    </row>
    <row r="32" spans="1:45" s="8" customFormat="1" ht="39.950000000000003" customHeight="1">
      <c r="A32" s="8" t="str">
        <f>CONCATENATE("D",K30,E32)</f>
        <v>DD1-3</v>
      </c>
      <c r="B32" s="8" t="str">
        <f>CONCATENATE("D",I30,I32)</f>
        <v>D41</v>
      </c>
      <c r="C32" s="8" t="str">
        <f>CONCATENATE(K30,S32)</f>
        <v>D1</v>
      </c>
      <c r="E32" s="304" t="s">
        <v>20</v>
      </c>
      <c r="F32" s="305" t="str">
        <f>IF(ISERROR(VLOOKUP(A32,'zoznam zapasov'!$A$5:$K$78,9,0))=TRUE,"",VLOOKUP(A32,'zoznam zapasov'!$A$5:$K$78,9,0))</f>
        <v>So</v>
      </c>
      <c r="G32" s="305" t="str">
        <f>IF(ISERROR(VLOOKUP(A32,'zoznam zapasov'!$A$5:$K$78,10,0))=TRUE,"",VLOOKUP(A32,'zoznam zapasov'!$A$5:$K$78,10,0))</f>
        <v>9.30</v>
      </c>
      <c r="H32" s="306">
        <f>IF(ISERROR(VLOOKUP(A32,'zoznam zapasov'!$A$5:$K$78,11,0))=TRUE,"",VLOOKUP(A32,'zoznam zapasov'!$A$5:$K$78,11,0))</f>
        <v>4</v>
      </c>
      <c r="I32" s="525">
        <v>1</v>
      </c>
      <c r="J32" s="516" t="str">
        <f>IF(ISERROR(VLOOKUP(B32,vylosovanie!$A$45:$J$68,6,0))=TRUE,"",VLOOKUP(B32,vylosovanie!$A$45:$J$68,6,0))</f>
        <v>DZELINSKA Júlia</v>
      </c>
      <c r="K32" s="517" t="str">
        <f>IF(ISERROR(VLOOKUP(B32,vylosovanie!$A$45:$J$68,8,0))=TRUE,"",VLOOKUP(B32,vylosovanie!$A$45:$J$68,8,0))</f>
        <v>ŠKST MICHALOVCE/STK LOKOMOTÍVA KOŠICE</v>
      </c>
      <c r="L32" s="518">
        <f>IF(ISERROR(VLOOKUP(B32,vylosovanie!$A$45:$J$68,9,0))=TRUE,"",VLOOKUP(B32,vylosovanie!$A$45:$J$68,9,0))</f>
        <v>4</v>
      </c>
      <c r="M32" s="523"/>
      <c r="N32" s="31" t="str">
        <f>VLOOKUP(A34,'zapisy k stolom'!$A$5:$AV$1444,26,0)</f>
        <v>3:0</v>
      </c>
      <c r="O32" s="31" t="str">
        <f>VLOOKUP(A32,'zapisy k stolom'!$A$5:$AV$1444,26,0)</f>
        <v>3:0</v>
      </c>
      <c r="P32" s="510">
        <f>IF(SUM(W32:X32)=0,"",SUM(W32:X32))</f>
        <v>4</v>
      </c>
      <c r="Q32" s="519" t="str">
        <f>IF(CONCATENATE(AB32,":",AF32)="0:0","",CONCATENATE(AB32,":",AF32))</f>
        <v>6:0</v>
      </c>
      <c r="R32" s="510" t="str">
        <f>IF(ISERROR(AB32/AF32)=TRUE,"",(AB32/AF32))</f>
        <v/>
      </c>
      <c r="S32" s="510">
        <f>IF(AS32&gt;0,"",IF(ISERROR(RANK(P32,P32:P37,0))=TRUE,"",RANK(P32,P32:P37,0)))</f>
        <v>1</v>
      </c>
      <c r="W32" s="34">
        <f>IF(LEFT(N32,1)="x",0,IF(LEFT(N32,1)&gt;RIGHT(N32,1),2,IF(LEFT(N32,1)&lt;RIGHT(N32,1),1,"")))</f>
        <v>2</v>
      </c>
      <c r="X32" s="34">
        <f>IF(LEFT(O32,1)="x",0,IF(LEFT(O32,1)&gt;RIGHT(O32,1),2,IF(LEFT(O32,1)&lt;RIGHT(O32,1),1,"")))</f>
        <v>2</v>
      </c>
      <c r="Z32" s="34">
        <f>IF(LEFT(N32,1)="x",0,VALUE(LEFT(N32,1)))</f>
        <v>3</v>
      </c>
      <c r="AA32" s="34">
        <f>IF(LEFT(O32,1)="x",0,VALUE(LEFT(O32,1)))</f>
        <v>3</v>
      </c>
      <c r="AB32" s="8">
        <f>IF(ISERROR(VALUE(Y32))=TRUE,0,VALUE(Y32))+IF(ISERROR(VALUE(Z32))=TRUE,0,VALUE(Z32))+IF(ISERROR(VALUE(AA32))=TRUE,0,VALUE(AA32))</f>
        <v>6</v>
      </c>
      <c r="AD32" s="34">
        <f>IF(RIGHT(N32,1)="x",0,VALUE(RIGHT(N32,1)))</f>
        <v>0</v>
      </c>
      <c r="AE32" s="34">
        <f>IF(RIGHT(O32,1)="x",0,VALUE(RIGHT(O32,1)))</f>
        <v>0</v>
      </c>
      <c r="AF32" s="8">
        <f>IF(ISERROR(VALUE(AC32))=TRUE,0,VALUE(AC32))+IF(ISERROR(VALUE(AD32))=TRUE,0,VALUE(AD32))+IF(ISERROR(VALUE(AE32))=TRUE,0,VALUE(AE32))</f>
        <v>0</v>
      </c>
      <c r="AO32" s="46">
        <f>IF(LEFT(N32,1)="x",1,0)</f>
        <v>0</v>
      </c>
      <c r="AP32" s="46">
        <f>IF(LEFT(O32,1)="x",1,0)</f>
        <v>0</v>
      </c>
      <c r="AS32" s="8">
        <f>SUM(AO32:AP32)</f>
        <v>0</v>
      </c>
    </row>
    <row r="33" spans="1:45" s="8" customFormat="1" ht="30" customHeight="1" thickBot="1">
      <c r="E33" s="304"/>
      <c r="F33" s="307"/>
      <c r="G33" s="308"/>
      <c r="H33" s="314"/>
      <c r="I33" s="525"/>
      <c r="J33" s="516"/>
      <c r="K33" s="517"/>
      <c r="L33" s="518"/>
      <c r="M33" s="524"/>
      <c r="N33" s="32" t="str">
        <f>VLOOKUP(A34,'zapisy k stolom'!$A$5:$AV$1444,48,0)</f>
        <v>2,4,10,,,,</v>
      </c>
      <c r="O33" s="32" t="str">
        <f>VLOOKUP(A32,'zapisy k stolom'!$A$5:$AV$1444,48,0)</f>
        <v>9,7,9,,,,</v>
      </c>
      <c r="P33" s="511"/>
      <c r="Q33" s="520"/>
      <c r="R33" s="511"/>
      <c r="S33" s="511"/>
      <c r="AO33" s="44"/>
      <c r="AP33" s="44"/>
    </row>
    <row r="34" spans="1:45" s="8" customFormat="1" ht="39.950000000000003" customHeight="1">
      <c r="A34" s="8" t="str">
        <f>CONCATENATE("D",K30,E34)</f>
        <v>DD1-2</v>
      </c>
      <c r="B34" s="8" t="str">
        <f>CONCATENATE("D",I30,I34)</f>
        <v>D42</v>
      </c>
      <c r="C34" s="8" t="str">
        <f>CONCATENATE(K30,S34)</f>
        <v>D3</v>
      </c>
      <c r="E34" s="304" t="s">
        <v>22</v>
      </c>
      <c r="F34" s="305" t="str">
        <f>IF(ISERROR(VLOOKUP(A34,'zoznam zapasov'!$A$5:$K$78,9,0))=TRUE,"",VLOOKUP(A34,'zoznam zapasov'!$A$5:$K$78,9,0))</f>
        <v>So</v>
      </c>
      <c r="G34" s="305" t="str">
        <f>IF(ISERROR(VLOOKUP(A34,'zoznam zapasov'!$A$5:$K$78,10,0))=TRUE,"",VLOOKUP(A34,'zoznam zapasov'!$A$5:$K$78,10,0))</f>
        <v>10.45</v>
      </c>
      <c r="H34" s="306">
        <f>IF(ISERROR(VLOOKUP(A34,'zoznam zapasov'!$A$5:$K$78,11,0))=TRUE,"",VLOOKUP(A34,'zoznam zapasov'!$A$5:$K$78,11,0))</f>
        <v>4</v>
      </c>
      <c r="I34" s="514">
        <v>2</v>
      </c>
      <c r="J34" s="516" t="str">
        <f>IF(ISERROR(VLOOKUP(B34,vylosovanie!$A$45:$J$68,6,0))=TRUE,"",VLOOKUP(B34,vylosovanie!$A$45:$J$68,6,0))</f>
        <v>GAŠPARÍKOVÁ Lucia</v>
      </c>
      <c r="K34" s="517" t="str">
        <f>IF(ISERROR(VLOOKUP(B34,vylosovanie!$A$45:$J$68,8,0))=TRUE,"",VLOOKUP(B34,vylosovanie!$A$45:$J$68,8,0))</f>
        <v>TTC MAJCICHOV</v>
      </c>
      <c r="L34" s="518">
        <f>IF(ISERROR(VLOOKUP(B34,vylosovanie!$A$45:$J$68,9,0))=TRUE,"",VLOOKUP(B34,vylosovanie!$A$45:$J$68,9,0))</f>
        <v>12</v>
      </c>
      <c r="M34" s="521" t="str">
        <f>IF(LEN(N32)=1,":",CONCATENATE(RIGHT(N32,1),":",LEFT(N32,1)))</f>
        <v>0:3</v>
      </c>
      <c r="N34" s="523"/>
      <c r="O34" s="31" t="str">
        <f>VLOOKUP(A36,'zapisy k stolom'!$A$5:$AV$1444,26,0)</f>
        <v>2:3</v>
      </c>
      <c r="P34" s="510">
        <f>IF(SUM(W34:X34)=0,"",SUM(W34:X34))</f>
        <v>2</v>
      </c>
      <c r="Q34" s="519" t="str">
        <f t="shared" ref="Q34" si="12">IF(CONCATENATE(AB34,":",AF34)="0:0","",CONCATENATE(AB34,":",AF34))</f>
        <v>2:6</v>
      </c>
      <c r="R34" s="510">
        <f t="shared" ref="R34" si="13">IF(ISERROR(AB34/AF34)=TRUE,"",(AB34/AF34))</f>
        <v>0.33333333333333331</v>
      </c>
      <c r="S34" s="510">
        <f>IF(AS34&gt;0,"",IF(ISERROR(RANK(P34,P32:P37,0))=TRUE,"",RANK(P34,P32:P37,0)))</f>
        <v>3</v>
      </c>
      <c r="W34" s="34">
        <f>IF(LEFT(M34,1)="x",0,IF(LEFT(M34,1)&gt;RIGHT(M34,1),2,IF(LEFT(M34,1)&lt;RIGHT(M34,1),1,"")))</f>
        <v>1</v>
      </c>
      <c r="X34" s="34">
        <f>IF(LEFT(O34,1)="x",0,IF(LEFT(O34,1)&gt;RIGHT(O34,1),2,IF(LEFT(O34,1)&lt;RIGHT(O34,1),1,"")))</f>
        <v>1</v>
      </c>
      <c r="Z34" s="34">
        <f>IF(LEFT(M34,1)="x",0,VALUE(LEFT(M34,1)))</f>
        <v>0</v>
      </c>
      <c r="AA34" s="34">
        <f>IF(LEFT(O34,1)="x",0,VALUE(LEFT(O34,1)))</f>
        <v>2</v>
      </c>
      <c r="AB34" s="8">
        <f>IF(ISERROR(VALUE(Y34))=TRUE,0,VALUE(Y34))+IF(ISERROR(VALUE(Z34))=TRUE,0,VALUE(Z34))+IF(ISERROR(VALUE(AA34))=TRUE,0,VALUE(AA34))</f>
        <v>2</v>
      </c>
      <c r="AD34" s="34">
        <f>IF(RIGHT(M34,1)="x",0,VALUE(RIGHT(M34,1)))</f>
        <v>3</v>
      </c>
      <c r="AE34" s="34">
        <f>IF(RIGHT(O34,1)="x",0,VALUE(RIGHT(O34,1)))</f>
        <v>3</v>
      </c>
      <c r="AF34" s="8">
        <f>IF(ISERROR(VALUE(AC34))=TRUE,0,VALUE(AC34))+IF(ISERROR(VALUE(AD34))=TRUE,0,VALUE(AD34))+IF(ISERROR(VALUE(AE34))=TRUE,0,VALUE(AE34))</f>
        <v>6</v>
      </c>
      <c r="AO34" s="46">
        <f>IF(LEFT(L34,1)="x",1,0)</f>
        <v>0</v>
      </c>
      <c r="AP34" s="46">
        <f>IF(LEFT(O34,1)="x",1,0)</f>
        <v>0</v>
      </c>
      <c r="AS34" s="8">
        <f>SUM(AO34:AQ34)</f>
        <v>0</v>
      </c>
    </row>
    <row r="35" spans="1:45" s="8" customFormat="1" ht="30" customHeight="1" thickBot="1">
      <c r="E35" s="304"/>
      <c r="F35" s="307"/>
      <c r="G35" s="308"/>
      <c r="H35" s="314"/>
      <c r="I35" s="515"/>
      <c r="J35" s="516"/>
      <c r="K35" s="517"/>
      <c r="L35" s="518"/>
      <c r="M35" s="522"/>
      <c r="N35" s="524"/>
      <c r="O35" s="32" t="str">
        <f>VLOOKUP(A36,'zapisy k stolom'!$A$5:$AV$1444,48,0)</f>
        <v>-10,-9,3,12,-10,,</v>
      </c>
      <c r="P35" s="511"/>
      <c r="Q35" s="520"/>
      <c r="R35" s="511"/>
      <c r="S35" s="511"/>
      <c r="AO35" s="44"/>
      <c r="AP35" s="44"/>
    </row>
    <row r="36" spans="1:45" s="8" customFormat="1" ht="39.950000000000003" customHeight="1">
      <c r="A36" s="8" t="str">
        <f>CONCATENATE("D",K30,E36)</f>
        <v>DD2-3</v>
      </c>
      <c r="B36" s="8" t="str">
        <f>CONCATENATE("D",I30,I36)</f>
        <v>D43</v>
      </c>
      <c r="C36" s="8" t="str">
        <f>CONCATENATE(K30,S36)</f>
        <v>D2</v>
      </c>
      <c r="E36" s="304" t="s">
        <v>25</v>
      </c>
      <c r="F36" s="305" t="str">
        <f>IF(ISERROR(VLOOKUP(A36,'zoznam zapasov'!$A$5:$K$78,9,0))=TRUE,"",VLOOKUP(A36,'zoznam zapasov'!$A$5:$K$78,9,0))</f>
        <v>So</v>
      </c>
      <c r="G36" s="305" t="str">
        <f>IF(ISERROR(VLOOKUP(A36,'zoznam zapasov'!$A$5:$K$78,10,0))=TRUE,"",VLOOKUP(A36,'zoznam zapasov'!$A$5:$K$78,10,0))</f>
        <v>12.00</v>
      </c>
      <c r="H36" s="306">
        <f>IF(ISERROR(VLOOKUP(A36,'zoznam zapasov'!$A$5:$K$78,11,0))=TRUE,"",VLOOKUP(A36,'zoznam zapasov'!$A$5:$K$78,11,0))</f>
        <v>4</v>
      </c>
      <c r="I36" s="514">
        <v>3</v>
      </c>
      <c r="J36" s="516" t="str">
        <f>IF(ISERROR(VLOOKUP(B36,vylosovanie!$A$45:$J$68,6,0))=TRUE,"",VLOOKUP(B36,vylosovanie!$A$45:$J$68,6,0))</f>
        <v>HUDÁKOVÁ Ivana</v>
      </c>
      <c r="K36" s="517" t="str">
        <f>IF(ISERROR(VLOOKUP(B36,vylosovanie!$A$45:$J$68,8,0))=TRUE,"",VLOOKUP(B36,vylosovanie!$A$45:$J$68,8,0))</f>
        <v>ZŠ VYŠNÝ ŽIPOV</v>
      </c>
      <c r="L36" s="518">
        <f>IF(ISERROR(VLOOKUP(B36,vylosovanie!$A$45:$J$68,9,0))=TRUE,"",VLOOKUP(B36,vylosovanie!$A$45:$J$68,9,0))</f>
        <v>23</v>
      </c>
      <c r="M36" s="521" t="str">
        <f>IF(LEN(O32)=1,":",CONCATENATE(RIGHT(O32,1),":",LEFT(O32,1)))</f>
        <v>0:3</v>
      </c>
      <c r="N36" s="521" t="str">
        <f>IF(LEN(O34)=1,":",CONCATENATE(RIGHT(O34,1),":",LEFT(O34,1)))</f>
        <v>3:2</v>
      </c>
      <c r="O36" s="523"/>
      <c r="P36" s="510">
        <f>IF(SUM(W36:X36)=0,"",SUM(W36:X36))</f>
        <v>3</v>
      </c>
      <c r="Q36" s="519" t="str">
        <f t="shared" ref="Q36" si="14">IF(CONCATENATE(AB36,":",AF36)="0:0","",CONCATENATE(AB36,":",AF36))</f>
        <v>3:5</v>
      </c>
      <c r="R36" s="510">
        <f t="shared" ref="R36" si="15">IF(ISERROR(AB36/AF36)=TRUE,"",(AB36/AF36))</f>
        <v>0.6</v>
      </c>
      <c r="S36" s="510">
        <f>IF(AS36&gt;0,"",IF(ISERROR(RANK(P36,P32:P37,0))=TRUE,"",RANK(P36,P32:P37,0)))</f>
        <v>2</v>
      </c>
      <c r="W36" s="34">
        <f>IF(LEFT(M36,1)="x",0,IF(LEFT(M36,1)&gt;RIGHT(M36,1),2,IF(LEFT(M36,1)&lt;RIGHT(M36,1),1,"")))</f>
        <v>1</v>
      </c>
      <c r="X36" s="34">
        <f>IF(LEFT(N36,1)="x",0,IF(LEFT(N36,1)&gt;RIGHT(N36,1),2,IF(LEFT(N36,1)&lt;RIGHT(N36,1),1,"")))</f>
        <v>2</v>
      </c>
      <c r="Z36" s="34">
        <f>IF(LEFT(M36,1)="x",0,VALUE(LEFT(M36,1)))</f>
        <v>0</v>
      </c>
      <c r="AA36" s="34">
        <f>IF(LEFT(N36,1)="x",0,VALUE(LEFT(N36,1)))</f>
        <v>3</v>
      </c>
      <c r="AB36" s="8">
        <f>IF(ISERROR(VALUE(Y36))=TRUE,0,VALUE(Y36))+IF(ISERROR(VALUE(Z36))=TRUE,0,VALUE(Z36))+IF(ISERROR(VALUE(AA36))=TRUE,0,VALUE(AA36))</f>
        <v>3</v>
      </c>
      <c r="AD36" s="34">
        <f>IF(RIGHT(M36,1)="x",0,VALUE(RIGHT(M36,1)))</f>
        <v>3</v>
      </c>
      <c r="AE36" s="34">
        <f>IF(RIGHT(N36,1)="x",0,VALUE(RIGHT(N36,1)))</f>
        <v>2</v>
      </c>
      <c r="AF36" s="8">
        <f>IF(ISERROR(VALUE(AC36))=TRUE,0,VALUE(AC36))+IF(ISERROR(VALUE(AD36))=TRUE,0,VALUE(AD36))+IF(ISERROR(VALUE(AE36))=TRUE,0,VALUE(AE36))</f>
        <v>5</v>
      </c>
      <c r="AO36" s="46">
        <f>IF(LEFT(M36,1)="x",1,0)</f>
        <v>0</v>
      </c>
      <c r="AP36" s="46">
        <f>IF(LEFT(N36,1)="x",1,0)</f>
        <v>0</v>
      </c>
      <c r="AS36" s="8">
        <f>SUM(AO36:AQ36)</f>
        <v>0</v>
      </c>
    </row>
    <row r="37" spans="1:45" s="8" customFormat="1" ht="30" customHeight="1" thickBot="1">
      <c r="E37" s="315"/>
      <c r="F37" s="316"/>
      <c r="G37" s="317"/>
      <c r="H37" s="318"/>
      <c r="I37" s="515"/>
      <c r="J37" s="516"/>
      <c r="K37" s="517"/>
      <c r="L37" s="518"/>
      <c r="M37" s="522"/>
      <c r="N37" s="522"/>
      <c r="O37" s="524"/>
      <c r="P37" s="511"/>
      <c r="Q37" s="520"/>
      <c r="R37" s="511"/>
      <c r="S37" s="511"/>
    </row>
    <row r="39" spans="1:45" s="2" customFormat="1" ht="47.25" thickBot="1">
      <c r="A39" s="2" t="s">
        <v>11</v>
      </c>
      <c r="B39" s="2" t="s">
        <v>11</v>
      </c>
      <c r="E39" s="299"/>
      <c r="F39" s="299"/>
      <c r="G39" s="299"/>
      <c r="H39" s="299"/>
      <c r="I39" s="217">
        <v>5</v>
      </c>
      <c r="J39" s="217" t="s">
        <v>13</v>
      </c>
      <c r="K39" s="217" t="s">
        <v>40</v>
      </c>
      <c r="L39" s="12"/>
      <c r="M39" s="12"/>
      <c r="N39" s="12"/>
      <c r="O39" s="12"/>
      <c r="P39" s="12"/>
      <c r="Q39" s="16"/>
      <c r="R39" s="12"/>
      <c r="S39" s="12"/>
      <c r="AB39" s="36"/>
      <c r="AC39" s="36"/>
    </row>
    <row r="40" spans="1:45" s="8" customFormat="1" ht="39.950000000000003" customHeight="1" thickBot="1">
      <c r="A40" s="8" t="s">
        <v>47</v>
      </c>
      <c r="B40" s="8" t="s">
        <v>48</v>
      </c>
      <c r="E40" s="301" t="s">
        <v>14</v>
      </c>
      <c r="F40" s="302" t="s">
        <v>67</v>
      </c>
      <c r="G40" s="302" t="s">
        <v>15</v>
      </c>
      <c r="H40" s="310" t="s">
        <v>16</v>
      </c>
      <c r="I40" s="211"/>
      <c r="J40" s="212" t="s">
        <v>17</v>
      </c>
      <c r="K40" s="213" t="s">
        <v>5</v>
      </c>
      <c r="L40" s="207" t="s">
        <v>44</v>
      </c>
      <c r="M40" s="214">
        <v>1</v>
      </c>
      <c r="N40" s="214">
        <v>2</v>
      </c>
      <c r="O40" s="214">
        <v>3</v>
      </c>
      <c r="P40" s="216" t="s">
        <v>18</v>
      </c>
      <c r="Q40" s="214" t="s">
        <v>45</v>
      </c>
      <c r="R40" s="214" t="s">
        <v>19</v>
      </c>
      <c r="S40" s="215" t="s">
        <v>46</v>
      </c>
      <c r="Z40" s="8" t="s">
        <v>76</v>
      </c>
      <c r="AB40" s="8" t="s">
        <v>77</v>
      </c>
      <c r="AD40" s="8" t="s">
        <v>78</v>
      </c>
      <c r="AF40" s="8" t="s">
        <v>77</v>
      </c>
    </row>
    <row r="41" spans="1:45" s="8" customFormat="1" ht="39.950000000000003" customHeight="1">
      <c r="A41" s="8" t="str">
        <f>CONCATENATE("D",K39,E41)</f>
        <v>DE1-3</v>
      </c>
      <c r="B41" s="8" t="str">
        <f>CONCATENATE("D",I39,I41)</f>
        <v>D51</v>
      </c>
      <c r="C41" s="8" t="str">
        <f>CONCATENATE(K39,S41)</f>
        <v>E1</v>
      </c>
      <c r="E41" s="304" t="s">
        <v>20</v>
      </c>
      <c r="F41" s="305" t="str">
        <f>IF(ISERROR(VLOOKUP(A41,'zoznam zapasov'!$A$5:$K$78,9,0))=TRUE,"",VLOOKUP(A41,'zoznam zapasov'!$A$5:$K$78,9,0))</f>
        <v>So</v>
      </c>
      <c r="G41" s="305" t="str">
        <f>IF(ISERROR(VLOOKUP(A41,'zoznam zapasov'!$A$5:$K$78,10,0))=TRUE,"",VLOOKUP(A41,'zoznam zapasov'!$A$5:$K$78,10,0))</f>
        <v>9.30</v>
      </c>
      <c r="H41" s="306">
        <f>IF(ISERROR(VLOOKUP(A41,'zoznam zapasov'!$A$5:$K$78,11,0))=TRUE,"",VLOOKUP(A41,'zoznam zapasov'!$A$5:$K$78,11,0))</f>
        <v>5</v>
      </c>
      <c r="I41" s="525">
        <v>1</v>
      </c>
      <c r="J41" s="516" t="str">
        <f>IF(ISERROR(VLOOKUP(B41,vylosovanie!$A$45:$J$68,6,0))=TRUE,"",VLOOKUP(B41,vylosovanie!$A$45:$J$68,6,0))</f>
        <v>DIVINSKÁ Natália</v>
      </c>
      <c r="K41" s="517" t="str">
        <f>IF(ISERROR(VLOOKUP(B41,vylosovanie!$A$45:$J$68,8,0))=TRUE,"",VLOOKUP(B41,vylosovanie!$A$45:$J$68,8,0))</f>
        <v>MSTK TVRDOŠÍN</v>
      </c>
      <c r="L41" s="518">
        <f>IF(ISERROR(VLOOKUP(B41,vylosovanie!$A$45:$J$68,9,0))=TRUE,"",VLOOKUP(B41,vylosovanie!$A$45:$J$68,9,0))</f>
        <v>5</v>
      </c>
      <c r="M41" s="523"/>
      <c r="N41" s="31" t="str">
        <f>VLOOKUP(A43,'zapisy k stolom'!$A$5:$AV$1444,26,0)</f>
        <v>3:0</v>
      </c>
      <c r="O41" s="31" t="str">
        <f>VLOOKUP(A41,'zapisy k stolom'!$A$5:$AV$1444,26,0)</f>
        <v>3:0</v>
      </c>
      <c r="P41" s="510">
        <f>IF(SUM(W41:X41)=0,"",SUM(W41:X41))</f>
        <v>4</v>
      </c>
      <c r="Q41" s="519" t="str">
        <f>IF(CONCATENATE(AB41,":",AF41)="0:0","",CONCATENATE(AB41,":",AF41))</f>
        <v>6:0</v>
      </c>
      <c r="R41" s="510" t="str">
        <f>IF(ISERROR(AB41/AF41)=TRUE,"",(AB41/AF41))</f>
        <v/>
      </c>
      <c r="S41" s="510">
        <f>IF(AS41&gt;0,"",IF(ISERROR(RANK(P41,P41:P46,0))=TRUE,"",RANK(P41,P41:P46,0)))</f>
        <v>1</v>
      </c>
      <c r="W41" s="34">
        <f>IF(LEFT(N41,1)="x",0,IF(LEFT(N41,1)&gt;RIGHT(N41,1),2,IF(LEFT(N41,1)&lt;RIGHT(N41,1),1,"")))</f>
        <v>2</v>
      </c>
      <c r="X41" s="34">
        <f>IF(LEFT(O41,1)="x",0,IF(LEFT(O41,1)&gt;RIGHT(O41,1),2,IF(LEFT(O41,1)&lt;RIGHT(O41,1),1,"")))</f>
        <v>2</v>
      </c>
      <c r="Z41" s="34">
        <f>IF(LEFT(N41,1)="x",0,VALUE(LEFT(N41,1)))</f>
        <v>3</v>
      </c>
      <c r="AA41" s="34">
        <f>IF(LEFT(O41,1)="x",0,VALUE(LEFT(O41,1)))</f>
        <v>3</v>
      </c>
      <c r="AB41" s="8">
        <f>IF(ISERROR(VALUE(Y41))=TRUE,0,VALUE(Y41))+IF(ISERROR(VALUE(Z41))=TRUE,0,VALUE(Z41))+IF(ISERROR(VALUE(AA41))=TRUE,0,VALUE(AA41))</f>
        <v>6</v>
      </c>
      <c r="AD41" s="34">
        <f>IF(RIGHT(N41,1)="x",0,VALUE(RIGHT(N41,1)))</f>
        <v>0</v>
      </c>
      <c r="AE41" s="34">
        <f>IF(RIGHT(O41,1)="x",0,VALUE(RIGHT(O41,1)))</f>
        <v>0</v>
      </c>
      <c r="AF41" s="8">
        <f>IF(ISERROR(VALUE(AC41))=TRUE,0,VALUE(AC41))+IF(ISERROR(VALUE(AD41))=TRUE,0,VALUE(AD41))+IF(ISERROR(VALUE(AE41))=TRUE,0,VALUE(AE41))</f>
        <v>0</v>
      </c>
      <c r="AO41" s="46">
        <f>IF(LEFT(N41,1)="x",1,0)</f>
        <v>0</v>
      </c>
      <c r="AP41" s="46">
        <f>IF(LEFT(O41,1)="x",1,0)</f>
        <v>0</v>
      </c>
      <c r="AS41" s="8">
        <f>SUM(AO41:AP41)</f>
        <v>0</v>
      </c>
    </row>
    <row r="42" spans="1:45" s="8" customFormat="1" ht="30" customHeight="1" thickBot="1">
      <c r="E42" s="304"/>
      <c r="F42" s="307"/>
      <c r="G42" s="308"/>
      <c r="H42" s="314"/>
      <c r="I42" s="525"/>
      <c r="J42" s="516"/>
      <c r="K42" s="517"/>
      <c r="L42" s="518"/>
      <c r="M42" s="524"/>
      <c r="N42" s="32" t="str">
        <f>VLOOKUP(A43,'zapisy k stolom'!$A$5:$AV$1444,48,0)</f>
        <v>9,8,6,,,,</v>
      </c>
      <c r="O42" s="32" t="str">
        <f>VLOOKUP(A41,'zapisy k stolom'!$A$5:$AV$1444,48,0)</f>
        <v>5,3,4,,,,</v>
      </c>
      <c r="P42" s="511"/>
      <c r="Q42" s="520"/>
      <c r="R42" s="511"/>
      <c r="S42" s="511"/>
      <c r="AO42" s="44"/>
      <c r="AP42" s="44"/>
    </row>
    <row r="43" spans="1:45" s="8" customFormat="1" ht="39.950000000000003" customHeight="1">
      <c r="A43" s="8" t="str">
        <f>CONCATENATE("D",K39,E43)</f>
        <v>DE1-2</v>
      </c>
      <c r="B43" s="8" t="str">
        <f>CONCATENATE("D",I39,I43)</f>
        <v>D52</v>
      </c>
      <c r="C43" s="8" t="str">
        <f>CONCATENATE(K39,S43)</f>
        <v>E2</v>
      </c>
      <c r="E43" s="304" t="s">
        <v>22</v>
      </c>
      <c r="F43" s="305" t="str">
        <f>IF(ISERROR(VLOOKUP(A43,'zoznam zapasov'!$A$5:$K$78,9,0))=TRUE,"",VLOOKUP(A43,'zoznam zapasov'!$A$5:$K$78,9,0))</f>
        <v>So</v>
      </c>
      <c r="G43" s="305" t="str">
        <f>IF(ISERROR(VLOOKUP(A43,'zoznam zapasov'!$A$5:$K$78,10,0))=TRUE,"",VLOOKUP(A43,'zoznam zapasov'!$A$5:$K$78,10,0))</f>
        <v>10.45</v>
      </c>
      <c r="H43" s="306">
        <f>IF(ISERROR(VLOOKUP(A43,'zoznam zapasov'!$A$5:$K$78,11,0))=TRUE,"",VLOOKUP(A43,'zoznam zapasov'!$A$5:$K$78,11,0))</f>
        <v>5</v>
      </c>
      <c r="I43" s="514">
        <v>2</v>
      </c>
      <c r="J43" s="516" t="str">
        <f>IF(ISERROR(VLOOKUP(B43,vylosovanie!$A$45:$J$68,6,0))=TRUE,"",VLOOKUP(B43,vylosovanie!$A$45:$J$68,6,0))</f>
        <v>SLOBODNÍKOVÁ Hana</v>
      </c>
      <c r="K43" s="517" t="str">
        <f>IF(ISERROR(VLOOKUP(B43,vylosovanie!$A$45:$J$68,8,0))=TRUE,"",VLOOKUP(B43,vylosovanie!$A$45:$J$68,8,0))</f>
        <v>ŠKST KARLOVA VES</v>
      </c>
      <c r="L43" s="518">
        <f>IF(ISERROR(VLOOKUP(B43,vylosovanie!$A$45:$J$68,9,0))=TRUE,"",VLOOKUP(B43,vylosovanie!$A$45:$J$68,9,0))</f>
        <v>9</v>
      </c>
      <c r="M43" s="521" t="str">
        <f>IF(LEN(N41)=1,":",CONCATENATE(RIGHT(N41,1),":",LEFT(N41,1)))</f>
        <v>0:3</v>
      </c>
      <c r="N43" s="523"/>
      <c r="O43" s="31" t="str">
        <f>VLOOKUP(A45,'zapisy k stolom'!$A$5:$AV$1444,26,0)</f>
        <v>3:0</v>
      </c>
      <c r="P43" s="510">
        <f>IF(SUM(W43:X43)=0,"",SUM(W43:X43))</f>
        <v>3</v>
      </c>
      <c r="Q43" s="519" t="str">
        <f t="shared" ref="Q43" si="16">IF(CONCATENATE(AB43,":",AF43)="0:0","",CONCATENATE(AB43,":",AF43))</f>
        <v>3:3</v>
      </c>
      <c r="R43" s="510">
        <f t="shared" ref="R43" si="17">IF(ISERROR(AB43/AF43)=TRUE,"",(AB43/AF43))</f>
        <v>1</v>
      </c>
      <c r="S43" s="510">
        <f>IF(AS43&gt;0,"",IF(ISERROR(RANK(P43,P41:P46,0))=TRUE,"",RANK(P43,P41:P46,0)))</f>
        <v>2</v>
      </c>
      <c r="W43" s="34">
        <f>IF(LEFT(M43,1)="x",0,IF(LEFT(M43,1)&gt;RIGHT(M43,1),2,IF(LEFT(M43,1)&lt;RIGHT(M43,1),1,"")))</f>
        <v>1</v>
      </c>
      <c r="X43" s="34">
        <f>IF(LEFT(O43,1)="x",0,IF(LEFT(O43,1)&gt;RIGHT(O43,1),2,IF(LEFT(O43,1)&lt;RIGHT(O43,1),1,"")))</f>
        <v>2</v>
      </c>
      <c r="Z43" s="34">
        <f>IF(LEFT(M43,1)="x",0,VALUE(LEFT(M43,1)))</f>
        <v>0</v>
      </c>
      <c r="AA43" s="34">
        <f>IF(LEFT(O43,1)="x",0,VALUE(LEFT(O43,1)))</f>
        <v>3</v>
      </c>
      <c r="AB43" s="8">
        <f>IF(ISERROR(VALUE(Y43))=TRUE,0,VALUE(Y43))+IF(ISERROR(VALUE(Z43))=TRUE,0,VALUE(Z43))+IF(ISERROR(VALUE(AA43))=TRUE,0,VALUE(AA43))</f>
        <v>3</v>
      </c>
      <c r="AD43" s="34">
        <f>IF(RIGHT(M43,1)="x",0,VALUE(RIGHT(M43,1)))</f>
        <v>3</v>
      </c>
      <c r="AE43" s="34">
        <f>IF(RIGHT(O43,1)="x",0,VALUE(RIGHT(O43,1)))</f>
        <v>0</v>
      </c>
      <c r="AF43" s="8">
        <f>IF(ISERROR(VALUE(AC43))=TRUE,0,VALUE(AC43))+IF(ISERROR(VALUE(AD43))=TRUE,0,VALUE(AD43))+IF(ISERROR(VALUE(AE43))=TRUE,0,VALUE(AE43))</f>
        <v>3</v>
      </c>
      <c r="AO43" s="46">
        <f>IF(LEFT(L43,1)="x",1,0)</f>
        <v>0</v>
      </c>
      <c r="AP43" s="46">
        <f>IF(LEFT(O43,1)="x",1,0)</f>
        <v>0</v>
      </c>
      <c r="AS43" s="8">
        <f>SUM(AO43:AQ43)</f>
        <v>0</v>
      </c>
    </row>
    <row r="44" spans="1:45" s="8" customFormat="1" ht="30" customHeight="1" thickBot="1">
      <c r="E44" s="304"/>
      <c r="F44" s="307"/>
      <c r="G44" s="308"/>
      <c r="H44" s="314"/>
      <c r="I44" s="515"/>
      <c r="J44" s="516"/>
      <c r="K44" s="517"/>
      <c r="L44" s="518"/>
      <c r="M44" s="522"/>
      <c r="N44" s="524"/>
      <c r="O44" s="32" t="str">
        <f>VLOOKUP(A45,'zapisy k stolom'!$A$5:$AV$1444,48,0)</f>
        <v>5,4,1,,,,</v>
      </c>
      <c r="P44" s="511"/>
      <c r="Q44" s="520"/>
      <c r="R44" s="511"/>
      <c r="S44" s="511"/>
      <c r="AO44" s="44"/>
      <c r="AP44" s="44"/>
    </row>
    <row r="45" spans="1:45" s="8" customFormat="1" ht="39.950000000000003" customHeight="1">
      <c r="A45" s="8" t="str">
        <f>CONCATENATE("D",K39,E45)</f>
        <v>DE2-3</v>
      </c>
      <c r="B45" s="8" t="str">
        <f>CONCATENATE("D",I39,I45)</f>
        <v>D53</v>
      </c>
      <c r="C45" s="8" t="str">
        <f>CONCATENATE(K39,S45)</f>
        <v>E3</v>
      </c>
      <c r="E45" s="304" t="s">
        <v>25</v>
      </c>
      <c r="F45" s="305" t="str">
        <f>IF(ISERROR(VLOOKUP(A45,'zoznam zapasov'!$A$5:$K$78,9,0))=TRUE,"",VLOOKUP(A45,'zoznam zapasov'!$A$5:$K$78,9,0))</f>
        <v>So</v>
      </c>
      <c r="G45" s="305" t="str">
        <f>IF(ISERROR(VLOOKUP(A45,'zoznam zapasov'!$A$5:$K$78,10,0))=TRUE,"",VLOOKUP(A45,'zoznam zapasov'!$A$5:$K$78,10,0))</f>
        <v>12.00</v>
      </c>
      <c r="H45" s="306">
        <f>IF(ISERROR(VLOOKUP(A45,'zoznam zapasov'!$A$5:$K$78,11,0))=TRUE,"",VLOOKUP(A45,'zoznam zapasov'!$A$5:$K$78,11,0))</f>
        <v>5</v>
      </c>
      <c r="I45" s="514">
        <v>3</v>
      </c>
      <c r="J45" s="516" t="str">
        <f>IF(ISERROR(VLOOKUP(B45,vylosovanie!$A$45:$J$68,6,0))=TRUE,"",VLOOKUP(B45,vylosovanie!$A$45:$J$68,6,0))</f>
        <v>HURBANOVÁ Isabella</v>
      </c>
      <c r="K45" s="517" t="str">
        <f>IF(ISERROR(VLOOKUP(B45,vylosovanie!$A$45:$J$68,8,0))=TRUE,"",VLOOKUP(B45,vylosovanie!$A$45:$J$68,8,0))</f>
        <v>MSK MALACKY</v>
      </c>
      <c r="L45" s="518">
        <f>IF(ISERROR(VLOOKUP(B45,vylosovanie!$A$45:$J$68,9,0))=TRUE,"",VLOOKUP(B45,vylosovanie!$A$45:$J$68,9,0))</f>
        <v>24</v>
      </c>
      <c r="M45" s="521" t="str">
        <f>IF(LEN(O41)=1,":",CONCATENATE(RIGHT(O41,1),":",LEFT(O41,1)))</f>
        <v>0:3</v>
      </c>
      <c r="N45" s="521" t="str">
        <f>IF(LEN(O43)=1,":",CONCATENATE(RIGHT(O43,1),":",LEFT(O43,1)))</f>
        <v>0:3</v>
      </c>
      <c r="O45" s="523"/>
      <c r="P45" s="510">
        <f>IF(SUM(W45:X45)=0,"",SUM(W45:X45))</f>
        <v>2</v>
      </c>
      <c r="Q45" s="519" t="str">
        <f t="shared" ref="Q45" si="18">IF(CONCATENATE(AB45,":",AF45)="0:0","",CONCATENATE(AB45,":",AF45))</f>
        <v>0:6</v>
      </c>
      <c r="R45" s="510">
        <f t="shared" ref="R45" si="19">IF(ISERROR(AB45/AF45)=TRUE,"",(AB45/AF45))</f>
        <v>0</v>
      </c>
      <c r="S45" s="510">
        <f>IF(AS45&gt;0,"",IF(ISERROR(RANK(P45,P41:P46,0))=TRUE,"",RANK(P45,P41:P46,0)))</f>
        <v>3</v>
      </c>
      <c r="W45" s="34">
        <f>IF(LEFT(M45,1)="x",0,IF(LEFT(M45,1)&gt;RIGHT(M45,1),2,IF(LEFT(M45,1)&lt;RIGHT(M45,1),1,"")))</f>
        <v>1</v>
      </c>
      <c r="X45" s="34">
        <f>IF(LEFT(N45,1)="x",0,IF(LEFT(N45,1)&gt;RIGHT(N45,1),2,IF(LEFT(N45,1)&lt;RIGHT(N45,1),1,"")))</f>
        <v>1</v>
      </c>
      <c r="Z45" s="34">
        <f>IF(LEFT(M45,1)="x",0,VALUE(LEFT(M45,1)))</f>
        <v>0</v>
      </c>
      <c r="AA45" s="34">
        <f>IF(LEFT(N45,1)="x",0,VALUE(LEFT(N45,1)))</f>
        <v>0</v>
      </c>
      <c r="AB45" s="8">
        <f>IF(ISERROR(VALUE(Y45))=TRUE,0,VALUE(Y45))+IF(ISERROR(VALUE(Z45))=TRUE,0,VALUE(Z45))+IF(ISERROR(VALUE(AA45))=TRUE,0,VALUE(AA45))</f>
        <v>0</v>
      </c>
      <c r="AD45" s="34">
        <f>IF(RIGHT(M45,1)="x",0,VALUE(RIGHT(M45,1)))</f>
        <v>3</v>
      </c>
      <c r="AE45" s="34">
        <f>IF(RIGHT(N45,1)="x",0,VALUE(RIGHT(N45,1)))</f>
        <v>3</v>
      </c>
      <c r="AF45" s="8">
        <f>IF(ISERROR(VALUE(AC45))=TRUE,0,VALUE(AC45))+IF(ISERROR(VALUE(AD45))=TRUE,0,VALUE(AD45))+IF(ISERROR(VALUE(AE45))=TRUE,0,VALUE(AE45))</f>
        <v>6</v>
      </c>
      <c r="AO45" s="46">
        <f>IF(LEFT(M45,1)="x",1,0)</f>
        <v>0</v>
      </c>
      <c r="AP45" s="46">
        <f>IF(LEFT(N45,1)="x",1,0)</f>
        <v>0</v>
      </c>
      <c r="AS45" s="8">
        <f>SUM(AO45:AQ45)</f>
        <v>0</v>
      </c>
    </row>
    <row r="46" spans="1:45" s="8" customFormat="1" ht="30" customHeight="1" thickBot="1">
      <c r="E46" s="315"/>
      <c r="F46" s="316"/>
      <c r="G46" s="317"/>
      <c r="H46" s="318"/>
      <c r="I46" s="515"/>
      <c r="J46" s="516"/>
      <c r="K46" s="517"/>
      <c r="L46" s="518"/>
      <c r="M46" s="522"/>
      <c r="N46" s="522"/>
      <c r="O46" s="524"/>
      <c r="P46" s="511"/>
      <c r="Q46" s="520"/>
      <c r="R46" s="511"/>
      <c r="S46" s="511"/>
    </row>
    <row r="48" spans="1:45" s="2" customFormat="1" ht="47.25" thickBot="1">
      <c r="A48" s="2" t="s">
        <v>11</v>
      </c>
      <c r="B48" s="2" t="s">
        <v>11</v>
      </c>
      <c r="E48" s="299"/>
      <c r="F48" s="299"/>
      <c r="G48" s="299"/>
      <c r="H48" s="299"/>
      <c r="I48" s="39">
        <v>6</v>
      </c>
      <c r="J48" s="39" t="s">
        <v>13</v>
      </c>
      <c r="K48" s="39" t="s">
        <v>41</v>
      </c>
      <c r="L48" s="12"/>
      <c r="M48" s="12"/>
      <c r="N48" s="12"/>
      <c r="O48" s="12"/>
      <c r="P48" s="12"/>
      <c r="Q48" s="16"/>
      <c r="R48" s="12"/>
      <c r="S48" s="12"/>
      <c r="AB48" s="36"/>
      <c r="AC48" s="36"/>
    </row>
    <row r="49" spans="1:45" s="8" customFormat="1" ht="39.950000000000003" customHeight="1" thickBot="1">
      <c r="A49" s="8" t="s">
        <v>47</v>
      </c>
      <c r="B49" s="8" t="s">
        <v>48</v>
      </c>
      <c r="E49" s="301" t="s">
        <v>14</v>
      </c>
      <c r="F49" s="302" t="s">
        <v>67</v>
      </c>
      <c r="G49" s="302" t="s">
        <v>15</v>
      </c>
      <c r="H49" s="310" t="s">
        <v>16</v>
      </c>
      <c r="I49" s="211"/>
      <c r="J49" s="212" t="s">
        <v>17</v>
      </c>
      <c r="K49" s="213" t="s">
        <v>5</v>
      </c>
      <c r="L49" s="207" t="s">
        <v>44</v>
      </c>
      <c r="M49" s="214">
        <v>1</v>
      </c>
      <c r="N49" s="214">
        <v>2</v>
      </c>
      <c r="O49" s="214">
        <v>3</v>
      </c>
      <c r="P49" s="216" t="s">
        <v>18</v>
      </c>
      <c r="Q49" s="214" t="s">
        <v>45</v>
      </c>
      <c r="R49" s="214" t="s">
        <v>19</v>
      </c>
      <c r="S49" s="215" t="s">
        <v>46</v>
      </c>
      <c r="Z49" s="8" t="s">
        <v>76</v>
      </c>
      <c r="AB49" s="8" t="s">
        <v>77</v>
      </c>
      <c r="AD49" s="8" t="s">
        <v>78</v>
      </c>
      <c r="AF49" s="8" t="s">
        <v>77</v>
      </c>
    </row>
    <row r="50" spans="1:45" s="8" customFormat="1" ht="39.950000000000003" customHeight="1">
      <c r="A50" s="8" t="str">
        <f>CONCATENATE("D",K48,E50)</f>
        <v>DF1-3</v>
      </c>
      <c r="B50" s="8" t="str">
        <f>CONCATENATE("D",I48,I50)</f>
        <v>D61</v>
      </c>
      <c r="C50" s="8" t="str">
        <f>CONCATENATE(K48,S50)</f>
        <v>F1</v>
      </c>
      <c r="E50" s="304" t="s">
        <v>20</v>
      </c>
      <c r="F50" s="305" t="str">
        <f>IF(ISERROR(VLOOKUP(A50,'zoznam zapasov'!$A$5:$K$78,9,0))=TRUE,"",VLOOKUP(A50,'zoznam zapasov'!$A$5:$K$78,9,0))</f>
        <v>So</v>
      </c>
      <c r="G50" s="305" t="str">
        <f>IF(ISERROR(VLOOKUP(A50,'zoznam zapasov'!$A$5:$K$78,10,0))=TRUE,"",VLOOKUP(A50,'zoznam zapasov'!$A$5:$K$78,10,0))</f>
        <v>9.30</v>
      </c>
      <c r="H50" s="306">
        <f>IF(ISERROR(VLOOKUP(A50,'zoznam zapasov'!$A$5:$K$78,11,0))=TRUE,"",VLOOKUP(A50,'zoznam zapasov'!$A$5:$K$78,11,0))</f>
        <v>6</v>
      </c>
      <c r="I50" s="525">
        <v>1</v>
      </c>
      <c r="J50" s="516" t="str">
        <f>IF(ISERROR(VLOOKUP(B50,vylosovanie!$A$45:$J$68,6,0))=TRUE,"",VLOOKUP(B50,vylosovanie!$A$45:$J$68,6,0))</f>
        <v>ŠVAJDLENKOVÁ Laura</v>
      </c>
      <c r="K50" s="517" t="str">
        <f>IF(ISERROR(VLOOKUP(B50,vylosovanie!$A$45:$J$68,8,0))=TRUE,"",VLOOKUP(B50,vylosovanie!$A$45:$J$68,8,0))</f>
        <v>MSK MALACKY</v>
      </c>
      <c r="L50" s="518">
        <f>IF(ISERROR(VLOOKUP(B50,vylosovanie!$A$45:$J$68,9,0))=TRUE,"",VLOOKUP(B50,vylosovanie!$A$45:$J$68,9,0))</f>
        <v>6</v>
      </c>
      <c r="M50" s="523"/>
      <c r="N50" s="31" t="str">
        <f>VLOOKUP(A52,'zapisy k stolom'!$A$5:$AV$1444,26,0)</f>
        <v>3:0</v>
      </c>
      <c r="O50" s="31" t="str">
        <f>VLOOKUP(A50,'zapisy k stolom'!$A$5:$AV$1444,26,0)</f>
        <v>3:0</v>
      </c>
      <c r="P50" s="510">
        <f>IF(SUM(W50:X50)=0,"",SUM(W50:X50))</f>
        <v>4</v>
      </c>
      <c r="Q50" s="519" t="str">
        <f>IF(CONCATENATE(AB50,":",AF50)="0:0","",CONCATENATE(AB50,":",AF50))</f>
        <v>6:0</v>
      </c>
      <c r="R50" s="510" t="str">
        <f>IF(ISERROR(AB50/AF50)=TRUE,"",(AB50/AF50))</f>
        <v/>
      </c>
      <c r="S50" s="510">
        <f>IF(AS50&gt;0,"",IF(ISERROR(RANK(P50,P50:P55,0))=TRUE,"",RANK(P50,P50:P55,0)))</f>
        <v>1</v>
      </c>
      <c r="W50" s="34">
        <f>IF(LEFT(N50,1)="x",0,IF(LEFT(N50,1)&gt;RIGHT(N50,1),2,IF(LEFT(N50,1)&lt;RIGHT(N50,1),1,"")))</f>
        <v>2</v>
      </c>
      <c r="X50" s="34">
        <f>IF(LEFT(O50,1)="x",0,IF(LEFT(O50,1)&gt;RIGHT(O50,1),2,IF(LEFT(O50,1)&lt;RIGHT(O50,1),1,"")))</f>
        <v>2</v>
      </c>
      <c r="Z50" s="34">
        <f>IF(LEFT(N50,1)="x",0,VALUE(LEFT(N50,1)))</f>
        <v>3</v>
      </c>
      <c r="AA50" s="34">
        <f>IF(LEFT(O50,1)="x",0,VALUE(LEFT(O50,1)))</f>
        <v>3</v>
      </c>
      <c r="AB50" s="8">
        <f>IF(ISERROR(VALUE(Y50))=TRUE,0,VALUE(Y50))+IF(ISERROR(VALUE(Z50))=TRUE,0,VALUE(Z50))+IF(ISERROR(VALUE(AA50))=TRUE,0,VALUE(AA50))</f>
        <v>6</v>
      </c>
      <c r="AD50" s="34">
        <f>IF(RIGHT(N50,1)="x",0,VALUE(RIGHT(N50,1)))</f>
        <v>0</v>
      </c>
      <c r="AE50" s="34">
        <f>IF(RIGHT(O50,1)="x",0,VALUE(RIGHT(O50,1)))</f>
        <v>0</v>
      </c>
      <c r="AF50" s="8">
        <f>IF(ISERROR(VALUE(AC50))=TRUE,0,VALUE(AC50))+IF(ISERROR(VALUE(AD50))=TRUE,0,VALUE(AD50))+IF(ISERROR(VALUE(AE50))=TRUE,0,VALUE(AE50))</f>
        <v>0</v>
      </c>
      <c r="AO50" s="46">
        <f>IF(LEFT(N50,1)="x",1,0)</f>
        <v>0</v>
      </c>
      <c r="AP50" s="46">
        <f>IF(LEFT(O50,1)="x",1,0)</f>
        <v>0</v>
      </c>
      <c r="AS50" s="8">
        <f>SUM(AO50:AP50)</f>
        <v>0</v>
      </c>
    </row>
    <row r="51" spans="1:45" s="8" customFormat="1" ht="30" customHeight="1" thickBot="1">
      <c r="E51" s="304"/>
      <c r="F51" s="307"/>
      <c r="G51" s="308"/>
      <c r="H51" s="314"/>
      <c r="I51" s="525"/>
      <c r="J51" s="516"/>
      <c r="K51" s="517"/>
      <c r="L51" s="518"/>
      <c r="M51" s="524"/>
      <c r="N51" s="32" t="str">
        <f>VLOOKUP(A52,'zapisy k stolom'!$A$5:$AV$1444,48,0)</f>
        <v>8,9,7,,,,</v>
      </c>
      <c r="O51" s="32" t="str">
        <f>VLOOKUP(A50,'zapisy k stolom'!$A$5:$AV$1444,48,0)</f>
        <v>5,8,7,,,,</v>
      </c>
      <c r="P51" s="511"/>
      <c r="Q51" s="520"/>
      <c r="R51" s="511"/>
      <c r="S51" s="511"/>
      <c r="AO51" s="44"/>
      <c r="AP51" s="44"/>
    </row>
    <row r="52" spans="1:45" s="8" customFormat="1" ht="39.950000000000003" customHeight="1">
      <c r="A52" s="8" t="str">
        <f>CONCATENATE("D",K48,E52)</f>
        <v>DF1-2</v>
      </c>
      <c r="B52" s="8" t="str">
        <f>CONCATENATE("D",I48,I52)</f>
        <v>D62</v>
      </c>
      <c r="C52" s="8" t="str">
        <f>CONCATENATE(K48,S52)</f>
        <v>F2</v>
      </c>
      <c r="E52" s="304" t="s">
        <v>22</v>
      </c>
      <c r="F52" s="305" t="str">
        <f>IF(ISERROR(VLOOKUP(A52,'zoznam zapasov'!$A$5:$K$78,9,0))=TRUE,"",VLOOKUP(A52,'zoznam zapasov'!$A$5:$K$78,9,0))</f>
        <v>So</v>
      </c>
      <c r="G52" s="305" t="str">
        <f>IF(ISERROR(VLOOKUP(A52,'zoznam zapasov'!$A$5:$K$78,10,0))=TRUE,"",VLOOKUP(A52,'zoznam zapasov'!$A$5:$K$78,10,0))</f>
        <v>10.45</v>
      </c>
      <c r="H52" s="306">
        <f>IF(ISERROR(VLOOKUP(A52,'zoznam zapasov'!$A$5:$K$78,11,0))=TRUE,"",VLOOKUP(A52,'zoznam zapasov'!$A$5:$K$78,11,0))</f>
        <v>6</v>
      </c>
      <c r="I52" s="514">
        <v>2</v>
      </c>
      <c r="J52" s="516" t="str">
        <f>IF(ISERROR(VLOOKUP(B52,vylosovanie!$A$45:$J$68,6,0))=TRUE,"",VLOOKUP(B52,vylosovanie!$A$45:$J$68,6,0))</f>
        <v>PAPCUNOVÁ Viktória</v>
      </c>
      <c r="K52" s="517" t="str">
        <f>IF(ISERROR(VLOOKUP(B52,vylosovanie!$A$45:$J$68,8,0))=TRUE,"",VLOOKUP(B52,vylosovanie!$A$45:$J$68,8,0))</f>
        <v>ŠSTK JUNIOR ČAŇA</v>
      </c>
      <c r="L52" s="518">
        <f>IF(ISERROR(VLOOKUP(B52,vylosovanie!$A$45:$J$68,9,0))=TRUE,"",VLOOKUP(B52,vylosovanie!$A$45:$J$68,9,0))</f>
        <v>10</v>
      </c>
      <c r="M52" s="521" t="str">
        <f>IF(LEN(N50)=1,":",CONCATENATE(RIGHT(N50,1),":",LEFT(N50,1)))</f>
        <v>0:3</v>
      </c>
      <c r="N52" s="523"/>
      <c r="O52" s="31" t="str">
        <f>VLOOKUP(A54,'zapisy k stolom'!$A$5:$AV$1444,26,0)</f>
        <v>3:2</v>
      </c>
      <c r="P52" s="510">
        <f>IF(SUM(W52:X52)=0,"",SUM(W52:X52))</f>
        <v>3</v>
      </c>
      <c r="Q52" s="519" t="str">
        <f t="shared" ref="Q52" si="20">IF(CONCATENATE(AB52,":",AF52)="0:0","",CONCATENATE(AB52,":",AF52))</f>
        <v>3:5</v>
      </c>
      <c r="R52" s="510">
        <f t="shared" ref="R52" si="21">IF(ISERROR(AB52/AF52)=TRUE,"",(AB52/AF52))</f>
        <v>0.6</v>
      </c>
      <c r="S52" s="510">
        <f>IF(AS52&gt;0,"",IF(ISERROR(RANK(P52,P50:P55,0))=TRUE,"",RANK(P52,P50:P55,0)))</f>
        <v>2</v>
      </c>
      <c r="W52" s="34">
        <f>IF(LEFT(M52,1)="x",0,IF(LEFT(M52,1)&gt;RIGHT(M52,1),2,IF(LEFT(M52,1)&lt;RIGHT(M52,1),1,"")))</f>
        <v>1</v>
      </c>
      <c r="X52" s="34">
        <f>IF(LEFT(O52,1)="x",0,IF(LEFT(O52,1)&gt;RIGHT(O52,1),2,IF(LEFT(O52,1)&lt;RIGHT(O52,1),1,"")))</f>
        <v>2</v>
      </c>
      <c r="Z52" s="34">
        <f>IF(LEFT(M52,1)="x",0,VALUE(LEFT(M52,1)))</f>
        <v>0</v>
      </c>
      <c r="AA52" s="34">
        <f>IF(LEFT(O52,1)="x",0,VALUE(LEFT(O52,1)))</f>
        <v>3</v>
      </c>
      <c r="AB52" s="8">
        <f>IF(ISERROR(VALUE(Y52))=TRUE,0,VALUE(Y52))+IF(ISERROR(VALUE(Z52))=TRUE,0,VALUE(Z52))+IF(ISERROR(VALUE(AA52))=TRUE,0,VALUE(AA52))</f>
        <v>3</v>
      </c>
      <c r="AD52" s="34">
        <f>IF(RIGHT(M52,1)="x",0,VALUE(RIGHT(M52,1)))</f>
        <v>3</v>
      </c>
      <c r="AE52" s="34">
        <f>IF(RIGHT(O52,1)="x",0,VALUE(RIGHT(O52,1)))</f>
        <v>2</v>
      </c>
      <c r="AF52" s="8">
        <f>IF(ISERROR(VALUE(AC52))=TRUE,0,VALUE(AC52))+IF(ISERROR(VALUE(AD52))=TRUE,0,VALUE(AD52))+IF(ISERROR(VALUE(AE52))=TRUE,0,VALUE(AE52))</f>
        <v>5</v>
      </c>
      <c r="AO52" s="46">
        <f>IF(LEFT(L52,1)="x",1,0)</f>
        <v>0</v>
      </c>
      <c r="AP52" s="46">
        <f>IF(LEFT(O52,1)="x",1,0)</f>
        <v>0</v>
      </c>
      <c r="AS52" s="8">
        <f>SUM(AO52:AQ52)</f>
        <v>0</v>
      </c>
    </row>
    <row r="53" spans="1:45" s="8" customFormat="1" ht="30" customHeight="1" thickBot="1">
      <c r="E53" s="304"/>
      <c r="F53" s="307"/>
      <c r="G53" s="308"/>
      <c r="H53" s="314"/>
      <c r="I53" s="515"/>
      <c r="J53" s="516"/>
      <c r="K53" s="517"/>
      <c r="L53" s="518"/>
      <c r="M53" s="522"/>
      <c r="N53" s="524"/>
      <c r="O53" s="32" t="str">
        <f>VLOOKUP(A54,'zapisy k stolom'!$A$5:$AV$1444,48,0)</f>
        <v>-10,8,-8,4,8,,</v>
      </c>
      <c r="P53" s="511"/>
      <c r="Q53" s="520"/>
      <c r="R53" s="511"/>
      <c r="S53" s="511"/>
      <c r="AO53" s="44"/>
      <c r="AP53" s="44"/>
    </row>
    <row r="54" spans="1:45" s="8" customFormat="1" ht="39.950000000000003" customHeight="1">
      <c r="A54" s="8" t="str">
        <f>CONCATENATE("D",K48,E54)</f>
        <v>DF2-3</v>
      </c>
      <c r="B54" s="8" t="str">
        <f>CONCATENATE("D",I48,I54)</f>
        <v>D63</v>
      </c>
      <c r="C54" s="8" t="str">
        <f>CONCATENATE(K48,S54)</f>
        <v>F3</v>
      </c>
      <c r="E54" s="304" t="s">
        <v>25</v>
      </c>
      <c r="F54" s="305" t="str">
        <f>IF(ISERROR(VLOOKUP(A54,'zoznam zapasov'!$A$5:$K$78,9,0))=TRUE,"",VLOOKUP(A54,'zoznam zapasov'!$A$5:$K$78,9,0))</f>
        <v>So</v>
      </c>
      <c r="G54" s="305" t="str">
        <f>IF(ISERROR(VLOOKUP(A54,'zoznam zapasov'!$A$5:$K$78,10,0))=TRUE,"",VLOOKUP(A54,'zoznam zapasov'!$A$5:$K$78,10,0))</f>
        <v>12.00</v>
      </c>
      <c r="H54" s="306">
        <f>IF(ISERROR(VLOOKUP(A54,'zoznam zapasov'!$A$5:$K$78,11,0))=TRUE,"",VLOOKUP(A54,'zoznam zapasov'!$A$5:$K$78,11,0))</f>
        <v>6</v>
      </c>
      <c r="I54" s="514">
        <v>3</v>
      </c>
      <c r="J54" s="516" t="str">
        <f>IF(ISERROR(VLOOKUP(B54,vylosovanie!$A$45:$J$68,6,0))=TRUE,"",VLOOKUP(B54,vylosovanie!$A$45:$J$68,6,0))</f>
        <v>LACENOVÁ Renáta</v>
      </c>
      <c r="K54" s="517" t="str">
        <f>IF(ISERROR(VLOOKUP(B54,vylosovanie!$A$45:$J$68,8,0))=TRUE,"",VLOOKUP(B54,vylosovanie!$A$45:$J$68,8,0))</f>
        <v>ŠKST TOPOĽČANY</v>
      </c>
      <c r="L54" s="518">
        <f>IF(ISERROR(VLOOKUP(B54,vylosovanie!$A$45:$J$68,9,0))=TRUE,"",VLOOKUP(B54,vylosovanie!$A$45:$J$68,9,0))</f>
        <v>20</v>
      </c>
      <c r="M54" s="521" t="str">
        <f>IF(LEN(O50)=1,":",CONCATENATE(RIGHT(O50,1),":",LEFT(O50,1)))</f>
        <v>0:3</v>
      </c>
      <c r="N54" s="521" t="str">
        <f>IF(LEN(O52)=1,":",CONCATENATE(RIGHT(O52,1),":",LEFT(O52,1)))</f>
        <v>2:3</v>
      </c>
      <c r="O54" s="523"/>
      <c r="P54" s="510">
        <f>IF(SUM(W54:X54)=0,"",SUM(W54:X54))</f>
        <v>2</v>
      </c>
      <c r="Q54" s="519" t="str">
        <f t="shared" ref="Q54" si="22">IF(CONCATENATE(AB54,":",AF54)="0:0","",CONCATENATE(AB54,":",AF54))</f>
        <v>2:6</v>
      </c>
      <c r="R54" s="510">
        <f t="shared" ref="R54" si="23">IF(ISERROR(AB54/AF54)=TRUE,"",(AB54/AF54))</f>
        <v>0.33333333333333331</v>
      </c>
      <c r="S54" s="510">
        <f>IF(AS54&gt;0,"",IF(ISERROR(RANK(P54,P50:P55,0))=TRUE,"",RANK(P54,P50:P55,0)))</f>
        <v>3</v>
      </c>
      <c r="W54" s="34">
        <f>IF(LEFT(M54,1)="x",0,IF(LEFT(M54,1)&gt;RIGHT(M54,1),2,IF(LEFT(M54,1)&lt;RIGHT(M54,1),1,"")))</f>
        <v>1</v>
      </c>
      <c r="X54" s="34">
        <f>IF(LEFT(N54,1)="x",0,IF(LEFT(N54,1)&gt;RIGHT(N54,1),2,IF(LEFT(N54,1)&lt;RIGHT(N54,1),1,"")))</f>
        <v>1</v>
      </c>
      <c r="Z54" s="34">
        <f>IF(LEFT(M54,1)="x",0,VALUE(LEFT(M54,1)))</f>
        <v>0</v>
      </c>
      <c r="AA54" s="34">
        <f>IF(LEFT(N54,1)="x",0,VALUE(LEFT(N54,1)))</f>
        <v>2</v>
      </c>
      <c r="AB54" s="8">
        <f>IF(ISERROR(VALUE(Y54))=TRUE,0,VALUE(Y54))+IF(ISERROR(VALUE(Z54))=TRUE,0,VALUE(Z54))+IF(ISERROR(VALUE(AA54))=TRUE,0,VALUE(AA54))</f>
        <v>2</v>
      </c>
      <c r="AD54" s="34">
        <f>IF(RIGHT(M54,1)="x",0,VALUE(RIGHT(M54,1)))</f>
        <v>3</v>
      </c>
      <c r="AE54" s="34">
        <f>IF(RIGHT(N54,1)="x",0,VALUE(RIGHT(N54,1)))</f>
        <v>3</v>
      </c>
      <c r="AF54" s="8">
        <f>IF(ISERROR(VALUE(AC54))=TRUE,0,VALUE(AC54))+IF(ISERROR(VALUE(AD54))=TRUE,0,VALUE(AD54))+IF(ISERROR(VALUE(AE54))=TRUE,0,VALUE(AE54))</f>
        <v>6</v>
      </c>
      <c r="AO54" s="46">
        <f>IF(LEFT(M54,1)="x",1,0)</f>
        <v>0</v>
      </c>
      <c r="AP54" s="46">
        <f>IF(LEFT(N54,1)="x",1,0)</f>
        <v>0</v>
      </c>
      <c r="AS54" s="8">
        <f>SUM(AO54:AQ54)</f>
        <v>0</v>
      </c>
    </row>
    <row r="55" spans="1:45" s="8" customFormat="1" ht="30" customHeight="1" thickBot="1">
      <c r="E55" s="315"/>
      <c r="F55" s="316"/>
      <c r="G55" s="317"/>
      <c r="H55" s="318"/>
      <c r="I55" s="515"/>
      <c r="J55" s="516"/>
      <c r="K55" s="517"/>
      <c r="L55" s="518"/>
      <c r="M55" s="522"/>
      <c r="N55" s="522"/>
      <c r="O55" s="524"/>
      <c r="P55" s="511"/>
      <c r="Q55" s="520"/>
      <c r="R55" s="511"/>
      <c r="S55" s="511"/>
    </row>
    <row r="57" spans="1:45" s="2" customFormat="1" ht="47.25" thickBot="1">
      <c r="A57" s="2" t="s">
        <v>11</v>
      </c>
      <c r="B57" s="2" t="s">
        <v>11</v>
      </c>
      <c r="E57" s="299"/>
      <c r="F57" s="299"/>
      <c r="G57" s="299"/>
      <c r="H57" s="299"/>
      <c r="I57" s="217">
        <v>7</v>
      </c>
      <c r="J57" s="217" t="s">
        <v>13</v>
      </c>
      <c r="K57" s="217" t="s">
        <v>42</v>
      </c>
      <c r="L57" s="12"/>
      <c r="M57" s="12"/>
      <c r="N57" s="12"/>
      <c r="O57" s="12"/>
      <c r="P57" s="12"/>
      <c r="Q57" s="16"/>
      <c r="R57" s="12"/>
      <c r="S57" s="12"/>
      <c r="AB57" s="36"/>
      <c r="AC57" s="36"/>
    </row>
    <row r="58" spans="1:45" s="8" customFormat="1" ht="39.950000000000003" customHeight="1" thickBot="1">
      <c r="A58" s="8" t="s">
        <v>47</v>
      </c>
      <c r="B58" s="8" t="s">
        <v>48</v>
      </c>
      <c r="E58" s="301" t="s">
        <v>14</v>
      </c>
      <c r="F58" s="302" t="s">
        <v>67</v>
      </c>
      <c r="G58" s="302" t="s">
        <v>15</v>
      </c>
      <c r="H58" s="310" t="s">
        <v>16</v>
      </c>
      <c r="I58" s="211"/>
      <c r="J58" s="212" t="s">
        <v>17</v>
      </c>
      <c r="K58" s="213" t="s">
        <v>5</v>
      </c>
      <c r="L58" s="207" t="s">
        <v>44</v>
      </c>
      <c r="M58" s="214">
        <v>1</v>
      </c>
      <c r="N58" s="214">
        <v>2</v>
      </c>
      <c r="O58" s="214">
        <v>3</v>
      </c>
      <c r="P58" s="216" t="s">
        <v>18</v>
      </c>
      <c r="Q58" s="214" t="s">
        <v>45</v>
      </c>
      <c r="R58" s="214" t="s">
        <v>19</v>
      </c>
      <c r="S58" s="215" t="s">
        <v>46</v>
      </c>
      <c r="Z58" s="8" t="s">
        <v>76</v>
      </c>
      <c r="AB58" s="8" t="s">
        <v>77</v>
      </c>
      <c r="AD58" s="8" t="s">
        <v>78</v>
      </c>
      <c r="AF58" s="8" t="s">
        <v>77</v>
      </c>
    </row>
    <row r="59" spans="1:45" s="8" customFormat="1" ht="39.950000000000003" customHeight="1">
      <c r="A59" s="8" t="str">
        <f>CONCATENATE("D",K57,E59)</f>
        <v>DG1-3</v>
      </c>
      <c r="B59" s="8" t="str">
        <f>CONCATENATE("D",I57,I59)</f>
        <v>D71</v>
      </c>
      <c r="C59" s="8" t="str">
        <f>CONCATENATE(K57,S59)</f>
        <v>G1</v>
      </c>
      <c r="E59" s="304" t="s">
        <v>20</v>
      </c>
      <c r="F59" s="305" t="str">
        <f>IF(ISERROR(VLOOKUP(A59,'zoznam zapasov'!$A$5:$K$78,9,0))=TRUE,"",VLOOKUP(A59,'zoznam zapasov'!$A$5:$K$78,9,0))</f>
        <v>So</v>
      </c>
      <c r="G59" s="305" t="str">
        <f>IF(ISERROR(VLOOKUP(A59,'zoznam zapasov'!$A$5:$K$78,10,0))=TRUE,"",VLOOKUP(A59,'zoznam zapasov'!$A$5:$K$78,10,0))</f>
        <v>9.30</v>
      </c>
      <c r="H59" s="306">
        <f>IF(ISERROR(VLOOKUP(A59,'zoznam zapasov'!$A$5:$K$78,11,0))=TRUE,"",VLOOKUP(A59,'zoznam zapasov'!$A$5:$K$78,11,0))</f>
        <v>7</v>
      </c>
      <c r="I59" s="525">
        <v>1</v>
      </c>
      <c r="J59" s="516" t="str">
        <f>IF(ISERROR(VLOOKUP(B59,vylosovanie!$A$45:$J$68,6,0))=TRUE,"",VLOOKUP(B59,vylosovanie!$A$45:$J$68,6,0))</f>
        <v>MAJERSKÁ Alena</v>
      </c>
      <c r="K59" s="517" t="str">
        <f>IF(ISERROR(VLOOKUP(B59,vylosovanie!$A$45:$J$68,8,0))=TRUE,"",VLOOKUP(B59,vylosovanie!$A$45:$J$68,8,0))</f>
        <v>STO VALALIKY</v>
      </c>
      <c r="L59" s="518">
        <f>IF(ISERROR(VLOOKUP(B59,vylosovanie!$A$45:$J$68,9,0))=TRUE,"",VLOOKUP(B59,vylosovanie!$A$45:$J$68,9,0))</f>
        <v>7</v>
      </c>
      <c r="M59" s="523"/>
      <c r="N59" s="31" t="str">
        <f>VLOOKUP(A61,'zapisy k stolom'!$A$5:$AV$1444,26,0)</f>
        <v>3:0</v>
      </c>
      <c r="O59" s="31" t="str">
        <f>VLOOKUP(A59,'zapisy k stolom'!$A$5:$AV$1444,26,0)</f>
        <v>3:0</v>
      </c>
      <c r="P59" s="510">
        <f>IF(SUM(W59:X59)=0,"",SUM(W59:X59))</f>
        <v>4</v>
      </c>
      <c r="Q59" s="519" t="str">
        <f>IF(CONCATENATE(AB59,":",AF59)="0:0","",CONCATENATE(AB59,":",AF59))</f>
        <v>6:0</v>
      </c>
      <c r="R59" s="510" t="str">
        <f>IF(ISERROR(AB59/AF59)=TRUE,"",(AB59/AF59))</f>
        <v/>
      </c>
      <c r="S59" s="510">
        <f>IF(AS59&gt;0,"",IF(ISERROR(RANK(P59,P59:P64,0))=TRUE,"",RANK(P59,P59:P64,0)))</f>
        <v>1</v>
      </c>
      <c r="W59" s="34">
        <f>IF(LEFT(N59,1)="x",0,IF(LEFT(N59,1)&gt;RIGHT(N59,1),2,IF(LEFT(N59,1)&lt;RIGHT(N59,1),1,"")))</f>
        <v>2</v>
      </c>
      <c r="X59" s="34">
        <f>IF(LEFT(O59,1)="x",0,IF(LEFT(O59,1)&gt;RIGHT(O59,1),2,IF(LEFT(O59,1)&lt;RIGHT(O59,1),1,"")))</f>
        <v>2</v>
      </c>
      <c r="Z59" s="34">
        <f>IF(LEFT(N59,1)="x",0,VALUE(LEFT(N59,1)))</f>
        <v>3</v>
      </c>
      <c r="AA59" s="34">
        <f>IF(LEFT(O59,1)="x",0,VALUE(LEFT(O59,1)))</f>
        <v>3</v>
      </c>
      <c r="AB59" s="8">
        <f>IF(ISERROR(VALUE(Y59))=TRUE,0,VALUE(Y59))+IF(ISERROR(VALUE(Z59))=TRUE,0,VALUE(Z59))+IF(ISERROR(VALUE(AA59))=TRUE,0,VALUE(AA59))</f>
        <v>6</v>
      </c>
      <c r="AD59" s="34">
        <f>IF(RIGHT(N59,1)="x",0,VALUE(RIGHT(N59,1)))</f>
        <v>0</v>
      </c>
      <c r="AE59" s="34">
        <f>IF(RIGHT(O59,1)="x",0,VALUE(RIGHT(O59,1)))</f>
        <v>0</v>
      </c>
      <c r="AF59" s="8">
        <f>IF(ISERROR(VALUE(AC59))=TRUE,0,VALUE(AC59))+IF(ISERROR(VALUE(AD59))=TRUE,0,VALUE(AD59))+IF(ISERROR(VALUE(AE59))=TRUE,0,VALUE(AE59))</f>
        <v>0</v>
      </c>
      <c r="AO59" s="46">
        <f>IF(LEFT(N59,1)="x",1,0)</f>
        <v>0</v>
      </c>
      <c r="AP59" s="46">
        <f>IF(LEFT(O59,1)="x",1,0)</f>
        <v>0</v>
      </c>
      <c r="AS59" s="8">
        <f>SUM(AO59:AP59)</f>
        <v>0</v>
      </c>
    </row>
    <row r="60" spans="1:45" s="8" customFormat="1" ht="30" customHeight="1" thickBot="1">
      <c r="E60" s="304"/>
      <c r="F60" s="307"/>
      <c r="G60" s="308"/>
      <c r="H60" s="314"/>
      <c r="I60" s="525"/>
      <c r="J60" s="516"/>
      <c r="K60" s="517"/>
      <c r="L60" s="518"/>
      <c r="M60" s="524"/>
      <c r="N60" s="32" t="str">
        <f>VLOOKUP(A61,'zapisy k stolom'!$A$5:$AV$1444,48,0)</f>
        <v>4,11,8,,,,</v>
      </c>
      <c r="O60" s="32" t="str">
        <f>VLOOKUP(A59,'zapisy k stolom'!$A$5:$AV$1444,48,0)</f>
        <v>11,9,9,,,,</v>
      </c>
      <c r="P60" s="511"/>
      <c r="Q60" s="520"/>
      <c r="R60" s="511"/>
      <c r="S60" s="511"/>
      <c r="AO60" s="44"/>
      <c r="AP60" s="44"/>
    </row>
    <row r="61" spans="1:45" s="8" customFormat="1" ht="39.950000000000003" customHeight="1">
      <c r="A61" s="8" t="str">
        <f>CONCATENATE("D",K57,E61)</f>
        <v>DG1-2</v>
      </c>
      <c r="B61" s="8" t="str">
        <f>CONCATENATE("D",I57,I61)</f>
        <v>D72</v>
      </c>
      <c r="C61" s="8" t="str">
        <f>CONCATENATE(K57,S61)</f>
        <v>G3</v>
      </c>
      <c r="E61" s="304" t="s">
        <v>22</v>
      </c>
      <c r="F61" s="305" t="str">
        <f>IF(ISERROR(VLOOKUP(A61,'zoznam zapasov'!$A$5:$K$78,9,0))=TRUE,"",VLOOKUP(A61,'zoznam zapasov'!$A$5:$K$78,9,0))</f>
        <v>So</v>
      </c>
      <c r="G61" s="305" t="str">
        <f>IF(ISERROR(VLOOKUP(A61,'zoznam zapasov'!$A$5:$K$78,10,0))=TRUE,"",VLOOKUP(A61,'zoznam zapasov'!$A$5:$K$78,10,0))</f>
        <v>10.45</v>
      </c>
      <c r="H61" s="306">
        <f>IF(ISERROR(VLOOKUP(A61,'zoznam zapasov'!$A$5:$K$78,11,0))=TRUE,"",VLOOKUP(A61,'zoznam zapasov'!$A$5:$K$78,11,0))</f>
        <v>7</v>
      </c>
      <c r="I61" s="514">
        <v>2</v>
      </c>
      <c r="J61" s="516" t="str">
        <f>IF(ISERROR(VLOOKUP(B61,vylosovanie!$A$45:$J$68,6,0))=TRUE,"",VLOOKUP(B61,vylosovanie!$A$45:$J$68,6,0))</f>
        <v>VIŠŇOVSKÁ Nina</v>
      </c>
      <c r="K61" s="517" t="str">
        <f>IF(ISERROR(VLOOKUP(B61,vylosovanie!$A$45:$J$68,8,0))=TRUE,"",VLOOKUP(B61,vylosovanie!$A$45:$J$68,8,0))</f>
        <v>TTC INTERSPEAD N.ZÁMKY</v>
      </c>
      <c r="L61" s="518">
        <f>IF(ISERROR(VLOOKUP(B61,vylosovanie!$A$45:$J$68,9,0))=TRUE,"",VLOOKUP(B61,vylosovanie!$A$45:$J$68,9,0))</f>
        <v>15</v>
      </c>
      <c r="M61" s="521" t="str">
        <f>IF(LEN(N59)=1,":",CONCATENATE(RIGHT(N59,1),":",LEFT(N59,1)))</f>
        <v>0:3</v>
      </c>
      <c r="N61" s="523"/>
      <c r="O61" s="31" t="str">
        <f>VLOOKUP(A63,'zapisy k stolom'!$A$5:$AV$1444,26,0)</f>
        <v>1:3</v>
      </c>
      <c r="P61" s="510">
        <f>IF(SUM(W61:X61)=0,"",SUM(W61:X61))</f>
        <v>2</v>
      </c>
      <c r="Q61" s="519" t="str">
        <f t="shared" ref="Q61" si="24">IF(CONCATENATE(AB61,":",AF61)="0:0","",CONCATENATE(AB61,":",AF61))</f>
        <v>1:6</v>
      </c>
      <c r="R61" s="510">
        <f t="shared" ref="R61" si="25">IF(ISERROR(AB61/AF61)=TRUE,"",(AB61/AF61))</f>
        <v>0.16666666666666666</v>
      </c>
      <c r="S61" s="510">
        <f>IF(AS61&gt;0,"",IF(ISERROR(RANK(P61,P59:P64,0))=TRUE,"",RANK(P61,P59:P64,0)))</f>
        <v>3</v>
      </c>
      <c r="W61" s="34">
        <f>IF(LEFT(M61,1)="x",0,IF(LEFT(M61,1)&gt;RIGHT(M61,1),2,IF(LEFT(M61,1)&lt;RIGHT(M61,1),1,"")))</f>
        <v>1</v>
      </c>
      <c r="X61" s="34">
        <f>IF(LEFT(O61,1)="x",0,IF(LEFT(O61,1)&gt;RIGHT(O61,1),2,IF(LEFT(O61,1)&lt;RIGHT(O61,1),1,"")))</f>
        <v>1</v>
      </c>
      <c r="Z61" s="34">
        <f>IF(LEFT(M61,1)="x",0,VALUE(LEFT(M61,1)))</f>
        <v>0</v>
      </c>
      <c r="AA61" s="34">
        <f>IF(LEFT(O61,1)="x",0,VALUE(LEFT(O61,1)))</f>
        <v>1</v>
      </c>
      <c r="AB61" s="8">
        <f>IF(ISERROR(VALUE(Y61))=TRUE,0,VALUE(Y61))+IF(ISERROR(VALUE(Z61))=TRUE,0,VALUE(Z61))+IF(ISERROR(VALUE(AA61))=TRUE,0,VALUE(AA61))</f>
        <v>1</v>
      </c>
      <c r="AD61" s="34">
        <f>IF(RIGHT(M61,1)="x",0,VALUE(RIGHT(M61,1)))</f>
        <v>3</v>
      </c>
      <c r="AE61" s="34">
        <f>IF(RIGHT(O61,1)="x",0,VALUE(RIGHT(O61,1)))</f>
        <v>3</v>
      </c>
      <c r="AF61" s="8">
        <f>IF(ISERROR(VALUE(AC61))=TRUE,0,VALUE(AC61))+IF(ISERROR(VALUE(AD61))=TRUE,0,VALUE(AD61))+IF(ISERROR(VALUE(AE61))=TRUE,0,VALUE(AE61))</f>
        <v>6</v>
      </c>
      <c r="AO61" s="46">
        <f>IF(LEFT(L61,1)="x",1,0)</f>
        <v>0</v>
      </c>
      <c r="AP61" s="46">
        <f>IF(LEFT(O61,1)="x",1,0)</f>
        <v>0</v>
      </c>
      <c r="AS61" s="8">
        <f>SUM(AO61:AQ61)</f>
        <v>0</v>
      </c>
    </row>
    <row r="62" spans="1:45" s="8" customFormat="1" ht="30" customHeight="1" thickBot="1">
      <c r="E62" s="304"/>
      <c r="F62" s="307"/>
      <c r="G62" s="308"/>
      <c r="H62" s="314"/>
      <c r="I62" s="515"/>
      <c r="J62" s="516"/>
      <c r="K62" s="517"/>
      <c r="L62" s="518"/>
      <c r="M62" s="522"/>
      <c r="N62" s="524"/>
      <c r="O62" s="32" t="str">
        <f>VLOOKUP(A63,'zapisy k stolom'!$A$5:$AV$1444,48,0)</f>
        <v>-4,6,-6,-3,,,</v>
      </c>
      <c r="P62" s="511"/>
      <c r="Q62" s="520"/>
      <c r="R62" s="511"/>
      <c r="S62" s="511"/>
      <c r="AO62" s="44"/>
      <c r="AP62" s="44"/>
    </row>
    <row r="63" spans="1:45" s="8" customFormat="1" ht="39.950000000000003" customHeight="1">
      <c r="A63" s="8" t="str">
        <f>CONCATENATE("D",K57,E63)</f>
        <v>DG2-3</v>
      </c>
      <c r="B63" s="8" t="str">
        <f>CONCATENATE("D",I57,I63)</f>
        <v>D73</v>
      </c>
      <c r="C63" s="8" t="str">
        <f>CONCATENATE(K57,S63)</f>
        <v>G2</v>
      </c>
      <c r="E63" s="304" t="s">
        <v>25</v>
      </c>
      <c r="F63" s="305" t="str">
        <f>IF(ISERROR(VLOOKUP(A63,'zoznam zapasov'!$A$5:$K$78,9,0))=TRUE,"",VLOOKUP(A63,'zoznam zapasov'!$A$5:$K$78,9,0))</f>
        <v>So</v>
      </c>
      <c r="G63" s="305" t="str">
        <f>IF(ISERROR(VLOOKUP(A63,'zoznam zapasov'!$A$5:$K$78,10,0))=TRUE,"",VLOOKUP(A63,'zoznam zapasov'!$A$5:$K$78,10,0))</f>
        <v>12.00</v>
      </c>
      <c r="H63" s="306">
        <f>IF(ISERROR(VLOOKUP(A63,'zoznam zapasov'!$A$5:$K$78,11,0))=TRUE,"",VLOOKUP(A63,'zoznam zapasov'!$A$5:$K$78,11,0))</f>
        <v>7</v>
      </c>
      <c r="I63" s="514">
        <v>3</v>
      </c>
      <c r="J63" s="516" t="str">
        <f>IF(ISERROR(VLOOKUP(B63,vylosovanie!$A$45:$J$68,6,0))=TRUE,"",VLOOKUP(B63,vylosovanie!$A$45:$J$68,6,0))</f>
        <v>GORFOLOVÁ Viktória</v>
      </c>
      <c r="K63" s="517" t="str">
        <f>IF(ISERROR(VLOOKUP(B63,vylosovanie!$A$45:$J$68,8,0))=TRUE,"",VLOOKUP(B63,vylosovanie!$A$45:$J$68,8,0))</f>
        <v>GASTO METALFIN GALANTA</v>
      </c>
      <c r="L63" s="518">
        <f>IF(ISERROR(VLOOKUP(B63,vylosovanie!$A$45:$J$68,9,0))=TRUE,"",VLOOKUP(B63,vylosovanie!$A$45:$J$68,9,0))</f>
        <v>21</v>
      </c>
      <c r="M63" s="521" t="str">
        <f>IF(LEN(O59)=1,":",CONCATENATE(RIGHT(O59,1),":",LEFT(O59,1)))</f>
        <v>0:3</v>
      </c>
      <c r="N63" s="521" t="str">
        <f>IF(LEN(O61)=1,":",CONCATENATE(RIGHT(O61,1),":",LEFT(O61,1)))</f>
        <v>3:1</v>
      </c>
      <c r="O63" s="523"/>
      <c r="P63" s="510">
        <f>IF(SUM(W63:X63)=0,"",SUM(W63:X63))</f>
        <v>3</v>
      </c>
      <c r="Q63" s="519" t="str">
        <f t="shared" ref="Q63" si="26">IF(CONCATENATE(AB63,":",AF63)="0:0","",CONCATENATE(AB63,":",AF63))</f>
        <v>3:4</v>
      </c>
      <c r="R63" s="510">
        <f t="shared" ref="R63" si="27">IF(ISERROR(AB63/AF63)=TRUE,"",(AB63/AF63))</f>
        <v>0.75</v>
      </c>
      <c r="S63" s="510">
        <f>IF(AS63&gt;0,"",IF(ISERROR(RANK(P63,P59:P64,0))=TRUE,"",RANK(P63,P59:P64,0)))</f>
        <v>2</v>
      </c>
      <c r="W63" s="34">
        <f>IF(LEFT(M63,1)="x",0,IF(LEFT(M63,1)&gt;RIGHT(M63,1),2,IF(LEFT(M63,1)&lt;RIGHT(M63,1),1,"")))</f>
        <v>1</v>
      </c>
      <c r="X63" s="34">
        <f>IF(LEFT(N63,1)="x",0,IF(LEFT(N63,1)&gt;RIGHT(N63,1),2,IF(LEFT(N63,1)&lt;RIGHT(N63,1),1,"")))</f>
        <v>2</v>
      </c>
      <c r="Z63" s="34">
        <f>IF(LEFT(M63,1)="x",0,VALUE(LEFT(M63,1)))</f>
        <v>0</v>
      </c>
      <c r="AA63" s="34">
        <f>IF(LEFT(N63,1)="x",0,VALUE(LEFT(N63,1)))</f>
        <v>3</v>
      </c>
      <c r="AB63" s="8">
        <f>IF(ISERROR(VALUE(Y63))=TRUE,0,VALUE(Y63))+IF(ISERROR(VALUE(Z63))=TRUE,0,VALUE(Z63))+IF(ISERROR(VALUE(AA63))=TRUE,0,VALUE(AA63))</f>
        <v>3</v>
      </c>
      <c r="AD63" s="34">
        <f>IF(RIGHT(M63,1)="x",0,VALUE(RIGHT(M63,1)))</f>
        <v>3</v>
      </c>
      <c r="AE63" s="34">
        <f>IF(RIGHT(N63,1)="x",0,VALUE(RIGHT(N63,1)))</f>
        <v>1</v>
      </c>
      <c r="AF63" s="8">
        <f>IF(ISERROR(VALUE(AC63))=TRUE,0,VALUE(AC63))+IF(ISERROR(VALUE(AD63))=TRUE,0,VALUE(AD63))+IF(ISERROR(VALUE(AE63))=TRUE,0,VALUE(AE63))</f>
        <v>4</v>
      </c>
      <c r="AO63" s="46">
        <f>IF(LEFT(M63,1)="x",1,0)</f>
        <v>0</v>
      </c>
      <c r="AP63" s="46">
        <f>IF(LEFT(N63,1)="x",1,0)</f>
        <v>0</v>
      </c>
      <c r="AS63" s="8">
        <f>SUM(AO63:AQ63)</f>
        <v>0</v>
      </c>
    </row>
    <row r="64" spans="1:45" s="8" customFormat="1" ht="30" customHeight="1" thickBot="1">
      <c r="E64" s="315"/>
      <c r="F64" s="316"/>
      <c r="G64" s="317"/>
      <c r="H64" s="318"/>
      <c r="I64" s="515"/>
      <c r="J64" s="516"/>
      <c r="K64" s="517"/>
      <c r="L64" s="518"/>
      <c r="M64" s="522"/>
      <c r="N64" s="522"/>
      <c r="O64" s="524"/>
      <c r="P64" s="511"/>
      <c r="Q64" s="520"/>
      <c r="R64" s="511"/>
      <c r="S64" s="511"/>
    </row>
    <row r="66" spans="1:45" s="2" customFormat="1" ht="47.25" thickBot="1">
      <c r="A66" s="2" t="s">
        <v>11</v>
      </c>
      <c r="B66" s="2" t="s">
        <v>11</v>
      </c>
      <c r="E66" s="299"/>
      <c r="F66" s="299"/>
      <c r="G66" s="299"/>
      <c r="H66" s="299"/>
      <c r="I66" s="217">
        <v>8</v>
      </c>
      <c r="J66" s="217" t="s">
        <v>13</v>
      </c>
      <c r="K66" s="217" t="s">
        <v>43</v>
      </c>
      <c r="L66" s="12"/>
      <c r="M66" s="12"/>
      <c r="N66" s="12"/>
      <c r="O66" s="12"/>
      <c r="P66" s="12"/>
      <c r="Q66" s="16"/>
      <c r="R66" s="12"/>
      <c r="S66" s="12"/>
      <c r="AB66" s="36"/>
      <c r="AC66" s="36"/>
    </row>
    <row r="67" spans="1:45" s="8" customFormat="1" ht="39.950000000000003" customHeight="1" thickBot="1">
      <c r="A67" s="8" t="s">
        <v>47</v>
      </c>
      <c r="B67" s="8" t="s">
        <v>48</v>
      </c>
      <c r="E67" s="301" t="s">
        <v>14</v>
      </c>
      <c r="F67" s="302" t="s">
        <v>67</v>
      </c>
      <c r="G67" s="302" t="s">
        <v>15</v>
      </c>
      <c r="H67" s="310" t="s">
        <v>16</v>
      </c>
      <c r="I67" s="211"/>
      <c r="J67" s="212" t="s">
        <v>17</v>
      </c>
      <c r="K67" s="213" t="s">
        <v>5</v>
      </c>
      <c r="L67" s="207" t="s">
        <v>44</v>
      </c>
      <c r="M67" s="208">
        <v>1</v>
      </c>
      <c r="N67" s="208">
        <v>2</v>
      </c>
      <c r="O67" s="208">
        <v>3</v>
      </c>
      <c r="P67" s="210" t="s">
        <v>18</v>
      </c>
      <c r="Q67" s="208" t="s">
        <v>45</v>
      </c>
      <c r="R67" s="208" t="s">
        <v>19</v>
      </c>
      <c r="S67" s="209" t="s">
        <v>46</v>
      </c>
      <c r="Z67" s="8" t="s">
        <v>76</v>
      </c>
      <c r="AB67" s="8" t="s">
        <v>77</v>
      </c>
      <c r="AD67" s="8" t="s">
        <v>78</v>
      </c>
      <c r="AF67" s="8" t="s">
        <v>77</v>
      </c>
    </row>
    <row r="68" spans="1:45" s="8" customFormat="1" ht="39.950000000000003" customHeight="1">
      <c r="A68" s="8" t="str">
        <f>CONCATENATE("D",K66,E68)</f>
        <v>DH1-3</v>
      </c>
      <c r="B68" s="8" t="str">
        <f>CONCATENATE("D",I66,I68)</f>
        <v>D81</v>
      </c>
      <c r="C68" s="8" t="str">
        <f>CONCATENATE(K66,S68)</f>
        <v>H1</v>
      </c>
      <c r="E68" s="304" t="s">
        <v>20</v>
      </c>
      <c r="F68" s="305" t="str">
        <f>IF(ISERROR(VLOOKUP(A68,'zoznam zapasov'!$A$5:$K$78,9,0))=TRUE,"",VLOOKUP(A68,'zoznam zapasov'!$A$5:$K$78,9,0))</f>
        <v>So</v>
      </c>
      <c r="G68" s="305" t="str">
        <f>IF(ISERROR(VLOOKUP(A68,'zoznam zapasov'!$A$5:$K$78,10,0))=TRUE,"",VLOOKUP(A68,'zoznam zapasov'!$A$5:$K$78,10,0))</f>
        <v>9.30</v>
      </c>
      <c r="H68" s="306">
        <f>IF(ISERROR(VLOOKUP(A68,'zoznam zapasov'!$A$5:$K$78,11,0))=TRUE,"",VLOOKUP(A68,'zoznam zapasov'!$A$5:$K$78,11,0))</f>
        <v>8</v>
      </c>
      <c r="I68" s="525">
        <v>1</v>
      </c>
      <c r="J68" s="516" t="str">
        <f>IF(ISERROR(VLOOKUP(B68,vylosovanie!$A$45:$J$68,6,0))=TRUE,"",VLOOKUP(B68,vylosovanie!$A$45:$J$68,6,0))</f>
        <v>TEREZKOVÁ Jana</v>
      </c>
      <c r="K68" s="517" t="str">
        <f>IF(ISERROR(VLOOKUP(B68,vylosovanie!$A$45:$J$68,8,0))=TRUE,"",VLOOKUP(B68,vylosovanie!$A$45:$J$68,8,0))</f>
        <v>ŠKST MICHALOVCE</v>
      </c>
      <c r="L68" s="518">
        <f>IF(ISERROR(VLOOKUP(B68,vylosovanie!$A$45:$J$68,9,0))=TRUE,"",VLOOKUP(B68,vylosovanie!$A$45:$J$68,9,0))</f>
        <v>8</v>
      </c>
      <c r="M68" s="523"/>
      <c r="N68" s="31" t="str">
        <f>VLOOKUP(A70,'zapisy k stolom'!$A$5:$AV$1444,26,0)</f>
        <v>3:0</v>
      </c>
      <c r="O68" s="31" t="str">
        <f>VLOOKUP(A68,'zapisy k stolom'!$A$5:$AV$1444,26,0)</f>
        <v>3:0</v>
      </c>
      <c r="P68" s="510">
        <f>IF(SUM(W68:X68)=0,"",SUM(W68:X68))</f>
        <v>4</v>
      </c>
      <c r="Q68" s="519" t="str">
        <f>IF(CONCATENATE(AB68,":",AF68)="0:0","",CONCATENATE(AB68,":",AF68))</f>
        <v>6:0</v>
      </c>
      <c r="R68" s="510" t="str">
        <f>IF(ISERROR(AB68/AF68)=TRUE,"",(AB68/AF68))</f>
        <v/>
      </c>
      <c r="S68" s="510">
        <f>IF(AS68&gt;0,"",IF(ISERROR(RANK(P68,P68:P73,0))=TRUE,"",RANK(P68,P68:P73,0)))</f>
        <v>1</v>
      </c>
      <c r="W68" s="34">
        <f>IF(LEFT(N68,1)="x",0,IF(LEFT(N68,1)&gt;RIGHT(N68,1),2,IF(LEFT(N68,1)&lt;RIGHT(N68,1),1,"")))</f>
        <v>2</v>
      </c>
      <c r="X68" s="34">
        <f>IF(LEFT(O68,1)="x",0,IF(LEFT(O68,1)&gt;RIGHT(O68,1),2,IF(LEFT(O68,1)&lt;RIGHT(O68,1),1,"")))</f>
        <v>2</v>
      </c>
      <c r="Z68" s="34">
        <f>IF(LEFT(N68,1)="x",0,VALUE(LEFT(N68,1)))</f>
        <v>3</v>
      </c>
      <c r="AA68" s="34">
        <f>IF(LEFT(O68,1)="x",0,VALUE(LEFT(O68,1)))</f>
        <v>3</v>
      </c>
      <c r="AB68" s="8">
        <f>IF(ISERROR(VALUE(Y68))=TRUE,0,VALUE(Y68))+IF(ISERROR(VALUE(Z68))=TRUE,0,VALUE(Z68))+IF(ISERROR(VALUE(AA68))=TRUE,0,VALUE(AA68))</f>
        <v>6</v>
      </c>
      <c r="AD68" s="34">
        <f>IF(RIGHT(N68,1)="x",0,VALUE(RIGHT(N68,1)))</f>
        <v>0</v>
      </c>
      <c r="AE68" s="34">
        <f>IF(RIGHT(O68,1)="x",0,VALUE(RIGHT(O68,1)))</f>
        <v>0</v>
      </c>
      <c r="AF68" s="8">
        <f>IF(ISERROR(VALUE(AC68))=TRUE,0,VALUE(AC68))+IF(ISERROR(VALUE(AD68))=TRUE,0,VALUE(AD68))+IF(ISERROR(VALUE(AE68))=TRUE,0,VALUE(AE68))</f>
        <v>0</v>
      </c>
      <c r="AO68" s="46">
        <f>IF(LEFT(N68,1)="x",1,0)</f>
        <v>0</v>
      </c>
      <c r="AP68" s="46">
        <f>IF(LEFT(O68,1)="x",1,0)</f>
        <v>0</v>
      </c>
      <c r="AS68" s="8">
        <f>SUM(AO68:AP68)</f>
        <v>0</v>
      </c>
    </row>
    <row r="69" spans="1:45" s="8" customFormat="1" ht="30" customHeight="1" thickBot="1">
      <c r="E69" s="304"/>
      <c r="F69" s="307"/>
      <c r="G69" s="308"/>
      <c r="H69" s="314"/>
      <c r="I69" s="525"/>
      <c r="J69" s="516"/>
      <c r="K69" s="517"/>
      <c r="L69" s="518"/>
      <c r="M69" s="524"/>
      <c r="N69" s="32" t="str">
        <f>VLOOKUP(A70,'zapisy k stolom'!$A$5:$AV$1444,48,0)</f>
        <v>8,12,8,,,,</v>
      </c>
      <c r="O69" s="32" t="str">
        <f>VLOOKUP(A68,'zapisy k stolom'!$A$5:$AV$1444,48,0)</f>
        <v>5,8,4,,,,</v>
      </c>
      <c r="P69" s="511"/>
      <c r="Q69" s="520"/>
      <c r="R69" s="511"/>
      <c r="S69" s="511"/>
      <c r="AO69" s="44"/>
      <c r="AP69" s="44"/>
    </row>
    <row r="70" spans="1:45" s="8" customFormat="1" ht="39.950000000000003" customHeight="1">
      <c r="A70" s="8" t="str">
        <f>CONCATENATE("D",K66,E70)</f>
        <v>DH1-2</v>
      </c>
      <c r="B70" s="8" t="str">
        <f>CONCATENATE("D",I66,I70)</f>
        <v>D82</v>
      </c>
      <c r="C70" s="8" t="str">
        <f>CONCATENATE(K66,S70)</f>
        <v>H2</v>
      </c>
      <c r="E70" s="304" t="s">
        <v>22</v>
      </c>
      <c r="F70" s="305" t="str">
        <f>IF(ISERROR(VLOOKUP(A70,'zoznam zapasov'!$A$5:$K$78,9,0))=TRUE,"",VLOOKUP(A70,'zoznam zapasov'!$A$5:$K$78,9,0))</f>
        <v>So</v>
      </c>
      <c r="G70" s="305" t="str">
        <f>IF(ISERROR(VLOOKUP(A70,'zoznam zapasov'!$A$5:$K$78,10,0))=TRUE,"",VLOOKUP(A70,'zoznam zapasov'!$A$5:$K$78,10,0))</f>
        <v>10.45</v>
      </c>
      <c r="H70" s="306">
        <f>IF(ISERROR(VLOOKUP(A70,'zoznam zapasov'!$A$5:$K$78,11,0))=TRUE,"",VLOOKUP(A70,'zoznam zapasov'!$A$5:$K$78,11,0))</f>
        <v>8</v>
      </c>
      <c r="I70" s="514">
        <v>2</v>
      </c>
      <c r="J70" s="516" t="str">
        <f>IF(ISERROR(VLOOKUP(B70,vylosovanie!$A$45:$J$68,6,0))=TRUE,"",VLOOKUP(B70,vylosovanie!$A$45:$J$68,6,0))</f>
        <v>VOJTASOVA Patrícia</v>
      </c>
      <c r="K70" s="517" t="str">
        <f>IF(ISERROR(VLOOKUP(B70,vylosovanie!$A$45:$J$68,8,0))=TRUE,"",VLOOKUP(B70,vylosovanie!$A$45:$J$68,8,0))</f>
        <v>ZŠ LIETAVSKÁ LÚČKA</v>
      </c>
      <c r="L70" s="518">
        <f>IF(ISERROR(VLOOKUP(B70,vylosovanie!$A$45:$J$68,9,0))=TRUE,"",VLOOKUP(B70,vylosovanie!$A$45:$J$68,9,0))</f>
        <v>16</v>
      </c>
      <c r="M70" s="521" t="str">
        <f>IF(LEN(N68)=1,":",CONCATENATE(RIGHT(N68,1),":",LEFT(N68,1)))</f>
        <v>0:3</v>
      </c>
      <c r="N70" s="523"/>
      <c r="O70" s="31" t="str">
        <f>VLOOKUP(A72,'zapisy k stolom'!$A$5:$AV$1444,26,0)</f>
        <v>3:2</v>
      </c>
      <c r="P70" s="510">
        <f>IF(SUM(W70:X70)=0,"",SUM(W70:X70))</f>
        <v>3</v>
      </c>
      <c r="Q70" s="519" t="str">
        <f t="shared" ref="Q70" si="28">IF(CONCATENATE(AB70,":",AF70)="0:0","",CONCATENATE(AB70,":",AF70))</f>
        <v>3:5</v>
      </c>
      <c r="R70" s="510">
        <f t="shared" ref="R70" si="29">IF(ISERROR(AB70/AF70)=TRUE,"",(AB70/AF70))</f>
        <v>0.6</v>
      </c>
      <c r="S70" s="510">
        <f>IF(AS70&gt;0,"",IF(ISERROR(RANK(P70,P68:P73,0))=TRUE,"",RANK(P70,P68:P73,0)))</f>
        <v>2</v>
      </c>
      <c r="W70" s="34">
        <f>IF(LEFT(M70,1)="x",0,IF(LEFT(M70,1)&gt;RIGHT(M70,1),2,IF(LEFT(M70,1)&lt;RIGHT(M70,1),1,"")))</f>
        <v>1</v>
      </c>
      <c r="X70" s="34">
        <f>IF(LEFT(O70,1)="x",0,IF(LEFT(O70,1)&gt;RIGHT(O70,1),2,IF(LEFT(O70,1)&lt;RIGHT(O70,1),1,"")))</f>
        <v>2</v>
      </c>
      <c r="Z70" s="34">
        <f>IF(LEFT(M70,1)="x",0,VALUE(LEFT(M70,1)))</f>
        <v>0</v>
      </c>
      <c r="AA70" s="34">
        <f>IF(LEFT(O70,1)="x",0,VALUE(LEFT(O70,1)))</f>
        <v>3</v>
      </c>
      <c r="AB70" s="8">
        <f>IF(ISERROR(VALUE(Y70))=TRUE,0,VALUE(Y70))+IF(ISERROR(VALUE(Z70))=TRUE,0,VALUE(Z70))+IF(ISERROR(VALUE(AA70))=TRUE,0,VALUE(AA70))</f>
        <v>3</v>
      </c>
      <c r="AD70" s="34">
        <f>IF(RIGHT(M70,1)="x",0,VALUE(RIGHT(M70,1)))</f>
        <v>3</v>
      </c>
      <c r="AE70" s="34">
        <f>IF(RIGHT(O70,1)="x",0,VALUE(RIGHT(O70,1)))</f>
        <v>2</v>
      </c>
      <c r="AF70" s="8">
        <f>IF(ISERROR(VALUE(AC70))=TRUE,0,VALUE(AC70))+IF(ISERROR(VALUE(AD70))=TRUE,0,VALUE(AD70))+IF(ISERROR(VALUE(AE70))=TRUE,0,VALUE(AE70))</f>
        <v>5</v>
      </c>
      <c r="AO70" s="46">
        <f>IF(LEFT(L70,1)="x",1,0)</f>
        <v>0</v>
      </c>
      <c r="AP70" s="46">
        <f>IF(LEFT(O70,1)="x",1,0)</f>
        <v>0</v>
      </c>
      <c r="AS70" s="8">
        <f>SUM(AO70:AQ70)</f>
        <v>0</v>
      </c>
    </row>
    <row r="71" spans="1:45" s="8" customFormat="1" ht="30" customHeight="1" thickBot="1">
      <c r="E71" s="304"/>
      <c r="F71" s="307"/>
      <c r="G71" s="308"/>
      <c r="H71" s="314"/>
      <c r="I71" s="515"/>
      <c r="J71" s="516"/>
      <c r="K71" s="517"/>
      <c r="L71" s="518"/>
      <c r="M71" s="522"/>
      <c r="N71" s="524"/>
      <c r="O71" s="32" t="str">
        <f>VLOOKUP(A72,'zapisy k stolom'!$A$5:$AV$1444,48,0)</f>
        <v>7,6,-5,-10,7,,</v>
      </c>
      <c r="P71" s="511"/>
      <c r="Q71" s="520"/>
      <c r="R71" s="511"/>
      <c r="S71" s="511"/>
      <c r="AO71" s="44"/>
      <c r="AP71" s="44"/>
    </row>
    <row r="72" spans="1:45" s="8" customFormat="1" ht="39.950000000000003" customHeight="1">
      <c r="A72" s="8" t="str">
        <f>CONCATENATE("D",K66,E72)</f>
        <v>DH2-3</v>
      </c>
      <c r="B72" s="8" t="str">
        <f>CONCATENATE("D",I66,I72)</f>
        <v>D83</v>
      </c>
      <c r="C72" s="8" t="str">
        <f>CONCATENATE(K66,S72)</f>
        <v>H3</v>
      </c>
      <c r="E72" s="304" t="s">
        <v>25</v>
      </c>
      <c r="F72" s="305" t="str">
        <f>IF(ISERROR(VLOOKUP(A72,'zoznam zapasov'!$A$5:$K$78,9,0))=TRUE,"",VLOOKUP(A72,'zoznam zapasov'!$A$5:$K$78,9,0))</f>
        <v>So</v>
      </c>
      <c r="G72" s="305" t="str">
        <f>IF(ISERROR(VLOOKUP(A72,'zoznam zapasov'!$A$5:$K$78,10,0))=TRUE,"",VLOOKUP(A72,'zoznam zapasov'!$A$5:$K$78,10,0))</f>
        <v>12.00</v>
      </c>
      <c r="H72" s="306">
        <f>IF(ISERROR(VLOOKUP(A72,'zoznam zapasov'!$A$5:$K$78,11,0))=TRUE,"",VLOOKUP(A72,'zoznam zapasov'!$A$5:$K$78,11,0))</f>
        <v>8</v>
      </c>
      <c r="I72" s="514">
        <v>3</v>
      </c>
      <c r="J72" s="516" t="str">
        <f>IF(ISERROR(VLOOKUP(B72,vylosovanie!$A$45:$J$68,6,0))=TRUE,"",VLOOKUP(B72,vylosovanie!$A$45:$J$68,6,0))</f>
        <v>PISARČIKOVÁ Frederika</v>
      </c>
      <c r="K72" s="517" t="str">
        <f>IF(ISERROR(VLOOKUP(B72,vylosovanie!$A$45:$J$68,8,0))=TRUE,"",VLOOKUP(B72,vylosovanie!$A$45:$J$68,8,0))</f>
        <v>ŠKST RUŽOMBEROK</v>
      </c>
      <c r="L72" s="518">
        <f>IF(ISERROR(VLOOKUP(B72,vylosovanie!$A$45:$J$68,9,0))=TRUE,"",VLOOKUP(B72,vylosovanie!$A$45:$J$68,9,0))</f>
        <v>19</v>
      </c>
      <c r="M72" s="521" t="str">
        <f>IF(LEN(O68)=1,":",CONCATENATE(RIGHT(O68,1),":",LEFT(O68,1)))</f>
        <v>0:3</v>
      </c>
      <c r="N72" s="521" t="str">
        <f>IF(LEN(O70)=1,":",CONCATENATE(RIGHT(O70,1),":",LEFT(O70,1)))</f>
        <v>2:3</v>
      </c>
      <c r="O72" s="523"/>
      <c r="P72" s="510">
        <f>IF(SUM(W72:X72)=0,"",SUM(W72:X72))</f>
        <v>2</v>
      </c>
      <c r="Q72" s="519" t="str">
        <f t="shared" ref="Q72" si="30">IF(CONCATENATE(AB72,":",AF72)="0:0","",CONCATENATE(AB72,":",AF72))</f>
        <v>2:6</v>
      </c>
      <c r="R72" s="510">
        <f t="shared" ref="R72" si="31">IF(ISERROR(AB72/AF72)=TRUE,"",(AB72/AF72))</f>
        <v>0.33333333333333331</v>
      </c>
      <c r="S72" s="510">
        <f>IF(AS72&gt;0,"",IF(ISERROR(RANK(P72,P68:P73,0))=TRUE,"",RANK(P72,P68:P73,0)))</f>
        <v>3</v>
      </c>
      <c r="W72" s="34">
        <f>IF(LEFT(M72,1)="x",0,IF(LEFT(M72,1)&gt;RIGHT(M72,1),2,IF(LEFT(M72,1)&lt;RIGHT(M72,1),1,"")))</f>
        <v>1</v>
      </c>
      <c r="X72" s="34">
        <f>IF(LEFT(N72,1)="x",0,IF(LEFT(N72,1)&gt;RIGHT(N72,1),2,IF(LEFT(N72,1)&lt;RIGHT(N72,1),1,"")))</f>
        <v>1</v>
      </c>
      <c r="Z72" s="34">
        <f>IF(LEFT(M72,1)="x",0,VALUE(LEFT(M72,1)))</f>
        <v>0</v>
      </c>
      <c r="AA72" s="34">
        <f>IF(LEFT(N72,1)="x",0,VALUE(LEFT(N72,1)))</f>
        <v>2</v>
      </c>
      <c r="AB72" s="8">
        <f>IF(ISERROR(VALUE(Y72))=TRUE,0,VALUE(Y72))+IF(ISERROR(VALUE(Z72))=TRUE,0,VALUE(Z72))+IF(ISERROR(VALUE(AA72))=TRUE,0,VALUE(AA72))</f>
        <v>2</v>
      </c>
      <c r="AD72" s="34">
        <f>IF(RIGHT(M72,1)="x",0,VALUE(RIGHT(M72,1)))</f>
        <v>3</v>
      </c>
      <c r="AE72" s="34">
        <f>IF(RIGHT(N72,1)="x",0,VALUE(RIGHT(N72,1)))</f>
        <v>3</v>
      </c>
      <c r="AF72" s="8">
        <f>IF(ISERROR(VALUE(AC72))=TRUE,0,VALUE(AC72))+IF(ISERROR(VALUE(AD72))=TRUE,0,VALUE(AD72))+IF(ISERROR(VALUE(AE72))=TRUE,0,VALUE(AE72))</f>
        <v>6</v>
      </c>
      <c r="AO72" s="46">
        <f>IF(LEFT(M72,1)="x",1,0)</f>
        <v>0</v>
      </c>
      <c r="AP72" s="46">
        <f>IF(LEFT(N72,1)="x",1,0)</f>
        <v>0</v>
      </c>
      <c r="AS72" s="8">
        <f>SUM(AO72:AQ72)</f>
        <v>0</v>
      </c>
    </row>
    <row r="73" spans="1:45" s="8" customFormat="1" ht="30" customHeight="1" thickBot="1">
      <c r="E73" s="315"/>
      <c r="F73" s="316"/>
      <c r="G73" s="317"/>
      <c r="H73" s="318"/>
      <c r="I73" s="515"/>
      <c r="J73" s="516"/>
      <c r="K73" s="517"/>
      <c r="L73" s="518"/>
      <c r="M73" s="522"/>
      <c r="N73" s="522"/>
      <c r="O73" s="524"/>
      <c r="P73" s="511"/>
      <c r="Q73" s="520"/>
      <c r="R73" s="511"/>
      <c r="S73" s="511"/>
    </row>
  </sheetData>
  <mergeCells count="241">
    <mergeCell ref="E1:T1"/>
    <mergeCell ref="I7:I8"/>
    <mergeCell ref="J7:J8"/>
    <mergeCell ref="K7:K8"/>
    <mergeCell ref="L7:L8"/>
    <mergeCell ref="M7:M8"/>
    <mergeCell ref="N7:N8"/>
    <mergeCell ref="I5:I6"/>
    <mergeCell ref="J5:J6"/>
    <mergeCell ref="K5:K6"/>
    <mergeCell ref="L5:L6"/>
    <mergeCell ref="M5:M6"/>
    <mergeCell ref="P7:P8"/>
    <mergeCell ref="Q7:Q8"/>
    <mergeCell ref="R7:R8"/>
    <mergeCell ref="P5:P6"/>
    <mergeCell ref="Q5:Q6"/>
    <mergeCell ref="R5:R6"/>
    <mergeCell ref="O9:O10"/>
    <mergeCell ref="P9:P10"/>
    <mergeCell ref="Q9:Q10"/>
    <mergeCell ref="R9:R10"/>
    <mergeCell ref="P25:P26"/>
    <mergeCell ref="Q25:Q26"/>
    <mergeCell ref="R16:R17"/>
    <mergeCell ref="I9:I10"/>
    <mergeCell ref="J9:J10"/>
    <mergeCell ref="K9:K10"/>
    <mergeCell ref="L9:L10"/>
    <mergeCell ref="M9:M10"/>
    <mergeCell ref="N9:N10"/>
    <mergeCell ref="P14:P15"/>
    <mergeCell ref="Q14:Q15"/>
    <mergeCell ref="R14:R15"/>
    <mergeCell ref="M18:M19"/>
    <mergeCell ref="N18:N19"/>
    <mergeCell ref="R18:R19"/>
    <mergeCell ref="S52:S53"/>
    <mergeCell ref="M52:M53"/>
    <mergeCell ref="N52:N53"/>
    <mergeCell ref="N43:N44"/>
    <mergeCell ref="P43:P44"/>
    <mergeCell ref="Q43:Q44"/>
    <mergeCell ref="R43:R44"/>
    <mergeCell ref="I43:I44"/>
    <mergeCell ref="J43:J44"/>
    <mergeCell ref="K43:K44"/>
    <mergeCell ref="L43:L44"/>
    <mergeCell ref="M43:M44"/>
    <mergeCell ref="P52:P53"/>
    <mergeCell ref="Q52:Q53"/>
    <mergeCell ref="R52:R53"/>
    <mergeCell ref="I52:I53"/>
    <mergeCell ref="J52:J53"/>
    <mergeCell ref="K52:K53"/>
    <mergeCell ref="L52:L53"/>
    <mergeCell ref="Q50:Q51"/>
    <mergeCell ref="R50:R51"/>
    <mergeCell ref="S43:S44"/>
    <mergeCell ref="R45:R46"/>
    <mergeCell ref="S45:S46"/>
    <mergeCell ref="S59:S60"/>
    <mergeCell ref="I59:I60"/>
    <mergeCell ref="J59:J60"/>
    <mergeCell ref="K59:K60"/>
    <mergeCell ref="L59:L60"/>
    <mergeCell ref="S54:S55"/>
    <mergeCell ref="I54:I55"/>
    <mergeCell ref="J54:J55"/>
    <mergeCell ref="K54:K55"/>
    <mergeCell ref="L54:L55"/>
    <mergeCell ref="M59:M60"/>
    <mergeCell ref="P59:P60"/>
    <mergeCell ref="Q59:Q60"/>
    <mergeCell ref="R59:R60"/>
    <mergeCell ref="M54:M55"/>
    <mergeCell ref="N54:N55"/>
    <mergeCell ref="O54:O55"/>
    <mergeCell ref="P54:P55"/>
    <mergeCell ref="Q54:Q55"/>
    <mergeCell ref="R54:R55"/>
    <mergeCell ref="S63:S64"/>
    <mergeCell ref="I63:I64"/>
    <mergeCell ref="J63:J64"/>
    <mergeCell ref="K63:K64"/>
    <mergeCell ref="L63:L64"/>
    <mergeCell ref="S61:S62"/>
    <mergeCell ref="I61:I62"/>
    <mergeCell ref="J61:J62"/>
    <mergeCell ref="K61:K62"/>
    <mergeCell ref="L61:L62"/>
    <mergeCell ref="M63:M64"/>
    <mergeCell ref="N63:N64"/>
    <mergeCell ref="O63:O64"/>
    <mergeCell ref="P63:P64"/>
    <mergeCell ref="Q63:Q64"/>
    <mergeCell ref="R63:R64"/>
    <mergeCell ref="M61:M62"/>
    <mergeCell ref="N61:N62"/>
    <mergeCell ref="P61:P62"/>
    <mergeCell ref="Q61:Q62"/>
    <mergeCell ref="R61:R62"/>
    <mergeCell ref="S14:S15"/>
    <mergeCell ref="I23:I24"/>
    <mergeCell ref="J23:J24"/>
    <mergeCell ref="K23:K24"/>
    <mergeCell ref="L23:L24"/>
    <mergeCell ref="M23:M24"/>
    <mergeCell ref="I14:I15"/>
    <mergeCell ref="J14:J15"/>
    <mergeCell ref="K14:K15"/>
    <mergeCell ref="L14:L15"/>
    <mergeCell ref="M14:M15"/>
    <mergeCell ref="P23:P24"/>
    <mergeCell ref="Q23:Q24"/>
    <mergeCell ref="R23:R24"/>
    <mergeCell ref="O18:O19"/>
    <mergeCell ref="P18:P19"/>
    <mergeCell ref="Q18:Q19"/>
    <mergeCell ref="N16:N17"/>
    <mergeCell ref="S23:S24"/>
    <mergeCell ref="S16:S17"/>
    <mergeCell ref="I18:I19"/>
    <mergeCell ref="J18:J19"/>
    <mergeCell ref="K18:K19"/>
    <mergeCell ref="L18:L19"/>
    <mergeCell ref="M34:M35"/>
    <mergeCell ref="N34:N35"/>
    <mergeCell ref="P34:P35"/>
    <mergeCell ref="Q34:Q35"/>
    <mergeCell ref="R34:R35"/>
    <mergeCell ref="R25:R26"/>
    <mergeCell ref="S25:S26"/>
    <mergeCell ref="I32:I33"/>
    <mergeCell ref="J32:J33"/>
    <mergeCell ref="K32:K33"/>
    <mergeCell ref="L32:L33"/>
    <mergeCell ref="M32:M33"/>
    <mergeCell ref="P32:P33"/>
    <mergeCell ref="Q32:Q33"/>
    <mergeCell ref="R32:R33"/>
    <mergeCell ref="S32:S33"/>
    <mergeCell ref="S34:S35"/>
    <mergeCell ref="I34:I35"/>
    <mergeCell ref="J34:J35"/>
    <mergeCell ref="K34:K35"/>
    <mergeCell ref="L34:L35"/>
    <mergeCell ref="O27:O28"/>
    <mergeCell ref="P27:P28"/>
    <mergeCell ref="Q27:Q28"/>
    <mergeCell ref="O36:O37"/>
    <mergeCell ref="P36:P37"/>
    <mergeCell ref="Q36:Q37"/>
    <mergeCell ref="R36:R37"/>
    <mergeCell ref="S36:S37"/>
    <mergeCell ref="I41:I42"/>
    <mergeCell ref="J41:J42"/>
    <mergeCell ref="K41:K42"/>
    <mergeCell ref="L41:L42"/>
    <mergeCell ref="M41:M42"/>
    <mergeCell ref="I36:I37"/>
    <mergeCell ref="J36:J37"/>
    <mergeCell ref="K36:K37"/>
    <mergeCell ref="L36:L37"/>
    <mergeCell ref="M36:M37"/>
    <mergeCell ref="N36:N37"/>
    <mergeCell ref="P41:P42"/>
    <mergeCell ref="Q41:Q42"/>
    <mergeCell ref="R41:R42"/>
    <mergeCell ref="S41:S42"/>
    <mergeCell ref="I50:I51"/>
    <mergeCell ref="J50:J51"/>
    <mergeCell ref="K50:K51"/>
    <mergeCell ref="L50:L51"/>
    <mergeCell ref="M50:M51"/>
    <mergeCell ref="P50:P51"/>
    <mergeCell ref="S50:S51"/>
    <mergeCell ref="I45:I46"/>
    <mergeCell ref="J45:J46"/>
    <mergeCell ref="K45:K46"/>
    <mergeCell ref="L45:L46"/>
    <mergeCell ref="M45:M46"/>
    <mergeCell ref="N45:N46"/>
    <mergeCell ref="O45:O46"/>
    <mergeCell ref="P45:P46"/>
    <mergeCell ref="Q45:Q46"/>
    <mergeCell ref="S68:S69"/>
    <mergeCell ref="I70:I71"/>
    <mergeCell ref="J70:J71"/>
    <mergeCell ref="K70:K71"/>
    <mergeCell ref="L70:L71"/>
    <mergeCell ref="M70:M71"/>
    <mergeCell ref="I68:I69"/>
    <mergeCell ref="J68:J69"/>
    <mergeCell ref="K68:K69"/>
    <mergeCell ref="L68:L69"/>
    <mergeCell ref="M68:M69"/>
    <mergeCell ref="N70:N71"/>
    <mergeCell ref="P70:P71"/>
    <mergeCell ref="Q70:Q71"/>
    <mergeCell ref="R70:R71"/>
    <mergeCell ref="S70:S71"/>
    <mergeCell ref="R72:R73"/>
    <mergeCell ref="S72:S73"/>
    <mergeCell ref="S5:S6"/>
    <mergeCell ref="S7:S8"/>
    <mergeCell ref="S9:S10"/>
    <mergeCell ref="I16:I17"/>
    <mergeCell ref="J16:J17"/>
    <mergeCell ref="K16:K17"/>
    <mergeCell ref="L16:L17"/>
    <mergeCell ref="M16:M17"/>
    <mergeCell ref="Q16:Q17"/>
    <mergeCell ref="I72:I73"/>
    <mergeCell ref="J72:J73"/>
    <mergeCell ref="K72:K73"/>
    <mergeCell ref="L72:L73"/>
    <mergeCell ref="M72:M73"/>
    <mergeCell ref="N72:N73"/>
    <mergeCell ref="O72:O73"/>
    <mergeCell ref="P72:P73"/>
    <mergeCell ref="Q72:Q73"/>
    <mergeCell ref="P68:P69"/>
    <mergeCell ref="Q68:Q69"/>
    <mergeCell ref="R68:R69"/>
    <mergeCell ref="S27:S28"/>
    <mergeCell ref="S18:S19"/>
    <mergeCell ref="P16:P17"/>
    <mergeCell ref="R27:R28"/>
    <mergeCell ref="I27:I28"/>
    <mergeCell ref="J27:J28"/>
    <mergeCell ref="K27:K28"/>
    <mergeCell ref="L27:L28"/>
    <mergeCell ref="M27:M28"/>
    <mergeCell ref="N27:N28"/>
    <mergeCell ref="I25:I26"/>
    <mergeCell ref="J25:J26"/>
    <mergeCell ref="K25:K26"/>
    <mergeCell ref="L25:L26"/>
    <mergeCell ref="M25:M26"/>
    <mergeCell ref="N25:N26"/>
  </mergeCells>
  <conditionalFormatting sqref="K5:K10">
    <cfRule type="duplicateValues" dxfId="17" priority="119"/>
    <cfRule type="duplicateValues" dxfId="16" priority="120"/>
  </conditionalFormatting>
  <conditionalFormatting sqref="K14:K19">
    <cfRule type="duplicateValues" dxfId="15" priority="61"/>
    <cfRule type="duplicateValues" dxfId="14" priority="62"/>
  </conditionalFormatting>
  <conditionalFormatting sqref="K23:K28">
    <cfRule type="duplicateValues" dxfId="13" priority="59"/>
    <cfRule type="duplicateValues" dxfId="12" priority="60"/>
  </conditionalFormatting>
  <conditionalFormatting sqref="K32:K37">
    <cfRule type="duplicateValues" dxfId="11" priority="57"/>
    <cfRule type="duplicateValues" dxfId="10" priority="58"/>
  </conditionalFormatting>
  <conditionalFormatting sqref="K41:K46">
    <cfRule type="duplicateValues" dxfId="9" priority="55"/>
    <cfRule type="duplicateValues" dxfId="8" priority="56"/>
  </conditionalFormatting>
  <conditionalFormatting sqref="K50:K55">
    <cfRule type="duplicateValues" dxfId="7" priority="53"/>
    <cfRule type="duplicateValues" dxfId="6" priority="54"/>
  </conditionalFormatting>
  <conditionalFormatting sqref="K59:K64">
    <cfRule type="duplicateValues" dxfId="5" priority="51"/>
    <cfRule type="duplicateValues" dxfId="4" priority="52"/>
  </conditionalFormatting>
  <conditionalFormatting sqref="K68:K73">
    <cfRule type="duplicateValues" dxfId="3" priority="47"/>
    <cfRule type="duplicateValues" dxfId="2" priority="48"/>
  </conditionalFormatting>
  <conditionalFormatting sqref="S5:S10 S14:S19 S23:S28 S32:S37 S41:S46 S50:S55 S59:S64 S68:S73">
    <cfRule type="cellIs" dxfId="1" priority="45" operator="equal">
      <formula>2</formula>
    </cfRule>
    <cfRule type="cellIs" dxfId="0" priority="46" operator="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9" scale="32" orientation="landscape" r:id="rId1"/>
  <rowBreaks count="1" manualBreakCount="1">
    <brk id="3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27</vt:i4>
      </vt:variant>
      <vt:variant>
        <vt:lpstr>Pojmenované oblasti</vt:lpstr>
      </vt:variant>
      <vt:variant>
        <vt:i4>29</vt:i4>
      </vt:variant>
    </vt:vector>
  </HeadingPairs>
  <TitlesOfParts>
    <vt:vector size="56" baseType="lpstr">
      <vt:lpstr>manual</vt:lpstr>
      <vt:lpstr>uvod</vt:lpstr>
      <vt:lpstr>casovy plan</vt:lpstr>
      <vt:lpstr>startova listina</vt:lpstr>
      <vt:lpstr>vylosovanie</vt:lpstr>
      <vt:lpstr>zoznam zapasov</vt:lpstr>
      <vt:lpstr>zapisy k stolom</vt:lpstr>
      <vt:lpstr>skupiny CH</vt:lpstr>
      <vt:lpstr>skupiny D</vt:lpstr>
      <vt:lpstr>KO Chlapci</vt:lpstr>
      <vt:lpstr>KO dievcata</vt:lpstr>
      <vt:lpstr>CH4</vt:lpstr>
      <vt:lpstr>D4</vt:lpstr>
      <vt:lpstr>MIX</vt:lpstr>
      <vt:lpstr>konecne poradie CH</vt:lpstr>
      <vt:lpstr>konecne poradie D</vt:lpstr>
      <vt:lpstr>konecne poradie CH4</vt:lpstr>
      <vt:lpstr>konecne poradie D4</vt:lpstr>
      <vt:lpstr>konecne poradie MIX</vt:lpstr>
      <vt:lpstr>pomocne poradie D4</vt:lpstr>
      <vt:lpstr>pomocne poradie CH4</vt:lpstr>
      <vt:lpstr>pomocne poradie MIX</vt:lpstr>
      <vt:lpstr>KO KODY SPOLU</vt:lpstr>
      <vt:lpstr>poradie v skupinach</vt:lpstr>
      <vt:lpstr>formatovanie CH4</vt:lpstr>
      <vt:lpstr>formatovanie D4</vt:lpstr>
      <vt:lpstr>formatovanie MIX</vt:lpstr>
      <vt:lpstr>'casovy plan'!Oblast_tisku</vt:lpstr>
      <vt:lpstr>'D4'!Oblast_tisku</vt:lpstr>
      <vt:lpstr>'CH4'!Oblast_tisku</vt:lpstr>
      <vt:lpstr>'KO dievcata'!Oblast_tisku</vt:lpstr>
      <vt:lpstr>'KO Chlapci'!Oblast_tisku</vt:lpstr>
      <vt:lpstr>'konecne poradie D4'!Oblast_tisku</vt:lpstr>
      <vt:lpstr>'konecne poradie CH'!Oblast_tisku</vt:lpstr>
      <vt:lpstr>'konecne poradie CH4'!Oblast_tisku</vt:lpstr>
      <vt:lpstr>'konecne poradie MIX'!Oblast_tisku</vt:lpstr>
      <vt:lpstr>MIX!Oblast_tisku</vt:lpstr>
      <vt:lpstr>'skupiny D'!Oblast_tisku</vt:lpstr>
      <vt:lpstr>'skupiny CH'!Oblast_tisku</vt:lpstr>
      <vt:lpstr>'startova listina'!Oblast_tisku</vt:lpstr>
      <vt:lpstr>uvod!Oblast_tisku</vt:lpstr>
      <vt:lpstr>vylosovanie!Oblast_tisku</vt:lpstr>
      <vt:lpstr>'zapisy k stolom'!Oblast_tisku</vt:lpstr>
      <vt:lpstr>'zoznam zapasov'!Oblast_tisku</vt:lpstr>
      <vt:lpstr>'D4'!Print_Area</vt:lpstr>
      <vt:lpstr>'CH4'!Print_Area</vt:lpstr>
      <vt:lpstr>'KO dievcata'!Print_Area</vt:lpstr>
      <vt:lpstr>'KO Chlapci'!Print_Area</vt:lpstr>
      <vt:lpstr>'konecne poradie CH4'!Print_Area</vt:lpstr>
      <vt:lpstr>MIX!Print_Area</vt:lpstr>
      <vt:lpstr>'skupiny D'!Print_Area</vt:lpstr>
      <vt:lpstr>'skupiny CH'!Print_Area</vt:lpstr>
      <vt:lpstr>'startova listina'!Print_Area</vt:lpstr>
      <vt:lpstr>vylosovanie!Print_Area</vt:lpstr>
      <vt:lpstr>'zapisy k stolom'!Print_Area</vt:lpstr>
      <vt:lpstr>'zoznam zapasov'!Print_Area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2006-11-28T10:32:46Z</dcterms:created>
  <dcterms:modified xsi:type="dcterms:W3CDTF">2014-07-03T11:32:03Z</dcterms:modified>
</cp:coreProperties>
</file>